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8" yWindow="0" windowWidth="8616" windowHeight="7272" tabRatio="870" firstSheet="9" activeTab="19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Transf. y subv." sheetId="12" r:id="rId12"/>
    <sheet name="INF. ADIC. CPYG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externalReferences>
    <externalReference r:id="rId26"/>
  </externalReference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'ACCIONISTAS'!$A$1:$E$49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'Encomiendas'!$A$1:$E$33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2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1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<sst xmlns="http://schemas.openxmlformats.org/spreadsheetml/2006/main" count="1309" uniqueCount="774">
  <si>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</si>
  <si>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</si>
  <si>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</si>
  <si>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</si>
  <si>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</si>
  <si>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</si>
  <si>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</si>
  <si>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</si>
  <si>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</si>
  <si>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</si>
  <si>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</si>
  <si>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</si>
  <si>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</si>
  <si>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</si>
  <si>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</si>
  <si>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</si>
  <si>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</si>
  <si>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</si>
  <si>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</si>
  <si>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</si>
  <si>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</si>
  <si>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</si>
  <si>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</si>
  <si>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</si>
  <si>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</si>
  <si>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</si>
  <si>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</si>
  <si>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</si>
  <si>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</si>
  <si>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</si>
  <si>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</si>
  <si>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</si>
  <si>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</si>
  <si>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</si>
  <si>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</si>
  <si>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</si>
  <si>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</si>
  <si>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</si>
  <si>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</si>
  <si>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</si>
  <si>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</si>
  <si>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</si>
  <si>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</si>
  <si>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</si>
  <si>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</si>
  <si>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</si>
  <si>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</si>
  <si>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</si>
  <si>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</si>
  <si>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</si>
  <si>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</si>
  <si>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</si>
  <si>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</si>
  <si>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</si>
  <si>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</si>
  <si>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</si>
  <si>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</si>
  <si>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</si>
  <si>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</si>
  <si>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</si>
  <si>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</si>
  <si>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</si>
  <si>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</si>
  <si>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</si>
  <si>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</si>
  <si>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</si>
  <si>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</si>
  <si>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</si>
  <si>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</si>
  <si>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</si>
  <si>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</si>
  <si>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EMPRESA PÚBLICA: AUDITORIO DE TENERIFE, S.A.U.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</si>
  <si>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</si>
  <si>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</si>
  <si>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</si>
  <si>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</si>
  <si>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</si>
  <si>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</si>
  <si>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</si>
  <si>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</si>
  <si>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</si>
  <si>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</si>
  <si>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</si>
  <si>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</si>
  <si>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</si>
  <si>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</si>
  <si>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</si>
  <si>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</si>
  <si>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</si>
  <si>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</si>
  <si>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</si>
  <si>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</si>
  <si>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</si>
  <si>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</si>
  <si>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</si>
  <si>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</si>
  <si>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</si>
  <si>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</si>
  <si>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</si>
  <si>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</si>
  <si>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</si>
  <si>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</si>
  <si>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</si>
  <si>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</si>
  <si>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</si>
  <si>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</si>
  <si>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</si>
  <si>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</si>
  <si>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</si>
  <si>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</si>
  <si>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</si>
  <si>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</si>
  <si>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</si>
  <si>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</si>
  <si>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</si>
  <si>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</si>
  <si>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</si>
  <si>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</si>
  <si>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</si>
  <si>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</si>
  <si>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</si>
  <si>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</si>
  <si>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</si>
  <si>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</si>
  <si>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</si>
  <si>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</si>
  <si>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</si>
  <si>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</si>
  <si>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</si>
  <si>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</si>
  <si>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</si>
  <si>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</si>
  <si>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</si>
  <si>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</si>
  <si>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</si>
  <si>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</si>
  <si>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</si>
  <si>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</si>
  <si>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</si>
  <si>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</si>
  <si>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</si>
  <si>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</si>
  <si>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</si>
  <si>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</si>
  <si>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</si>
  <si>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</si>
  <si>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</si>
  <si>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</si>
  <si>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</si>
  <si>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</si>
  <si>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</si>
  <si>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</si>
  <si>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</si>
  <si>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</si>
  <si>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</si>
  <si>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</si>
  <si>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</si>
  <si>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</si>
  <si>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</si>
  <si>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</si>
  <si>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</si>
  <si>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</si>
  <si>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</si>
  <si>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</si>
  <si>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</si>
  <si>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</si>
  <si>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</si>
  <si>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</si>
  <si>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</si>
  <si>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</si>
  <si>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</si>
  <si>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</si>
  <si>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</si>
  <si>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</si>
  <si>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</si>
  <si>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</si>
  <si>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</si>
  <si>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</si>
  <si>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TAQUILLA OST 13/03/09 Y 19/06/09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</si>
  <si>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</si>
  <si>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</si>
  <si>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</si>
  <si>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</si>
  <si>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</si>
  <si>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</si>
  <si>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</si>
  <si>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</si>
  <si>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</si>
  <si>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</si>
  <si>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</si>
  <si>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</si>
  <si>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</si>
  <si>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</si>
  <si>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</si>
  <si>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</si>
  <si>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</si>
  <si>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</si>
  <si>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</si>
  <si>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</si>
  <si>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</si>
  <si>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</si>
  <si>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</si>
  <si>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</si>
  <si>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</si>
  <si>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</si>
  <si>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</si>
  <si>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</si>
  <si>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</si>
  <si>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</si>
  <si>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</si>
  <si>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</si>
  <si>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</si>
  <si>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</si>
  <si>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</si>
  <si>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</si>
  <si>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</si>
  <si>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</si>
  <si>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</si>
  <si>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</si>
  <si>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</si>
  <si>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</si>
  <si>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</si>
  <si>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</si>
  <si>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</si>
  <si>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</si>
  <si>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</si>
  <si>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APORTACIÓN ESPECÍFICA REFORMA AUDITORIO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</si>
  <si>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</si>
  <si>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</si>
  <si>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</si>
  <si>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</si>
  <si>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</si>
  <si>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</si>
  <si>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</si>
  <si>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</si>
  <si>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</si>
  <si>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</si>
  <si>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</si>
  <si>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</si>
  <si>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</si>
  <si>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</si>
  <si>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</si>
  <si>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</si>
  <si>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</si>
  <si>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</si>
  <si>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</si>
  <si>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</si>
  <si>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</si>
  <si>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</si>
  <si>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</si>
  <si>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</si>
  <si>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</si>
  <si>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</si>
  <si>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</si>
  <si>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</si>
  <si>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</si>
  <si>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APORTACIÓN ESPECÍFICA ENFRIADORA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</si>
  <si>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</si>
  <si>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</si>
  <si>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</si>
  <si>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</si>
  <si>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</si>
  <si>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</si>
  <si>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</si>
  <si>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</si>
  <si>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</si>
  <si>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</si>
  <si>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</si>
  <si>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</si>
  <si>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0731</t>
  </si>
  <si>
    <t>3342</t>
  </si>
  <si>
    <t>44907</t>
  </si>
  <si>
    <t>74048</t>
  </si>
  <si>
    <t>2016</t>
  </si>
  <si>
    <t>22710</t>
  </si>
  <si>
    <t>AUDITORIO-DANZA EN COMUNIDAD</t>
  </si>
  <si>
    <t>AUDITORIO-MUSICAL IES TENERIFE</t>
  </si>
  <si>
    <t>AUDITORIO-FORMACIÓN TCOS.ARTES ESCÉNICAS</t>
  </si>
  <si>
    <t>AUDITORIO- FESTIVAL DE OPERA DE TFE.</t>
  </si>
  <si>
    <t>AUDITORIO-CORO Y ORQUESTA JUVENIL TFE.</t>
  </si>
  <si>
    <t>AUDITORIO- CIRCUITO INS.TEATRO Y DANZA</t>
  </si>
  <si>
    <t>PEPO</t>
  </si>
  <si>
    <t>DIFERENCIAS</t>
  </si>
  <si>
    <t>A4- AUDITORIO INCREMENTO PARA PRODUCCIÓN</t>
  </si>
  <si>
    <t>A4- AUDITORIO INCREMENTO PROY.EDUCATIVOS</t>
  </si>
  <si>
    <t>A4- REFORMAS AUDITORIO 2016</t>
  </si>
  <si>
    <t>CULTURA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</si>
  <si>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</si>
  <si>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</si>
  <si>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</si>
  <si>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</si>
  <si>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</si>
  <si>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</si>
  <si>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</si>
  <si>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</si>
  <si>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</si>
  <si>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</si>
  <si>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</si>
  <si>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</si>
  <si>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</si>
  <si>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</si>
  <si>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</si>
  <si>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</si>
  <si>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</si>
  <si>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</si>
  <si>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</si>
  <si>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</si>
  <si>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</si>
  <si>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</si>
  <si>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</si>
  <si>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</si>
  <si>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</si>
  <si>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</si>
  <si>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</si>
  <si>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</si>
  <si>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</si>
  <si>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</si>
  <si>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</si>
  <si>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</si>
  <si>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</si>
  <si>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</si>
  <si>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</si>
  <si>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</si>
  <si>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</si>
  <si>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</si>
  <si>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</si>
  <si>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</si>
  <si>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</si>
  <si>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</si>
  <si>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</si>
  <si>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</si>
  <si>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</si>
  <si>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</si>
  <si>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</si>
  <si>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</si>
  <si>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</si>
  <si>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</si>
  <si>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</si>
  <si>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</si>
  <si>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</si>
  <si>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</si>
  <si>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</si>
  <si>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</si>
  <si>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</si>
  <si>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</si>
  <si>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</si>
  <si>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</si>
  <si>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</si>
  <si>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</si>
  <si>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</si>
  <si>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</si>
  <si>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</si>
  <si>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</si>
  <si>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</si>
  <si>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</si>
  <si>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</si>
  <si>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</si>
  <si>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</si>
  <si>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</si>
  <si>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</si>
  <si>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</si>
  <si>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</si>
  <si>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</si>
  <si>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</si>
  <si>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</si>
  <si>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</si>
  <si>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</si>
  <si>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</si>
  <si>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</si>
  <si>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</si>
  <si>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</si>
  <si>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</si>
  <si>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</si>
  <si>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</si>
  <si>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</si>
  <si>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</si>
  <si>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</si>
  <si>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</si>
  <si>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</si>
  <si>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</si>
  <si>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</si>
  <si>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</si>
  <si>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</si>
  <si>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</si>
  <si>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</si>
  <si>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</si>
  <si>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</si>
  <si>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</si>
  <si>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</si>
  <si>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</si>
  <si>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</si>
  <si>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</si>
  <si>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</si>
  <si>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</si>
  <si>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</si>
  <si>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</si>
  <si>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</si>
  <si>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</si>
  <si>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</si>
  <si>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</si>
  <si>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</si>
  <si>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</si>
  <si>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</si>
  <si>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</si>
  <si>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</si>
  <si>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</si>
  <si>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</si>
  <si>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</si>
  <si>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</si>
  <si>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</si>
  <si>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</si>
  <si>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</si>
  <si>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</si>
  <si>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</si>
  <si>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</si>
  <si>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</si>
  <si>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</si>
  <si>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</si>
  <si>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</si>
  <si>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</si>
  <si>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</si>
  <si>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</si>
  <si>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</si>
  <si>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</si>
  <si>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</si>
  <si>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</si>
  <si>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</si>
  <si>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</si>
  <si>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</si>
  <si>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</si>
  <si>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</si>
  <si>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</si>
  <si>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APORTACIÓN ESPECÍFICA ÁREA EDUCATIVA</t>
  </si>
  <si>
    <t>APORTACIÓN ESPECÍFICA PRODUCCIÓN</t>
  </si>
  <si>
    <t xml:space="preserve">   - FORMACIÓN TÉCNICOS PARA LAS ARTES ESCÉNICAS (30.000,00 €)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</si>
  <si>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</si>
  <si>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</si>
  <si>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</si>
  <si>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</si>
  <si>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</si>
  <si>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</si>
  <si>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</si>
  <si>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</si>
  <si>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</si>
  <si>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ENCOMIENDA DE GESTIÓN:</t>
  </si>
  <si>
    <t xml:space="preserve">   - MUSICAL IES TENERIFE (120.000,00 €)</t>
  </si>
  <si>
    <t xml:space="preserve">   - CORO Y ORQUESTA JUVENIL DE TENERIFE (100.000,00 €)</t>
  </si>
  <si>
    <t xml:space="preserve">   - DANZA EN COMUNIDAD (100.000,00 €)</t>
  </si>
  <si>
    <t xml:space="preserve">   - FESTIVAL DE ÓPERA (205.000,00 €) 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</si>
  <si>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</si>
  <si>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</si>
  <si>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</si>
  <si>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</si>
  <si>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</si>
  <si>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</si>
  <si>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</si>
  <si>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</si>
  <si>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</si>
  <si>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Variación 2016/2015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</si>
  <si>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</si>
  <si>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</si>
  <si>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</si>
  <si>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</si>
  <si>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</si>
  <si>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Cultura</t>
  </si>
  <si>
    <t>ENCOMIENDA CAMPAÑA PUBLICITARIA OST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</si>
  <si>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</si>
  <si>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</si>
  <si>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</si>
  <si>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</si>
  <si>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</si>
  <si>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</si>
  <si>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</si>
  <si>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</si>
  <si>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</si>
  <si>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</si>
  <si>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</si>
  <si>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</si>
  <si>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</si>
  <si>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</si>
  <si>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</si>
  <si>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</si>
  <si>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</si>
  <si>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</si>
  <si>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</si>
  <si>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</si>
  <si>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</si>
  <si>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</si>
  <si>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</si>
  <si>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</si>
  <si>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</si>
  <si>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</si>
  <si>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</si>
  <si>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</si>
  <si>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</si>
  <si>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</si>
  <si>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</si>
  <si>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</si>
  <si>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</si>
  <si>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</si>
  <si>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</si>
  <si>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</si>
  <si>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</si>
  <si>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</si>
  <si>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</si>
  <si>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</si>
  <si>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</si>
  <si>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</si>
  <si>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</si>
  <si>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</si>
  <si>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</si>
  <si>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</si>
  <si>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</si>
  <si>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</si>
  <si>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</si>
  <si>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</si>
  <si>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</si>
  <si>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</si>
  <si>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</si>
  <si>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</si>
  <si>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</si>
  <si>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</si>
  <si>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</si>
  <si>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</si>
  <si>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</si>
  <si>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</si>
  <si>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</si>
  <si>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</si>
  <si>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</si>
  <si>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</si>
  <si>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</si>
  <si>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</si>
  <si>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</si>
  <si>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</si>
  <si>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</si>
  <si>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</si>
  <si>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</si>
  <si>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</si>
  <si>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</si>
  <si>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</si>
  <si>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</si>
  <si>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</si>
  <si>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</si>
  <si>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</si>
  <si>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</si>
  <si>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</si>
  <si>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</si>
  <si>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</si>
  <si>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</si>
  <si>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</si>
  <si>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</si>
  <si>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</si>
  <si>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</si>
  <si>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</si>
  <si>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</si>
  <si>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</si>
  <si>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</si>
  <si>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</si>
  <si>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</si>
  <si>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</si>
  <si>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</si>
  <si>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</si>
  <si>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</si>
  <si>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</si>
  <si>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</si>
  <si>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</si>
  <si>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</si>
  <si>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</si>
  <si>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</si>
  <si>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</si>
  <si>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</si>
  <si>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</si>
  <si>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</si>
  <si>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</si>
  <si>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</si>
  <si>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ENCOMIENDA DE GESTIÓN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</si>
  <si>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</si>
  <si>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</si>
  <si>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</si>
  <si>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</si>
  <si>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</si>
  <si>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</si>
  <si>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</si>
  <si>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</si>
  <si>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</si>
  <si>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</si>
  <si>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</si>
  <si>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</si>
  <si>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</si>
  <si>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</si>
  <si>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</si>
  <si>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</si>
  <si>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</si>
  <si>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</si>
  <si>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</si>
  <si>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</si>
  <si>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</si>
  <si>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</si>
  <si>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</si>
  <si>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</si>
  <si>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</si>
  <si>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</si>
  <si>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</si>
  <si>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</si>
  <si>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</si>
  <si>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</si>
  <si>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</si>
  <si>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</si>
  <si>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</si>
  <si>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</si>
  <si>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</si>
  <si>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</si>
  <si>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</si>
  <si>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</si>
  <si>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</si>
  <si>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</si>
  <si>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</si>
  <si>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EXCMO. CABILDO INSULAR DE TENERIFE</t>
  </si>
  <si>
    <t>Carlos Alonso Rodríguez</t>
  </si>
  <si>
    <t>José Luis Rivero Plasencia</t>
  </si>
  <si>
    <t>José Antonio Duque Diaz</t>
  </si>
  <si>
    <t>Coromoto Yanes González</t>
  </si>
  <si>
    <t>Cristina Valido García</t>
  </si>
  <si>
    <t>Antonio García Marichal</t>
  </si>
  <si>
    <t>Manuel Domínguez González</t>
  </si>
  <si>
    <t>Sebastián Ledesma Martín</t>
  </si>
  <si>
    <t>Francisca Rivero Cabeza</t>
  </si>
  <si>
    <t>Josefa María Mesa Mora</t>
  </si>
  <si>
    <t>DIEGO GONZÁLEZ AUDITORES SOCIADOS, S.L.U.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</si>
  <si>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</si>
  <si>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</si>
  <si>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</si>
  <si>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</si>
  <si>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</si>
  <si>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</si>
  <si>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</si>
  <si>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</si>
  <si>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</si>
  <si>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</si>
  <si>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</si>
  <si>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</si>
  <si>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</si>
  <si>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</si>
  <si>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</si>
  <si>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</si>
  <si>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</si>
  <si>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</si>
  <si>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</si>
  <si>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</si>
  <si>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</si>
  <si>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</si>
  <si>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</si>
  <si>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</si>
  <si>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</si>
  <si>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</si>
  <si>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</si>
  <si>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</si>
  <si>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</si>
  <si>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</si>
  <si>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</si>
  <si>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</si>
  <si>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</si>
  <si>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</si>
  <si>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</si>
  <si>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</si>
  <si>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</si>
  <si>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</si>
  <si>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</si>
  <si>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</si>
  <si>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</si>
  <si>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</si>
  <si>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</si>
  <si>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</si>
  <si>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</si>
  <si>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</si>
  <si>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</si>
  <si>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</si>
  <si>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</si>
  <si>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</si>
  <si>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</si>
  <si>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</si>
  <si>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</si>
  <si>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ENDESA</t>
  </si>
  <si>
    <t>260 Fianzas constituidas a L/P</t>
  </si>
  <si>
    <t>EMMASA</t>
  </si>
  <si>
    <t>Aguas del Valle de la Orotava</t>
  </si>
  <si>
    <t>565 Fianzas constituidas a C/P</t>
  </si>
  <si>
    <t>CaixaBank</t>
  </si>
  <si>
    <t>548 Imposiciones a C/P</t>
  </si>
  <si>
    <t>FACTURAS VARIAS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</si>
  <si>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</si>
  <si>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</si>
  <si>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</si>
  <si>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</si>
  <si>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</si>
  <si>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</si>
  <si>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</si>
  <si>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PROGRAMA DE APOYO A ESPACIOS ESCÉNICOS PARA TEMPORADA LÍRICA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</si>
  <si>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</si>
  <si>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</si>
  <si>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</si>
  <si>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</si>
  <si>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</si>
  <si>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</si>
  <si>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</si>
  <si>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</si>
  <si>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</si>
  <si>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</si>
  <si>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</si>
  <si>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</si>
  <si>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</si>
  <si>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</si>
  <si>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</si>
  <si>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</si>
  <si>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</si>
  <si>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</si>
  <si>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</si>
  <si>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</si>
  <si>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</si>
  <si>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</si>
  <si>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</si>
  <si>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</si>
  <si>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</si>
  <si>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</si>
  <si>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</si>
  <si>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</si>
  <si>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</si>
  <si>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</si>
  <si>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</si>
  <si>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</si>
  <si>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</si>
  <si>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</si>
  <si>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</si>
  <si>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</si>
  <si>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</si>
  <si>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</si>
  <si>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</si>
  <si>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</si>
  <si>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</si>
  <si>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</si>
  <si>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</si>
  <si>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</si>
  <si>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</si>
  <si>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</si>
  <si>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</si>
  <si>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</si>
  <si>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</si>
  <si>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</si>
  <si>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</si>
  <si>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</si>
  <si>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</si>
  <si>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</si>
  <si>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</si>
  <si>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</si>
  <si>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</si>
  <si>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</si>
  <si>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</si>
  <si>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</si>
  <si>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</si>
  <si>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</si>
  <si>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</si>
  <si>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</si>
  <si>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>APORTACIÓN ANEXO III BASES EJEC CIT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</si>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</sst>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name val="Verdana"/>
      <family val="2"/>
    </font>
    <font>
      <sz val="10"/>
      <name val="Courier"/>
      <family val="3"/>
    </font>
    <font>
      <sz val="11"/>
      <color indexed="8"/>
      <name val="Tahoma"/>
      <family val="2"/>
    </font>
    <font>
      <sz val="10"/>
      <color indexed="10"/>
      <name val="Arial"/>
      <family val="2"/>
    </font>
    <font>
      <sz val="10"/>
      <color indexed="9"/>
      <name val="Tahoma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9"/>
      <color indexed="9"/>
      <name val="Tahoma"/>
      <family val="2"/>
    </font>
    <font>
      <sz val="12"/>
      <color indexed="9"/>
      <name val="Tahoma"/>
      <family val="2"/>
    </font>
    <font>
      <b/>
      <sz val="11"/>
      <color indexed="9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thin">
        <color indexed="41"/>
      </top>
      <bottom style="medium"/>
    </border>
    <border>
      <left style="thin"/>
      <right style="medium"/>
      <top style="medium"/>
      <bottom style="thin">
        <color indexed="41"/>
      </bottom>
    </border>
    <border>
      <left style="medium"/>
      <right style="thin"/>
      <top style="medium"/>
      <bottom style="thin"/>
    </border>
    <border>
      <left style="thin"/>
      <right style="medium"/>
      <top style="thin">
        <color indexed="41"/>
      </top>
      <bottom>
        <color indexed="63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247">
    <xf numFmtId="0" fontId="0" fillId="0" borderId="0" xfId="0" applyAlignment="1">
      <alignment/>
    </xf>
    <xf numFmtId="3" fontId="0" fillId="0" borderId="0" xfId="68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8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8" applyNumberFormat="1" applyFont="1" applyBorder="1" applyAlignment="1">
      <alignment vertical="center"/>
      <protection/>
    </xf>
    <xf numFmtId="3" fontId="0" fillId="0" borderId="0" xfId="68" applyNumberFormat="1" applyFont="1" applyFill="1" applyBorder="1">
      <alignment/>
      <protection/>
    </xf>
    <xf numFmtId="3" fontId="1" fillId="0" borderId="0" xfId="68" applyNumberFormat="1" applyFont="1" applyFill="1" applyBorder="1">
      <alignment/>
      <protection/>
    </xf>
    <xf numFmtId="3" fontId="1" fillId="0" borderId="0" xfId="68" applyNumberFormat="1" applyFont="1" applyBorder="1">
      <alignment/>
      <protection/>
    </xf>
    <xf numFmtId="3" fontId="1" fillId="0" borderId="11" xfId="61" applyNumberFormat="1" applyFont="1" applyFill="1" applyBorder="1" applyAlignment="1">
      <alignment horizontal="center" vertical="center"/>
      <protection/>
    </xf>
    <xf numFmtId="3" fontId="0" fillId="0" borderId="10" xfId="68" applyNumberFormat="1" applyFont="1" applyBorder="1" applyAlignment="1">
      <alignment vertical="center"/>
      <protection/>
    </xf>
    <xf numFmtId="3" fontId="1" fillId="0" borderId="10" xfId="68" applyNumberFormat="1" applyFont="1" applyBorder="1" applyAlignment="1">
      <alignment horizontal="left" vertical="center" wrapText="1"/>
      <protection/>
    </xf>
    <xf numFmtId="3" fontId="0" fillId="0" borderId="10" xfId="68" applyNumberFormat="1" applyFont="1" applyBorder="1" applyAlignment="1">
      <alignment horizontal="left" vertical="center" wrapText="1"/>
      <protection/>
    </xf>
    <xf numFmtId="3" fontId="29" fillId="8" borderId="12" xfId="61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61" applyNumberFormat="1" applyFont="1" applyFill="1" applyBorder="1" applyAlignment="1">
      <alignment horizontal="center" vertical="center"/>
      <protection/>
    </xf>
    <xf numFmtId="3" fontId="1" fillId="0" borderId="11" xfId="61" applyNumberFormat="1" applyFont="1" applyFill="1" applyBorder="1" applyAlignment="1">
      <alignment horizontal="center" vertical="center" wrapText="1"/>
      <protection/>
    </xf>
    <xf numFmtId="3" fontId="1" fillId="0" borderId="14" xfId="61" applyNumberFormat="1" applyFont="1" applyFill="1" applyBorder="1" applyAlignment="1">
      <alignment horizontal="center" vertical="center" wrapText="1"/>
      <protection/>
    </xf>
    <xf numFmtId="3" fontId="1" fillId="0" borderId="15" xfId="68" applyNumberFormat="1" applyFont="1" applyBorder="1" applyAlignment="1">
      <alignment horizontal="centerContinuous" vertical="center"/>
      <protection/>
    </xf>
    <xf numFmtId="3" fontId="1" fillId="0" borderId="16" xfId="68" applyNumberFormat="1" applyFont="1" applyBorder="1" applyAlignment="1">
      <alignment vertical="center"/>
      <protection/>
    </xf>
    <xf numFmtId="177" fontId="1" fillId="0" borderId="17" xfId="68" applyNumberFormat="1" applyFont="1" applyBorder="1" applyAlignment="1">
      <alignment horizontal="right" vertical="center"/>
      <protection/>
    </xf>
    <xf numFmtId="177" fontId="1" fillId="0" borderId="12" xfId="68" applyNumberFormat="1" applyFont="1" applyBorder="1" applyAlignment="1">
      <alignment horizontal="right" vertical="center"/>
      <protection/>
    </xf>
    <xf numFmtId="177" fontId="1" fillId="0" borderId="17" xfId="68" applyNumberFormat="1" applyFont="1" applyBorder="1" applyAlignment="1" applyProtection="1">
      <alignment horizontal="right" vertical="center"/>
      <protection locked="0"/>
    </xf>
    <xf numFmtId="177" fontId="1" fillId="0" borderId="12" xfId="68" applyNumberFormat="1" applyFont="1" applyBorder="1" applyAlignment="1" applyProtection="1">
      <alignment horizontal="right" vertical="center"/>
      <protection locked="0"/>
    </xf>
    <xf numFmtId="177" fontId="0" fillId="0" borderId="17" xfId="68" applyNumberFormat="1" applyFont="1" applyBorder="1" applyAlignment="1" applyProtection="1">
      <alignment horizontal="right" vertical="center"/>
      <protection locked="0"/>
    </xf>
    <xf numFmtId="177" fontId="0" fillId="0" borderId="12" xfId="68" applyNumberFormat="1" applyFont="1" applyBorder="1" applyAlignment="1" applyProtection="1">
      <alignment horizontal="right" vertical="center"/>
      <protection locked="0"/>
    </xf>
    <xf numFmtId="177" fontId="0" fillId="0" borderId="18" xfId="68" applyNumberFormat="1" applyFont="1" applyBorder="1" applyAlignment="1" applyProtection="1">
      <alignment horizontal="right" vertical="center"/>
      <protection locked="0"/>
    </xf>
    <xf numFmtId="177" fontId="0" fillId="0" borderId="12" xfId="68" applyNumberFormat="1" applyFont="1" applyFill="1" applyBorder="1" applyAlignment="1" applyProtection="1">
      <alignment horizontal="right" vertical="center"/>
      <protection locked="0"/>
    </xf>
    <xf numFmtId="177" fontId="0" fillId="0" borderId="17" xfId="68" applyNumberFormat="1" applyFont="1" applyBorder="1" applyAlignment="1">
      <alignment horizontal="right" vertical="center"/>
      <protection/>
    </xf>
    <xf numFmtId="177" fontId="0" fillId="0" borderId="12" xfId="68" applyNumberFormat="1" applyFont="1" applyBorder="1" applyAlignment="1">
      <alignment horizontal="right" vertical="center"/>
      <protection/>
    </xf>
    <xf numFmtId="177" fontId="1" fillId="0" borderId="19" xfId="68" applyNumberFormat="1" applyFont="1" applyBorder="1" applyAlignment="1">
      <alignment horizontal="right" vertical="center"/>
      <protection/>
    </xf>
    <xf numFmtId="177" fontId="1" fillId="0" borderId="20" xfId="68" applyNumberFormat="1" applyFont="1" applyBorder="1" applyAlignment="1">
      <alignment horizontal="right" vertical="center"/>
      <protection/>
    </xf>
    <xf numFmtId="177" fontId="0" fillId="0" borderId="0" xfId="68" applyNumberFormat="1" applyFont="1" applyBorder="1">
      <alignment/>
      <protection/>
    </xf>
    <xf numFmtId="177" fontId="0" fillId="0" borderId="0" xfId="68" applyNumberFormat="1" applyFont="1" applyBorder="1" applyAlignment="1">
      <alignment horizontal="center"/>
      <protection/>
    </xf>
    <xf numFmtId="177" fontId="0" fillId="0" borderId="0" xfId="68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8" applyNumberFormat="1" applyFont="1" applyFill="1" applyBorder="1" applyAlignment="1" applyProtection="1">
      <alignment horizontal="right" vertical="center"/>
      <protection locked="0"/>
    </xf>
    <xf numFmtId="10" fontId="0" fillId="0" borderId="0" xfId="70" applyNumberFormat="1" applyFont="1" applyBorder="1" applyAlignment="1">
      <alignment vertical="center"/>
    </xf>
    <xf numFmtId="3" fontId="1" fillId="0" borderId="0" xfId="68" applyNumberFormat="1" applyFont="1" applyBorder="1" applyAlignment="1">
      <alignment vertical="center"/>
      <protection/>
    </xf>
    <xf numFmtId="3" fontId="0" fillId="0" borderId="0" xfId="67" applyNumberFormat="1" applyFont="1" applyBorder="1">
      <alignment/>
      <protection/>
    </xf>
    <xf numFmtId="0" fontId="0" fillId="0" borderId="0" xfId="59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9" applyFont="1">
      <alignment/>
      <protection/>
    </xf>
    <xf numFmtId="0" fontId="1" fillId="0" borderId="0" xfId="59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2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2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2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4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2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9" applyFont="1" applyFill="1">
      <alignment/>
      <protection/>
    </xf>
    <xf numFmtId="3" fontId="0" fillId="3" borderId="0" xfId="67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2" applyFont="1" applyFill="1" applyBorder="1" applyAlignment="1">
      <alignment horizontal="center" vertical="center" wrapText="1"/>
      <protection/>
    </xf>
    <xf numFmtId="0" fontId="0" fillId="0" borderId="0" xfId="58">
      <alignment/>
      <protection/>
    </xf>
    <xf numFmtId="0" fontId="0" fillId="0" borderId="0" xfId="58" applyFill="1">
      <alignment/>
      <protection/>
    </xf>
    <xf numFmtId="0" fontId="32" fillId="0" borderId="17" xfId="58" applyFont="1" applyBorder="1" applyAlignment="1">
      <alignment horizontal="center" vertical="center" wrapText="1"/>
      <protection/>
    </xf>
    <xf numFmtId="0" fontId="33" fillId="0" borderId="17" xfId="58" applyFont="1" applyBorder="1" applyAlignment="1">
      <alignment horizontal="center" vertical="center" wrapText="1"/>
      <protection/>
    </xf>
    <xf numFmtId="0" fontId="0" fillId="0" borderId="17" xfId="58" applyBorder="1">
      <alignment/>
      <protection/>
    </xf>
    <xf numFmtId="0" fontId="34" fillId="0" borderId="17" xfId="58" applyFont="1" applyBorder="1" applyAlignment="1">
      <alignment horizontal="left" wrapText="1"/>
      <protection/>
    </xf>
    <xf numFmtId="0" fontId="0" fillId="0" borderId="45" xfId="58" applyBorder="1">
      <alignment/>
      <protection/>
    </xf>
    <xf numFmtId="0" fontId="36" fillId="0" borderId="46" xfId="58" applyFont="1" applyBorder="1" applyAlignment="1">
      <alignment wrapText="1"/>
      <protection/>
    </xf>
    <xf numFmtId="172" fontId="35" fillId="0" borderId="46" xfId="58" applyNumberFormat="1" applyFont="1" applyBorder="1" applyAlignment="1">
      <alignment wrapText="1"/>
      <protection/>
    </xf>
    <xf numFmtId="172" fontId="37" fillId="0" borderId="46" xfId="58" applyNumberFormat="1" applyFont="1" applyBorder="1">
      <alignment/>
      <protection/>
    </xf>
    <xf numFmtId="172" fontId="37" fillId="0" borderId="47" xfId="58" applyNumberFormat="1" applyFont="1" applyBorder="1">
      <alignment/>
      <protection/>
    </xf>
    <xf numFmtId="2" fontId="8" fillId="8" borderId="25" xfId="62" applyNumberFormat="1" applyFont="1" applyFill="1" applyBorder="1" applyAlignment="1">
      <alignment horizontal="center" vertical="center" wrapText="1"/>
      <protection/>
    </xf>
    <xf numFmtId="0" fontId="0" fillId="0" borderId="46" xfId="58" applyFont="1" applyBorder="1">
      <alignment/>
      <protection/>
    </xf>
    <xf numFmtId="0" fontId="0" fillId="0" borderId="47" xfId="58" applyFont="1" applyBorder="1">
      <alignment/>
      <protection/>
    </xf>
    <xf numFmtId="0" fontId="0" fillId="0" borderId="0" xfId="58" applyFont="1">
      <alignment/>
      <protection/>
    </xf>
    <xf numFmtId="172" fontId="38" fillId="0" borderId="17" xfId="58" applyNumberFormat="1" applyFont="1" applyBorder="1" applyAlignment="1">
      <alignment horizontal="center" vertical="center" wrapText="1"/>
      <protection/>
    </xf>
    <xf numFmtId="172" fontId="39" fillId="0" borderId="17" xfId="58" applyNumberFormat="1" applyFont="1" applyBorder="1" applyAlignment="1">
      <alignment horizontal="center" wrapText="1"/>
      <protection/>
    </xf>
    <xf numFmtId="172" fontId="39" fillId="0" borderId="17" xfId="58" applyNumberFormat="1" applyFont="1" applyBorder="1" applyAlignment="1">
      <alignment horizontal="center" vertical="center" wrapText="1"/>
      <protection/>
    </xf>
    <xf numFmtId="172" fontId="38" fillId="0" borderId="48" xfId="58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2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2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2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2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4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9" applyFont="1" applyFill="1" applyAlignment="1">
      <alignment vertical="center"/>
      <protection/>
    </xf>
    <xf numFmtId="3" fontId="43" fillId="3" borderId="0" xfId="67" applyNumberFormat="1" applyFont="1" applyFill="1" applyBorder="1" applyAlignment="1">
      <alignment vertical="center"/>
      <protection/>
    </xf>
    <xf numFmtId="0" fontId="43" fillId="0" borderId="0" xfId="59" applyFont="1" applyAlignment="1">
      <alignment vertical="center"/>
      <protection/>
    </xf>
    <xf numFmtId="3" fontId="43" fillId="0" borderId="0" xfId="67" applyNumberFormat="1" applyFont="1" applyBorder="1" applyAlignment="1">
      <alignment vertical="center"/>
      <protection/>
    </xf>
    <xf numFmtId="0" fontId="42" fillId="0" borderId="0" xfId="59" applyFont="1" applyAlignment="1">
      <alignment vertical="center" wrapText="1"/>
      <protection/>
    </xf>
    <xf numFmtId="0" fontId="42" fillId="0" borderId="0" xfId="59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4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6" applyFont="1" applyAlignment="1">
      <alignment vertical="center"/>
      <protection/>
    </xf>
    <xf numFmtId="0" fontId="43" fillId="0" borderId="0" xfId="56" applyFont="1" applyFill="1" applyAlignment="1">
      <alignment vertical="center"/>
      <protection/>
    </xf>
    <xf numFmtId="0" fontId="42" fillId="0" borderId="0" xfId="56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61" applyNumberFormat="1" applyFont="1" applyFill="1" applyBorder="1" applyAlignment="1">
      <alignment horizontal="center" vertical="center"/>
      <protection/>
    </xf>
    <xf numFmtId="2" fontId="47" fillId="8" borderId="12" xfId="61" applyNumberFormat="1" applyFont="1" applyFill="1" applyBorder="1" applyAlignment="1">
      <alignment horizontal="center" vertical="center"/>
      <protection/>
    </xf>
    <xf numFmtId="0" fontId="42" fillId="0" borderId="51" xfId="56" applyFont="1" applyBorder="1" applyAlignment="1">
      <alignment horizontal="center" vertical="center" wrapText="1"/>
      <protection/>
    </xf>
    <xf numFmtId="0" fontId="42" fillId="0" borderId="52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177" fontId="42" fillId="0" borderId="19" xfId="53" applyNumberFormat="1" applyFont="1" applyBorder="1" applyAlignment="1">
      <alignment vertical="center"/>
    </xf>
    <xf numFmtId="0" fontId="42" fillId="0" borderId="20" xfId="56" applyFont="1" applyBorder="1" applyAlignment="1">
      <alignment vertical="center"/>
      <protection/>
    </xf>
    <xf numFmtId="177" fontId="43" fillId="26" borderId="11" xfId="53" applyNumberFormat="1" applyFont="1" applyFill="1" applyBorder="1" applyAlignment="1">
      <alignment vertical="center"/>
    </xf>
    <xf numFmtId="0" fontId="43" fillId="0" borderId="14" xfId="56" applyFont="1" applyFill="1" applyBorder="1" applyAlignment="1">
      <alignment vertical="center"/>
      <protection/>
    </xf>
    <xf numFmtId="177" fontId="43" fillId="26" borderId="17" xfId="53" applyNumberFormat="1" applyFont="1" applyFill="1" applyBorder="1" applyAlignment="1">
      <alignment vertical="center"/>
    </xf>
    <xf numFmtId="0" fontId="43" fillId="0" borderId="60" xfId="56" applyFont="1" applyBorder="1" applyAlignment="1">
      <alignment vertical="center"/>
      <protection/>
    </xf>
    <xf numFmtId="177" fontId="42" fillId="0" borderId="0" xfId="53" applyNumberFormat="1" applyFont="1" applyBorder="1" applyAlignment="1">
      <alignment vertical="center"/>
    </xf>
    <xf numFmtId="0" fontId="42" fillId="0" borderId="0" xfId="56" applyFont="1" applyBorder="1" applyAlignment="1">
      <alignment vertical="center"/>
      <protection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4" fontId="43" fillId="26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1" xfId="53" applyNumberFormat="1" applyFont="1" applyBorder="1" applyAlignment="1" applyProtection="1">
      <alignment horizontal="right" vertical="center"/>
      <protection locked="0"/>
    </xf>
    <xf numFmtId="0" fontId="43" fillId="0" borderId="61" xfId="65" applyNumberFormat="1" applyFont="1" applyFill="1" applyBorder="1" applyAlignment="1" applyProtection="1">
      <alignment vertical="center"/>
      <protection locked="0"/>
    </xf>
    <xf numFmtId="0" fontId="43" fillId="0" borderId="27" xfId="65" applyNumberFormat="1" applyFont="1" applyFill="1" applyBorder="1" applyAlignment="1" applyProtection="1">
      <alignment vertical="center"/>
      <protection locked="0"/>
    </xf>
    <xf numFmtId="177" fontId="43" fillId="0" borderId="17" xfId="53" applyNumberFormat="1" applyFont="1" applyBorder="1" applyAlignment="1" applyProtection="1">
      <alignment horizontal="right" vertical="center"/>
      <protection locked="0"/>
    </xf>
    <xf numFmtId="49" fontId="43" fillId="0" borderId="62" xfId="65" applyNumberFormat="1" applyFont="1" applyFill="1" applyBorder="1" applyAlignment="1" applyProtection="1">
      <alignment horizontal="center" vertical="center"/>
      <protection locked="0"/>
    </xf>
    <xf numFmtId="49" fontId="43" fillId="0" borderId="25" xfId="65" applyNumberFormat="1" applyFont="1" applyFill="1" applyBorder="1" applyAlignment="1" applyProtection="1">
      <alignment horizontal="center" vertical="center"/>
      <protection locked="0"/>
    </xf>
    <xf numFmtId="0" fontId="43" fillId="0" borderId="62" xfId="65" applyNumberFormat="1" applyFont="1" applyFill="1" applyBorder="1" applyAlignment="1" applyProtection="1">
      <alignment vertical="center"/>
      <protection locked="0"/>
    </xf>
    <xf numFmtId="0" fontId="43" fillId="0" borderId="25" xfId="65" applyNumberFormat="1" applyFont="1" applyFill="1" applyBorder="1" applyAlignment="1" applyProtection="1">
      <alignment vertical="center"/>
      <protection locked="0"/>
    </xf>
    <xf numFmtId="4" fontId="43" fillId="26" borderId="56" xfId="65" applyNumberFormat="1" applyFont="1" applyFill="1" applyBorder="1" applyAlignment="1" applyProtection="1">
      <alignment horizontal="center" vertical="center"/>
      <protection locked="0"/>
    </xf>
    <xf numFmtId="177" fontId="43" fillId="0" borderId="48" xfId="53" applyNumberFormat="1" applyFont="1" applyBorder="1" applyAlignment="1" applyProtection="1">
      <alignment horizontal="right" vertical="center"/>
      <protection locked="0"/>
    </xf>
    <xf numFmtId="0" fontId="43" fillId="0" borderId="63" xfId="65" applyNumberFormat="1" applyFont="1" applyFill="1" applyBorder="1" applyAlignment="1" applyProtection="1">
      <alignment vertical="center"/>
      <protection locked="0"/>
    </xf>
    <xf numFmtId="0" fontId="43" fillId="0" borderId="20" xfId="65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center" vertical="center"/>
      <protection locked="0"/>
    </xf>
    <xf numFmtId="177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48" xfId="65" applyNumberFormat="1" applyFont="1" applyBorder="1" applyAlignment="1" applyProtection="1">
      <alignment horizontal="center" vertical="center"/>
      <protection locked="0"/>
    </xf>
    <xf numFmtId="177" fontId="43" fillId="0" borderId="48" xfId="65" applyNumberFormat="1" applyFont="1" applyBorder="1" applyAlignment="1" applyProtection="1">
      <alignment horizontal="right" vertical="center"/>
      <protection locked="0"/>
    </xf>
    <xf numFmtId="0" fontId="42" fillId="0" borderId="0" xfId="65" applyFont="1" applyBorder="1" applyAlignment="1">
      <alignment horizontal="center" vertical="center"/>
      <protection/>
    </xf>
    <xf numFmtId="0" fontId="43" fillId="0" borderId="0" xfId="65" applyFont="1" applyBorder="1" applyAlignment="1">
      <alignment vertical="center"/>
      <protection/>
    </xf>
    <xf numFmtId="177" fontId="42" fillId="0" borderId="0" xfId="65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6" applyFont="1" applyAlignment="1">
      <alignment vertical="center"/>
      <protection/>
    </xf>
    <xf numFmtId="4" fontId="43" fillId="0" borderId="0" xfId="66" applyNumberFormat="1" applyFont="1" applyAlignment="1">
      <alignment vertical="center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60" xfId="66" applyFont="1" applyFill="1" applyBorder="1" applyAlignment="1">
      <alignment vertical="center" wrapText="1"/>
      <protection/>
    </xf>
    <xf numFmtId="4" fontId="43" fillId="0" borderId="66" xfId="66" applyNumberFormat="1" applyFont="1" applyBorder="1" applyAlignment="1">
      <alignment vertical="center"/>
      <protection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66" xfId="66" applyNumberFormat="1" applyFont="1" applyFill="1" applyBorder="1" applyAlignment="1">
      <alignment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4" fontId="42" fillId="0" borderId="12" xfId="66" applyNumberFormat="1" applyFont="1" applyFill="1" applyBorder="1" applyAlignment="1">
      <alignment horizontal="center" vertical="center" wrapText="1"/>
      <protection/>
    </xf>
    <xf numFmtId="4" fontId="55" fillId="0" borderId="0" xfId="66" applyNumberFormat="1" applyFont="1" applyAlignment="1">
      <alignment vertical="center"/>
      <protection/>
    </xf>
    <xf numFmtId="4" fontId="43" fillId="0" borderId="59" xfId="66" applyNumberFormat="1" applyFont="1" applyFill="1" applyBorder="1" applyAlignment="1" quotePrefix="1">
      <alignment horizontal="center" vertical="center" wrapText="1"/>
      <protection/>
    </xf>
    <xf numFmtId="0" fontId="43" fillId="0" borderId="17" xfId="66" applyFont="1" applyFill="1" applyBorder="1" applyAlignment="1">
      <alignment horizontal="center" vertical="center"/>
      <protection/>
    </xf>
    <xf numFmtId="177" fontId="43" fillId="0" borderId="17" xfId="66" applyNumberFormat="1" applyFont="1" applyFill="1" applyBorder="1" applyAlignment="1">
      <alignment horizontal="center" vertical="center" wrapText="1"/>
      <protection/>
    </xf>
    <xf numFmtId="177" fontId="43" fillId="0" borderId="17" xfId="66" applyNumberFormat="1" applyFont="1" applyFill="1" applyBorder="1" applyAlignment="1">
      <alignment horizontal="right" vertical="center" wrapText="1"/>
      <protection/>
    </xf>
    <xf numFmtId="177" fontId="43" fillId="0" borderId="17" xfId="66" applyNumberFormat="1" applyFont="1" applyBorder="1" applyAlignment="1">
      <alignment horizontal="center" vertical="center"/>
      <protection/>
    </xf>
    <xf numFmtId="4" fontId="43" fillId="0" borderId="12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Alignment="1">
      <alignment horizontal="center" vertical="center"/>
      <protection/>
    </xf>
    <xf numFmtId="4" fontId="55" fillId="0" borderId="0" xfId="66" applyNumberFormat="1" applyFont="1" applyAlignment="1">
      <alignment horizontal="center" vertical="center"/>
      <protection/>
    </xf>
    <xf numFmtId="4" fontId="43" fillId="0" borderId="0" xfId="66" applyNumberFormat="1" applyFont="1" applyAlignment="1">
      <alignment horizontal="center" vertical="center"/>
      <protection/>
    </xf>
    <xf numFmtId="4" fontId="43" fillId="0" borderId="59" xfId="66" applyNumberFormat="1" applyFont="1" applyFill="1" applyBorder="1" applyAlignment="1">
      <alignment horizontal="center" vertical="center" wrapText="1"/>
      <protection/>
    </xf>
    <xf numFmtId="171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17" xfId="66" applyNumberFormat="1" applyFont="1" applyBorder="1" applyAlignment="1">
      <alignment horizontal="center" vertical="center"/>
      <protection/>
    </xf>
    <xf numFmtId="4" fontId="43" fillId="0" borderId="64" xfId="66" applyNumberFormat="1" applyFont="1" applyFill="1" applyBorder="1" applyAlignment="1">
      <alignment horizontal="center" vertical="center" wrapText="1"/>
      <protection/>
    </xf>
    <xf numFmtId="0" fontId="43" fillId="0" borderId="48" xfId="66" applyFont="1" applyFill="1" applyBorder="1" applyAlignment="1">
      <alignment horizontal="center" vertical="center"/>
      <protection/>
    </xf>
    <xf numFmtId="4" fontId="43" fillId="0" borderId="48" xfId="66" applyNumberFormat="1" applyFont="1" applyFill="1" applyBorder="1" applyAlignment="1">
      <alignment horizontal="center" vertical="center" wrapText="1"/>
      <protection/>
    </xf>
    <xf numFmtId="171" fontId="43" fillId="0" borderId="48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Border="1" applyAlignment="1">
      <alignment horizontal="center" vertical="center"/>
      <protection/>
    </xf>
    <xf numFmtId="4" fontId="43" fillId="0" borderId="25" xfId="66" applyNumberFormat="1" applyFont="1" applyFill="1" applyBorder="1" applyAlignment="1">
      <alignment horizontal="center" vertical="center" wrapText="1"/>
      <protection/>
    </xf>
    <xf numFmtId="49" fontId="43" fillId="0" borderId="67" xfId="66" applyNumberFormat="1" applyFont="1" applyBorder="1" applyAlignment="1">
      <alignment horizontal="center" vertical="center"/>
      <protection/>
    </xf>
    <xf numFmtId="0" fontId="43" fillId="0" borderId="68" xfId="66" applyFont="1" applyBorder="1" applyAlignment="1">
      <alignment horizontal="center" vertical="center"/>
      <protection/>
    </xf>
    <xf numFmtId="0" fontId="43" fillId="0" borderId="67" xfId="66" applyFont="1" applyBorder="1" applyAlignment="1">
      <alignment horizontal="center" vertical="center"/>
      <protection/>
    </xf>
    <xf numFmtId="0" fontId="43" fillId="0" borderId="67" xfId="66" applyNumberFormat="1" applyFont="1" applyBorder="1" applyAlignment="1" applyProtection="1">
      <alignment horizontal="center" vertical="center"/>
      <protection locked="0"/>
    </xf>
    <xf numFmtId="4" fontId="43" fillId="0" borderId="67" xfId="66" applyNumberFormat="1" applyFont="1" applyBorder="1" applyAlignment="1">
      <alignment horizontal="center" vertical="center"/>
      <protection/>
    </xf>
    <xf numFmtId="4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Font="1" applyFill="1" applyBorder="1" applyAlignment="1">
      <alignment horizontal="center" vertical="center"/>
      <protection/>
    </xf>
    <xf numFmtId="0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0" xfId="66" applyNumberFormat="1" applyFont="1" applyBorder="1" applyAlignment="1">
      <alignment horizontal="center" vertical="center"/>
      <protection/>
    </xf>
    <xf numFmtId="3" fontId="43" fillId="0" borderId="0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Alignment="1">
      <alignment vertical="center"/>
      <protection/>
    </xf>
    <xf numFmtId="0" fontId="42" fillId="0" borderId="0" xfId="66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61" applyNumberFormat="1" applyFont="1" applyFill="1" applyBorder="1" applyAlignment="1">
      <alignment horizontal="center" vertical="center"/>
      <protection/>
    </xf>
    <xf numFmtId="2" fontId="47" fillId="8" borderId="72" xfId="61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61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5" applyNumberFormat="1" applyFont="1" applyFill="1" applyBorder="1" applyAlignment="1" applyProtection="1">
      <alignment horizontal="center" vertical="center"/>
      <protection locked="0"/>
    </xf>
    <xf numFmtId="177" fontId="43" fillId="0" borderId="19" xfId="53" applyNumberFormat="1" applyFont="1" applyBorder="1" applyAlignment="1" applyProtection="1">
      <alignment horizontal="right" vertical="center"/>
      <protection locked="0"/>
    </xf>
    <xf numFmtId="177" fontId="43" fillId="0" borderId="14" xfId="65" applyNumberFormat="1" applyFont="1" applyBorder="1" applyAlignment="1" applyProtection="1">
      <alignment horizontal="right" vertical="center"/>
      <protection locked="0"/>
    </xf>
    <xf numFmtId="177" fontId="43" fillId="0" borderId="25" xfId="65" applyNumberFormat="1" applyFont="1" applyBorder="1" applyAlignment="1" applyProtection="1">
      <alignment horizontal="right" vertical="center"/>
      <protection locked="0"/>
    </xf>
    <xf numFmtId="0" fontId="59" fillId="8" borderId="17" xfId="62" applyNumberFormat="1" applyFont="1" applyFill="1" applyBorder="1" applyAlignment="1">
      <alignment horizontal="center" vertical="center"/>
      <protection/>
    </xf>
    <xf numFmtId="0" fontId="59" fillId="0" borderId="0" xfId="62" applyNumberFormat="1" applyFont="1" applyFill="1" applyBorder="1" applyAlignment="1">
      <alignment horizontal="center" vertical="center"/>
      <protection/>
    </xf>
    <xf numFmtId="0" fontId="41" fillId="0" borderId="0" xfId="62" applyNumberFormat="1" applyFont="1" applyFill="1" applyBorder="1" applyAlignment="1">
      <alignment horizontal="center" vertical="center"/>
      <protection/>
    </xf>
    <xf numFmtId="3" fontId="40" fillId="0" borderId="0" xfId="68" applyNumberFormat="1" applyFont="1" applyBorder="1">
      <alignment/>
      <protection/>
    </xf>
    <xf numFmtId="3" fontId="43" fillId="0" borderId="0" xfId="68" applyNumberFormat="1" applyFont="1" applyBorder="1">
      <alignment/>
      <protection/>
    </xf>
    <xf numFmtId="2" fontId="59" fillId="8" borderId="17" xfId="62" applyNumberFormat="1" applyFont="1" applyFill="1" applyBorder="1" applyAlignment="1">
      <alignment horizontal="center" vertical="center"/>
      <protection/>
    </xf>
    <xf numFmtId="2" fontId="59" fillId="0" borderId="0" xfId="62" applyNumberFormat="1" applyFont="1" applyFill="1" applyBorder="1" applyAlignment="1">
      <alignment horizontal="center" vertical="center"/>
      <protection/>
    </xf>
    <xf numFmtId="2" fontId="41" fillId="0" borderId="0" xfId="62" applyNumberFormat="1" applyFont="1" applyFill="1" applyBorder="1" applyAlignment="1">
      <alignment horizontal="center" vertical="center"/>
      <protection/>
    </xf>
    <xf numFmtId="2" fontId="61" fillId="0" borderId="0" xfId="62" applyNumberFormat="1" applyFont="1" applyFill="1" applyBorder="1" applyAlignment="1">
      <alignment horizontal="center" vertical="center"/>
      <protection/>
    </xf>
    <xf numFmtId="2" fontId="62" fillId="0" borderId="0" xfId="62" applyNumberFormat="1" applyFont="1" applyFill="1" applyBorder="1" applyAlignment="1">
      <alignment horizontal="center" vertical="center"/>
      <protection/>
    </xf>
    <xf numFmtId="3" fontId="44" fillId="0" borderId="62" xfId="68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8" applyNumberFormat="1" applyFont="1" applyBorder="1" applyAlignment="1">
      <alignment horizontal="center" vertical="center" wrapText="1"/>
      <protection/>
    </xf>
    <xf numFmtId="3" fontId="32" fillId="0" borderId="18" xfId="68" applyNumberFormat="1" applyFont="1" applyFill="1" applyBorder="1" applyAlignment="1">
      <alignment vertical="center"/>
      <protection/>
    </xf>
    <xf numFmtId="4" fontId="44" fillId="0" borderId="0" xfId="68" applyNumberFormat="1" applyFont="1" applyBorder="1" applyAlignment="1">
      <alignment horizontal="right" vertical="center"/>
      <protection/>
    </xf>
    <xf numFmtId="3" fontId="43" fillId="0" borderId="0" xfId="68" applyNumberFormat="1" applyFont="1" applyBorder="1" applyAlignment="1">
      <alignment vertical="center"/>
      <protection/>
    </xf>
    <xf numFmtId="3" fontId="42" fillId="0" borderId="17" xfId="68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 applyProtection="1">
      <alignment horizontal="right" vertical="center"/>
      <protection locked="0"/>
    </xf>
    <xf numFmtId="179" fontId="41" fillId="0" borderId="0" xfId="51" applyNumberFormat="1" applyFont="1" applyBorder="1" applyAlignment="1" applyProtection="1">
      <alignment horizontal="right" vertical="center"/>
      <protection locked="0"/>
    </xf>
    <xf numFmtId="4" fontId="41" fillId="0" borderId="0" xfId="68" applyNumberFormat="1" applyFont="1" applyBorder="1" applyAlignment="1">
      <alignment vertical="center"/>
      <protection/>
    </xf>
    <xf numFmtId="3" fontId="43" fillId="0" borderId="17" xfId="68" applyNumberFormat="1" applyFont="1" applyFill="1" applyBorder="1" applyAlignment="1">
      <alignment vertical="center"/>
      <protection/>
    </xf>
    <xf numFmtId="179" fontId="56" fillId="0" borderId="0" xfId="51" applyNumberFormat="1" applyFont="1" applyBorder="1" applyAlignment="1" applyProtection="1">
      <alignment horizontal="right" vertical="center"/>
      <protection locked="0"/>
    </xf>
    <xf numFmtId="179" fontId="40" fillId="0" borderId="0" xfId="51" applyNumberFormat="1" applyFont="1" applyBorder="1" applyAlignment="1" applyProtection="1">
      <alignment horizontal="right" vertical="center"/>
      <protection locked="0"/>
    </xf>
    <xf numFmtId="3" fontId="40" fillId="0" borderId="0" xfId="68" applyNumberFormat="1" applyFont="1" applyBorder="1" applyAlignment="1">
      <alignment vertical="center"/>
      <protection/>
    </xf>
    <xf numFmtId="179" fontId="56" fillId="0" borderId="0" xfId="51" applyNumberFormat="1" applyFont="1" applyFill="1" applyBorder="1" applyAlignment="1" applyProtection="1">
      <alignment horizontal="right" vertical="center"/>
      <protection locked="0"/>
    </xf>
    <xf numFmtId="3" fontId="42" fillId="0" borderId="17" xfId="68" applyNumberFormat="1" applyFont="1" applyFill="1" applyBorder="1" applyAlignment="1">
      <alignment vertical="center" wrapText="1"/>
      <protection/>
    </xf>
    <xf numFmtId="179" fontId="44" fillId="0" borderId="0" xfId="51" applyNumberFormat="1" applyFont="1" applyFill="1" applyBorder="1" applyAlignment="1" applyProtection="1">
      <alignment horizontal="right" vertical="center"/>
      <protection locked="0"/>
    </xf>
    <xf numFmtId="179" fontId="41" fillId="0" borderId="0" xfId="51" applyNumberFormat="1" applyFont="1" applyFill="1" applyBorder="1" applyAlignment="1" applyProtection="1">
      <alignment horizontal="right" vertical="center"/>
      <protection locked="0"/>
    </xf>
    <xf numFmtId="3" fontId="42" fillId="0" borderId="17" xfId="68" applyNumberFormat="1" applyFont="1" applyFill="1" applyBorder="1" applyAlignment="1">
      <alignment horizontal="left" vertical="center" wrapText="1"/>
      <protection/>
    </xf>
    <xf numFmtId="179" fontId="40" fillId="0" borderId="0" xfId="51" applyNumberFormat="1" applyFont="1" applyFill="1" applyBorder="1" applyAlignment="1" applyProtection="1">
      <alignment horizontal="right" vertical="center"/>
      <protection locked="0"/>
    </xf>
    <xf numFmtId="3" fontId="40" fillId="0" borderId="0" xfId="68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>
      <alignment horizontal="right" vertical="center"/>
    </xf>
    <xf numFmtId="179" fontId="41" fillId="0" borderId="0" xfId="51" applyNumberFormat="1" applyFont="1" applyBorder="1" applyAlignment="1">
      <alignment horizontal="right" vertical="center"/>
    </xf>
    <xf numFmtId="179" fontId="56" fillId="0" borderId="0" xfId="51" applyNumberFormat="1" applyFont="1" applyFill="1" applyBorder="1" applyAlignment="1">
      <alignment horizontal="right" vertical="center"/>
    </xf>
    <xf numFmtId="179" fontId="40" fillId="0" borderId="0" xfId="51" applyNumberFormat="1" applyFont="1" applyFill="1" applyBorder="1" applyAlignment="1">
      <alignment horizontal="right" vertical="center"/>
    </xf>
    <xf numFmtId="179" fontId="44" fillId="0" borderId="0" xfId="51" applyNumberFormat="1" applyFont="1" applyFill="1" applyBorder="1" applyAlignment="1">
      <alignment horizontal="right" vertical="center"/>
    </xf>
    <xf numFmtId="179" fontId="41" fillId="0" borderId="0" xfId="51" applyNumberFormat="1" applyFont="1" applyFill="1" applyBorder="1" applyAlignment="1">
      <alignment horizontal="right" vertical="center"/>
    </xf>
    <xf numFmtId="3" fontId="43" fillId="0" borderId="17" xfId="68" applyNumberFormat="1" applyFont="1" applyFill="1" applyBorder="1" applyAlignment="1">
      <alignment vertical="center" wrapText="1"/>
      <protection/>
    </xf>
    <xf numFmtId="3" fontId="32" fillId="0" borderId="17" xfId="68" applyNumberFormat="1" applyFont="1" applyFill="1" applyBorder="1" applyAlignment="1">
      <alignment vertical="center"/>
      <protection/>
    </xf>
    <xf numFmtId="179" fontId="44" fillId="0" borderId="0" xfId="51" applyNumberFormat="1" applyFont="1" applyBorder="1" applyAlignment="1" applyProtection="1">
      <alignment vertical="center"/>
      <protection locked="0"/>
    </xf>
    <xf numFmtId="179" fontId="44" fillId="0" borderId="0" xfId="51" applyNumberFormat="1" applyFont="1" applyFill="1" applyBorder="1" applyAlignment="1">
      <alignment vertical="center"/>
    </xf>
    <xf numFmtId="3" fontId="32" fillId="0" borderId="17" xfId="68" applyNumberFormat="1" applyFont="1" applyFill="1" applyBorder="1" applyAlignment="1">
      <alignment vertical="center" wrapText="1"/>
      <protection/>
    </xf>
    <xf numFmtId="3" fontId="44" fillId="0" borderId="17" xfId="68" applyNumberFormat="1" applyFont="1" applyFill="1" applyBorder="1" applyAlignment="1">
      <alignment vertical="center"/>
      <protection/>
    </xf>
    <xf numFmtId="4" fontId="43" fillId="0" borderId="0" xfId="68" applyNumberFormat="1" applyFont="1" applyBorder="1">
      <alignment/>
      <protection/>
    </xf>
    <xf numFmtId="4" fontId="40" fillId="0" borderId="0" xfId="68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8" applyNumberFormat="1" applyFont="1" applyBorder="1">
      <alignment/>
      <protection/>
    </xf>
    <xf numFmtId="4" fontId="43" fillId="0" borderId="0" xfId="68" applyNumberFormat="1" applyFont="1" applyBorder="1" applyAlignment="1">
      <alignment horizontal="center"/>
      <protection/>
    </xf>
    <xf numFmtId="4" fontId="40" fillId="0" borderId="0" xfId="68" applyNumberFormat="1" applyFont="1" applyBorder="1" applyAlignment="1">
      <alignment horizontal="center"/>
      <protection/>
    </xf>
    <xf numFmtId="177" fontId="43" fillId="0" borderId="0" xfId="68" applyNumberFormat="1" applyFont="1" applyBorder="1">
      <alignment/>
      <protection/>
    </xf>
    <xf numFmtId="177" fontId="40" fillId="0" borderId="0" xfId="68" applyNumberFormat="1" applyFont="1" applyBorder="1">
      <alignment/>
      <protection/>
    </xf>
    <xf numFmtId="177" fontId="43" fillId="22" borderId="0" xfId="68" applyNumberFormat="1" applyFont="1" applyFill="1" applyBorder="1">
      <alignment/>
      <protection/>
    </xf>
    <xf numFmtId="177" fontId="40" fillId="22" borderId="0" xfId="68" applyNumberFormat="1" applyFont="1" applyFill="1" applyBorder="1">
      <alignment/>
      <protection/>
    </xf>
    <xf numFmtId="3" fontId="43" fillId="0" borderId="0" xfId="68" applyNumberFormat="1" applyFont="1" applyFill="1" applyBorder="1">
      <alignment/>
      <protection/>
    </xf>
    <xf numFmtId="177" fontId="43" fillId="0" borderId="0" xfId="68" applyNumberFormat="1" applyFont="1" applyFill="1" applyBorder="1">
      <alignment/>
      <protection/>
    </xf>
    <xf numFmtId="177" fontId="40" fillId="0" borderId="0" xfId="68" applyNumberFormat="1" applyFont="1" applyFill="1" applyBorder="1">
      <alignment/>
      <protection/>
    </xf>
    <xf numFmtId="3" fontId="40" fillId="0" borderId="0" xfId="68" applyNumberFormat="1" applyFont="1" applyFill="1" applyBorder="1">
      <alignment/>
      <protection/>
    </xf>
    <xf numFmtId="3" fontId="43" fillId="22" borderId="0" xfId="68" applyNumberFormat="1" applyFont="1" applyFill="1" applyBorder="1" applyAlignment="1">
      <alignment horizontal="right"/>
      <protection/>
    </xf>
    <xf numFmtId="4" fontId="43" fillId="22" borderId="0" xfId="68" applyNumberFormat="1" applyFont="1" applyFill="1" applyBorder="1">
      <alignment/>
      <protection/>
    </xf>
    <xf numFmtId="4" fontId="40" fillId="22" borderId="0" xfId="68" applyNumberFormat="1" applyFont="1" applyFill="1" applyBorder="1">
      <alignment/>
      <protection/>
    </xf>
    <xf numFmtId="0" fontId="59" fillId="25" borderId="17" xfId="62" applyFont="1" applyFill="1" applyBorder="1" applyAlignment="1">
      <alignment horizontal="center" vertical="center" wrapText="1"/>
      <protection/>
    </xf>
    <xf numFmtId="0" fontId="43" fillId="0" borderId="0" xfId="62" applyFont="1" applyAlignment="1">
      <alignment vertical="center"/>
      <protection/>
    </xf>
    <xf numFmtId="168" fontId="61" fillId="0" borderId="0" xfId="62" applyNumberFormat="1" applyFont="1" applyFill="1" applyBorder="1" applyAlignment="1">
      <alignment horizontal="center" vertical="center" wrapText="1"/>
      <protection/>
    </xf>
    <xf numFmtId="0" fontId="32" fillId="0" borderId="17" xfId="62" applyFont="1" applyFill="1" applyBorder="1" applyAlignment="1">
      <alignment horizontal="center" vertical="center"/>
      <protection/>
    </xf>
    <xf numFmtId="0" fontId="42" fillId="0" borderId="17" xfId="62" applyFont="1" applyFill="1" applyBorder="1" applyAlignment="1">
      <alignment horizontal="center" vertical="center"/>
      <protection/>
    </xf>
    <xf numFmtId="0" fontId="42" fillId="0" borderId="17" xfId="62" applyFont="1" applyFill="1" applyBorder="1" applyAlignment="1">
      <alignment horizontal="center" vertical="center" wrapText="1"/>
      <protection/>
    </xf>
    <xf numFmtId="0" fontId="42" fillId="0" borderId="0" xfId="62" applyFont="1" applyFill="1" applyBorder="1" applyAlignment="1">
      <alignment horizontal="center" vertical="center" wrapText="1"/>
      <protection/>
    </xf>
    <xf numFmtId="0" fontId="42" fillId="0" borderId="17" xfId="62" applyFont="1" applyFill="1" applyBorder="1" applyAlignment="1">
      <alignment vertical="center"/>
      <protection/>
    </xf>
    <xf numFmtId="4" fontId="42" fillId="0" borderId="0" xfId="62" applyNumberFormat="1" applyFont="1" applyFill="1" applyBorder="1" applyAlignment="1">
      <alignment horizontal="right" vertical="center"/>
      <protection/>
    </xf>
    <xf numFmtId="4" fontId="43" fillId="0" borderId="0" xfId="62" applyNumberFormat="1" applyFont="1" applyFill="1" applyBorder="1" applyAlignment="1">
      <alignment horizontal="right" vertical="center"/>
      <protection/>
    </xf>
    <xf numFmtId="0" fontId="43" fillId="0" borderId="17" xfId="62" applyFont="1" applyFill="1" applyBorder="1" applyAlignment="1">
      <alignment vertical="center"/>
      <protection/>
    </xf>
    <xf numFmtId="4" fontId="43" fillId="0" borderId="0" xfId="62" applyNumberFormat="1" applyFont="1" applyAlignment="1">
      <alignment vertical="center"/>
      <protection/>
    </xf>
    <xf numFmtId="0" fontId="43" fillId="0" borderId="0" xfId="62" applyFont="1" applyFill="1" applyAlignment="1">
      <alignment vertical="center"/>
      <protection/>
    </xf>
    <xf numFmtId="0" fontId="44" fillId="0" borderId="17" xfId="62" applyFont="1" applyFill="1" applyBorder="1" applyAlignment="1">
      <alignment horizontal="left" vertical="center"/>
      <protection/>
    </xf>
    <xf numFmtId="0" fontId="44" fillId="0" borderId="0" xfId="62" applyFont="1" applyFill="1" applyBorder="1" applyAlignment="1">
      <alignment horizontal="left" vertical="center"/>
      <protection/>
    </xf>
    <xf numFmtId="4" fontId="42" fillId="0" borderId="0" xfId="62" applyNumberFormat="1" applyFont="1" applyBorder="1" applyAlignment="1">
      <alignment horizontal="right" vertical="center"/>
      <protection/>
    </xf>
    <xf numFmtId="0" fontId="45" fillId="0" borderId="0" xfId="62" applyFont="1" applyAlignment="1" quotePrefix="1">
      <alignment vertical="center"/>
      <protection/>
    </xf>
    <xf numFmtId="2" fontId="43" fillId="0" borderId="0" xfId="62" applyNumberFormat="1" applyFont="1" applyAlignment="1">
      <alignment vertical="center"/>
      <protection/>
    </xf>
    <xf numFmtId="2" fontId="43" fillId="0" borderId="0" xfId="62" applyNumberFormat="1" applyFont="1" applyFill="1" applyAlignment="1">
      <alignment vertical="center"/>
      <protection/>
    </xf>
    <xf numFmtId="4" fontId="43" fillId="0" borderId="0" xfId="62" applyNumberFormat="1" applyFont="1" applyFill="1" applyBorder="1" applyAlignment="1">
      <alignment vertical="center"/>
      <protection/>
    </xf>
    <xf numFmtId="0" fontId="43" fillId="0" borderId="0" xfId="62" applyFont="1" applyFill="1" applyBorder="1" applyAlignment="1">
      <alignment vertical="center"/>
      <protection/>
    </xf>
    <xf numFmtId="4" fontId="43" fillId="27" borderId="0" xfId="62" applyNumberFormat="1" applyFont="1" applyFill="1" applyBorder="1" applyAlignment="1">
      <alignment vertical="center"/>
      <protection/>
    </xf>
    <xf numFmtId="0" fontId="42" fillId="0" borderId="0" xfId="62" applyFont="1" applyFill="1" applyBorder="1" applyAlignment="1">
      <alignment vertical="center"/>
      <protection/>
    </xf>
    <xf numFmtId="4" fontId="42" fillId="0" borderId="0" xfId="62" applyNumberFormat="1" applyFont="1" applyFill="1" applyBorder="1" applyAlignment="1">
      <alignment vertical="center"/>
      <protection/>
    </xf>
    <xf numFmtId="2" fontId="43" fillId="0" borderId="0" xfId="62" applyNumberFormat="1" applyFont="1" applyFill="1" applyBorder="1" applyAlignment="1">
      <alignment vertical="center"/>
      <protection/>
    </xf>
    <xf numFmtId="0" fontId="43" fillId="0" borderId="0" xfId="62" applyFont="1">
      <alignment/>
      <protection/>
    </xf>
    <xf numFmtId="2" fontId="43" fillId="0" borderId="0" xfId="62" applyNumberFormat="1" applyFont="1">
      <alignment/>
      <protection/>
    </xf>
    <xf numFmtId="2" fontId="43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0" fontId="59" fillId="0" borderId="0" xfId="62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2" applyFont="1" applyFill="1" applyBorder="1" applyAlignment="1">
      <alignment horizontal="left" vertical="center"/>
      <protection/>
    </xf>
    <xf numFmtId="0" fontId="42" fillId="0" borderId="17" xfId="62" applyFont="1" applyBorder="1" applyAlignment="1">
      <alignment vertical="center"/>
      <protection/>
    </xf>
    <xf numFmtId="0" fontId="43" fillId="0" borderId="17" xfId="62" applyFont="1" applyBorder="1" applyAlignment="1">
      <alignment vertical="center"/>
      <protection/>
    </xf>
    <xf numFmtId="4" fontId="43" fillId="0" borderId="0" xfId="68" applyNumberFormat="1" applyFont="1" applyFill="1" applyBorder="1" applyAlignment="1">
      <alignment horizontal="right" vertical="center"/>
      <protection/>
    </xf>
    <xf numFmtId="0" fontId="43" fillId="0" borderId="17" xfId="62" applyFont="1" applyFill="1" applyBorder="1" applyAlignment="1">
      <alignment vertical="center" wrapText="1"/>
      <protection/>
    </xf>
    <xf numFmtId="0" fontId="42" fillId="0" borderId="17" xfId="62" applyFont="1" applyFill="1" applyBorder="1" applyAlignment="1">
      <alignment vertical="center" wrapText="1"/>
      <protection/>
    </xf>
    <xf numFmtId="4" fontId="43" fillId="0" borderId="0" xfId="62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2" applyNumberFormat="1" applyFont="1" applyBorder="1" applyAlignment="1" applyProtection="1">
      <alignment vertical="center"/>
      <protection/>
    </xf>
    <xf numFmtId="177" fontId="43" fillId="0" borderId="22" xfId="52" applyNumberFormat="1" applyFont="1" applyBorder="1" applyAlignment="1">
      <alignment vertical="center"/>
    </xf>
    <xf numFmtId="177" fontId="42" fillId="24" borderId="22" xfId="52" applyNumberFormat="1" applyFont="1" applyFill="1" applyBorder="1" applyAlignment="1" applyProtection="1">
      <alignment vertical="center"/>
      <protection/>
    </xf>
    <xf numFmtId="177" fontId="43" fillId="0" borderId="79" xfId="52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6" applyFont="1" applyBorder="1" applyAlignment="1">
      <alignment horizontal="center" vertical="center" wrapText="1"/>
      <protection/>
    </xf>
    <xf numFmtId="0" fontId="42" fillId="0" borderId="59" xfId="56" applyFont="1" applyBorder="1" applyAlignment="1">
      <alignment vertical="center" wrapText="1"/>
      <protection/>
    </xf>
    <xf numFmtId="0" fontId="42" fillId="0" borderId="59" xfId="56" applyFont="1" applyBorder="1" applyAlignment="1">
      <alignment horizontal="left" vertical="center" wrapText="1"/>
      <protection/>
    </xf>
    <xf numFmtId="0" fontId="43" fillId="0" borderId="59" xfId="56" applyFont="1" applyBorder="1" applyAlignment="1">
      <alignment vertical="center"/>
      <protection/>
    </xf>
    <xf numFmtId="0" fontId="42" fillId="0" borderId="57" xfId="56" applyFont="1" applyBorder="1" applyAlignment="1">
      <alignment horizontal="left" vertical="center" wrapText="1"/>
      <protection/>
    </xf>
    <xf numFmtId="171" fontId="42" fillId="0" borderId="67" xfId="66" applyNumberFormat="1" applyFont="1" applyFill="1" applyBorder="1" applyAlignment="1">
      <alignment horizontal="right" vertical="center" wrapText="1"/>
      <protection/>
    </xf>
    <xf numFmtId="179" fontId="42" fillId="0" borderId="17" xfId="51" applyNumberFormat="1" applyFont="1" applyFill="1" applyBorder="1" applyAlignment="1" applyProtection="1">
      <alignment horizontal="right" vertical="center"/>
      <protection locked="0"/>
    </xf>
    <xf numFmtId="179" fontId="43" fillId="0" borderId="17" xfId="51" applyNumberFormat="1" applyFont="1" applyFill="1" applyBorder="1" applyAlignment="1" applyProtection="1">
      <alignment horizontal="right" vertical="center"/>
      <protection locked="0"/>
    </xf>
    <xf numFmtId="179" fontId="42" fillId="0" borderId="17" xfId="51" applyNumberFormat="1" applyFont="1" applyFill="1" applyBorder="1" applyAlignment="1" applyProtection="1">
      <alignment vertical="center"/>
      <protection locked="0"/>
    </xf>
    <xf numFmtId="179" fontId="42" fillId="0" borderId="17" xfId="51" applyNumberFormat="1" applyFont="1" applyFill="1" applyBorder="1" applyAlignment="1" applyProtection="1">
      <alignment horizontal="right" vertical="center"/>
      <protection/>
    </xf>
    <xf numFmtId="179" fontId="43" fillId="0" borderId="17" xfId="51" applyNumberFormat="1" applyFont="1" applyFill="1" applyBorder="1" applyAlignment="1" applyProtection="1">
      <alignment horizontal="right" vertical="center"/>
      <protection/>
    </xf>
    <xf numFmtId="179" fontId="42" fillId="0" borderId="17" xfId="51" applyNumberFormat="1" applyFont="1" applyFill="1" applyBorder="1" applyAlignment="1" applyProtection="1">
      <alignment vertical="center"/>
      <protection/>
    </xf>
    <xf numFmtId="4" fontId="42" fillId="0" borderId="17" xfId="62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45" applyFont="1" applyBorder="1" applyAlignment="1" applyProtection="1">
      <alignment vertical="center" wrapText="1"/>
      <protection locked="0"/>
    </xf>
    <xf numFmtId="169" fontId="43" fillId="0" borderId="81" xfId="45" applyFont="1" applyBorder="1" applyAlignment="1" applyProtection="1">
      <alignment vertical="center" wrapText="1"/>
      <protection locked="0"/>
    </xf>
    <xf numFmtId="177" fontId="43" fillId="0" borderId="81" xfId="45" applyNumberFormat="1" applyFont="1" applyBorder="1" applyAlignment="1" applyProtection="1">
      <alignment vertical="center" wrapText="1"/>
      <protection locked="0"/>
    </xf>
    <xf numFmtId="10" fontId="48" fillId="0" borderId="81" xfId="70" applyNumberFormat="1" applyFont="1" applyBorder="1" applyAlignment="1" applyProtection="1">
      <alignment vertical="center" wrapText="1"/>
      <protection locked="0"/>
    </xf>
    <xf numFmtId="177" fontId="43" fillId="0" borderId="81" xfId="70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70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4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70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4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6" applyFont="1" applyBorder="1" applyAlignment="1" applyProtection="1">
      <alignment horizontal="left" vertical="center" wrapText="1"/>
      <protection locked="0"/>
    </xf>
    <xf numFmtId="0" fontId="43" fillId="0" borderId="12" xfId="56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6" applyFont="1" applyBorder="1" applyAlignment="1" applyProtection="1">
      <alignment vertical="center"/>
      <protection locked="0"/>
    </xf>
    <xf numFmtId="2" fontId="43" fillId="0" borderId="17" xfId="56" applyNumberFormat="1" applyFont="1" applyBorder="1" applyAlignment="1" applyProtection="1">
      <alignment vertical="center"/>
      <protection locked="0"/>
    </xf>
    <xf numFmtId="0" fontId="43" fillId="0" borderId="12" xfId="56" applyFont="1" applyBorder="1" applyAlignment="1" applyProtection="1">
      <alignment vertical="center"/>
      <protection locked="0"/>
    </xf>
    <xf numFmtId="0" fontId="42" fillId="0" borderId="12" xfId="56" applyFont="1" applyBorder="1" applyAlignment="1" applyProtection="1">
      <alignment vertical="center"/>
      <protection locked="0"/>
    </xf>
    <xf numFmtId="0" fontId="43" fillId="0" borderId="20" xfId="56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2" applyNumberFormat="1" applyFont="1" applyBorder="1" applyAlignment="1" applyProtection="1">
      <alignment vertical="center"/>
      <protection locked="0"/>
    </xf>
    <xf numFmtId="4" fontId="43" fillId="0" borderId="17" xfId="62" applyNumberFormat="1" applyFont="1" applyFill="1" applyBorder="1" applyAlignment="1" applyProtection="1">
      <alignment vertical="center"/>
      <protection locked="0"/>
    </xf>
    <xf numFmtId="4" fontId="43" fillId="0" borderId="17" xfId="68" applyNumberFormat="1" applyFont="1" applyBorder="1" applyAlignment="1" applyProtection="1">
      <alignment horizontal="right" vertical="center"/>
      <protection locked="0"/>
    </xf>
    <xf numFmtId="4" fontId="43" fillId="0" borderId="17" xfId="68" applyNumberFormat="1" applyFont="1" applyFill="1" applyBorder="1" applyAlignment="1" applyProtection="1">
      <alignment horizontal="right" vertical="center"/>
      <protection locked="0"/>
    </xf>
    <xf numFmtId="4" fontId="42" fillId="0" borderId="17" xfId="62" applyNumberFormat="1" applyFont="1" applyFill="1" applyBorder="1" applyAlignment="1" applyProtection="1">
      <alignment vertical="center"/>
      <protection locked="0"/>
    </xf>
    <xf numFmtId="4" fontId="42" fillId="0" borderId="17" xfId="62" applyNumberFormat="1" applyFont="1" applyBorder="1" applyAlignment="1" applyProtection="1">
      <alignment vertical="center"/>
      <protection/>
    </xf>
    <xf numFmtId="4" fontId="43" fillId="0" borderId="17" xfId="62" applyNumberFormat="1" applyFont="1" applyBorder="1" applyAlignment="1" applyProtection="1">
      <alignment vertical="center"/>
      <protection/>
    </xf>
    <xf numFmtId="4" fontId="42" fillId="0" borderId="17" xfId="62" applyNumberFormat="1" applyFont="1" applyFill="1" applyBorder="1" applyAlignment="1" applyProtection="1">
      <alignment vertical="center"/>
      <protection/>
    </xf>
    <xf numFmtId="4" fontId="42" fillId="0" borderId="17" xfId="62" applyNumberFormat="1" applyFont="1" applyBorder="1" applyAlignment="1" applyProtection="1">
      <alignment horizontal="right" vertical="center"/>
      <protection/>
    </xf>
    <xf numFmtId="4" fontId="44" fillId="0" borderId="17" xfId="68" applyNumberFormat="1" applyFont="1" applyFill="1" applyBorder="1" applyAlignment="1" applyProtection="1">
      <alignment horizontal="right" vertical="center"/>
      <protection locked="0"/>
    </xf>
    <xf numFmtId="4" fontId="42" fillId="0" borderId="17" xfId="62" applyNumberFormat="1" applyFont="1" applyFill="1" applyBorder="1" applyAlignment="1" applyProtection="1">
      <alignment horizontal="right" vertical="center"/>
      <protection locked="0"/>
    </xf>
    <xf numFmtId="4" fontId="43" fillId="0" borderId="17" xfId="62" applyNumberFormat="1" applyFont="1" applyFill="1" applyBorder="1" applyAlignment="1" applyProtection="1">
      <alignment horizontal="right" vertical="center"/>
      <protection locked="0"/>
    </xf>
    <xf numFmtId="4" fontId="43" fillId="0" borderId="17" xfId="62" applyNumberFormat="1" applyFont="1" applyFill="1" applyBorder="1" applyAlignment="1" applyProtection="1">
      <alignment horizontal="right" vertical="center"/>
      <protection/>
    </xf>
    <xf numFmtId="179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1" xfId="45" applyNumberFormat="1" applyFont="1" applyFill="1" applyBorder="1" applyAlignment="1" applyProtection="1">
      <alignment vertical="center" wrapText="1"/>
      <protection locked="0"/>
    </xf>
    <xf numFmtId="177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 locked="0"/>
    </xf>
    <xf numFmtId="177" fontId="42" fillId="0" borderId="8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6" applyNumberFormat="1" applyFont="1" applyFill="1" applyBorder="1" applyAlignment="1">
      <alignment horizontal="right" vertical="center" wrapText="1"/>
      <protection/>
    </xf>
    <xf numFmtId="0" fontId="43" fillId="0" borderId="48" xfId="66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3" applyNumberFormat="1" applyFont="1" applyBorder="1" applyAlignment="1" applyProtection="1">
      <alignment vertical="center"/>
      <protection locked="0"/>
    </xf>
    <xf numFmtId="0" fontId="43" fillId="0" borderId="14" xfId="56" applyFont="1" applyBorder="1" applyAlignment="1" applyProtection="1">
      <alignment vertical="center"/>
      <protection locked="0"/>
    </xf>
    <xf numFmtId="177" fontId="43" fillId="0" borderId="17" xfId="53" applyNumberFormat="1" applyFont="1" applyBorder="1" applyAlignment="1" applyProtection="1">
      <alignment vertical="center"/>
      <protection locked="0"/>
    </xf>
    <xf numFmtId="177" fontId="43" fillId="0" borderId="48" xfId="53" applyNumberFormat="1" applyFont="1" applyBorder="1" applyAlignment="1" applyProtection="1">
      <alignment vertical="center"/>
      <protection locked="0"/>
    </xf>
    <xf numFmtId="0" fontId="43" fillId="0" borderId="25" xfId="56" applyFont="1" applyBorder="1" applyAlignment="1" applyProtection="1">
      <alignment vertical="center"/>
      <protection locked="0"/>
    </xf>
    <xf numFmtId="177" fontId="43" fillId="0" borderId="56" xfId="53" applyNumberFormat="1" applyFont="1" applyBorder="1" applyAlignment="1" applyProtection="1">
      <alignment vertical="center"/>
      <protection locked="0"/>
    </xf>
    <xf numFmtId="0" fontId="43" fillId="0" borderId="27" xfId="56" applyFont="1" applyBorder="1" applyAlignment="1" applyProtection="1">
      <alignment vertical="center"/>
      <protection locked="0"/>
    </xf>
    <xf numFmtId="0" fontId="42" fillId="2" borderId="50" xfId="65" applyFont="1" applyFill="1" applyBorder="1" applyAlignment="1" applyProtection="1">
      <alignment horizontal="left" vertical="center" wrapText="1"/>
      <protection/>
    </xf>
    <xf numFmtId="0" fontId="43" fillId="0" borderId="51" xfId="65" applyFont="1" applyBorder="1" applyAlignment="1" applyProtection="1">
      <alignment vertical="center"/>
      <protection/>
    </xf>
    <xf numFmtId="0" fontId="42" fillId="0" borderId="51" xfId="65" applyFont="1" applyBorder="1" applyAlignment="1" applyProtection="1">
      <alignment horizontal="center" vertical="center"/>
      <protection/>
    </xf>
    <xf numFmtId="0" fontId="42" fillId="0" borderId="47" xfId="65" applyFont="1" applyBorder="1" applyAlignment="1" applyProtection="1">
      <alignment horizontal="center" vertical="center"/>
      <protection/>
    </xf>
    <xf numFmtId="0" fontId="42" fillId="0" borderId="87" xfId="65" applyFont="1" applyBorder="1" applyAlignment="1" applyProtection="1">
      <alignment vertical="center"/>
      <protection/>
    </xf>
    <xf numFmtId="0" fontId="43" fillId="0" borderId="58" xfId="65" applyFont="1" applyBorder="1" applyAlignment="1" applyProtection="1">
      <alignment vertical="center"/>
      <protection/>
    </xf>
    <xf numFmtId="4" fontId="43" fillId="28" borderId="88" xfId="65" applyNumberFormat="1" applyFont="1" applyFill="1" applyBorder="1" applyAlignment="1" applyProtection="1">
      <alignment horizontal="center" vertical="center"/>
      <protection/>
    </xf>
    <xf numFmtId="177" fontId="51" fillId="7" borderId="89" xfId="44" applyNumberFormat="1" applyFont="1" applyBorder="1" applyAlignment="1" applyProtection="1">
      <alignment horizontal="right" vertical="center"/>
      <protection/>
    </xf>
    <xf numFmtId="177" fontId="51" fillId="7" borderId="90" xfId="44" applyNumberFormat="1" applyFont="1" applyBorder="1" applyAlignment="1" applyProtection="1">
      <alignment horizontal="right" vertical="center"/>
      <protection/>
    </xf>
    <xf numFmtId="4" fontId="43" fillId="28" borderId="53" xfId="65" applyNumberFormat="1" applyFont="1" applyFill="1" applyBorder="1" applyAlignment="1" applyProtection="1">
      <alignment horizontal="center" vertical="center"/>
      <protection/>
    </xf>
    <xf numFmtId="4" fontId="43" fillId="28" borderId="58" xfId="65" applyNumberFormat="1" applyFont="1" applyFill="1" applyBorder="1" applyAlignment="1" applyProtection="1">
      <alignment horizontal="center" vertical="center"/>
      <protection/>
    </xf>
    <xf numFmtId="4" fontId="43" fillId="28" borderId="38" xfId="65" applyNumberFormat="1" applyFont="1" applyFill="1" applyBorder="1" applyAlignment="1" applyProtection="1">
      <alignment horizontal="center" vertical="center"/>
      <protection/>
    </xf>
    <xf numFmtId="0" fontId="43" fillId="0" borderId="11" xfId="65" applyFont="1" applyBorder="1" applyAlignment="1" applyProtection="1">
      <alignment vertical="center"/>
      <protection/>
    </xf>
    <xf numFmtId="0" fontId="43" fillId="0" borderId="64" xfId="65" applyFont="1" applyBorder="1" applyAlignment="1" applyProtection="1">
      <alignment vertical="center"/>
      <protection/>
    </xf>
    <xf numFmtId="0" fontId="42" fillId="0" borderId="67" xfId="65" applyFont="1" applyBorder="1" applyAlignment="1" applyProtection="1">
      <alignment vertical="center"/>
      <protection/>
    </xf>
    <xf numFmtId="0" fontId="43" fillId="0" borderId="91" xfId="65" applyFont="1" applyBorder="1" applyAlignment="1" applyProtection="1">
      <alignment vertical="center"/>
      <protection/>
    </xf>
    <xf numFmtId="4" fontId="43" fillId="28" borderId="67" xfId="65" applyNumberFormat="1" applyFont="1" applyFill="1" applyBorder="1" applyAlignment="1" applyProtection="1">
      <alignment horizontal="center" vertical="center"/>
      <protection/>
    </xf>
    <xf numFmtId="0" fontId="43" fillId="0" borderId="65" xfId="65" applyFont="1" applyBorder="1" applyAlignment="1" applyProtection="1">
      <alignment horizontal="left" vertical="center" wrapText="1"/>
      <protection/>
    </xf>
    <xf numFmtId="0" fontId="43" fillId="0" borderId="56" xfId="65" applyFont="1" applyBorder="1" applyAlignment="1" applyProtection="1">
      <alignment vertical="center"/>
      <protection/>
    </xf>
    <xf numFmtId="0" fontId="42" fillId="0" borderId="92" xfId="65" applyFont="1" applyBorder="1" applyAlignment="1" applyProtection="1">
      <alignment vertical="center"/>
      <protection/>
    </xf>
    <xf numFmtId="0" fontId="43" fillId="0" borderId="93" xfId="65" applyFont="1" applyBorder="1" applyAlignment="1" applyProtection="1">
      <alignment vertical="center"/>
      <protection/>
    </xf>
    <xf numFmtId="0" fontId="42" fillId="0" borderId="94" xfId="65" applyFont="1" applyFill="1" applyBorder="1" applyAlignment="1" applyProtection="1">
      <alignment horizontal="center" vertical="center"/>
      <protection/>
    </xf>
    <xf numFmtId="4" fontId="43" fillId="28" borderId="51" xfId="65" applyNumberFormat="1" applyFont="1" applyFill="1" applyBorder="1" applyAlignment="1" applyProtection="1">
      <alignment horizontal="center" vertical="center"/>
      <protection/>
    </xf>
    <xf numFmtId="177" fontId="52" fillId="7" borderId="95" xfId="44" applyNumberFormat="1" applyFont="1" applyBorder="1" applyAlignment="1" applyProtection="1">
      <alignment horizontal="center" vertical="center"/>
      <protection/>
    </xf>
    <xf numFmtId="4" fontId="43" fillId="28" borderId="52" xfId="65" applyNumberFormat="1" applyFont="1" applyFill="1" applyBorder="1" applyAlignment="1" applyProtection="1">
      <alignment horizontal="center" vertical="center"/>
      <protection/>
    </xf>
    <xf numFmtId="0" fontId="42" fillId="0" borderId="67" xfId="65" applyFont="1" applyBorder="1" applyAlignment="1" applyProtection="1">
      <alignment horizontal="center" vertical="center"/>
      <protection/>
    </xf>
    <xf numFmtId="4" fontId="43" fillId="29" borderId="51" xfId="65" applyNumberFormat="1" applyFont="1" applyFill="1" applyBorder="1" applyAlignment="1" applyProtection="1">
      <alignment horizontal="center" vertical="center"/>
      <protection/>
    </xf>
    <xf numFmtId="0" fontId="42" fillId="14" borderId="50" xfId="65" applyFont="1" applyFill="1" applyBorder="1" applyAlignment="1" applyProtection="1">
      <alignment horizontal="left" vertical="center" wrapText="1"/>
      <protection/>
    </xf>
    <xf numFmtId="177" fontId="42" fillId="0" borderId="52" xfId="65" applyNumberFormat="1" applyFont="1" applyBorder="1" applyAlignment="1" applyProtection="1">
      <alignment horizontal="right" vertical="center"/>
      <protection/>
    </xf>
    <xf numFmtId="0" fontId="43" fillId="0" borderId="96" xfId="65" applyFont="1" applyBorder="1" applyAlignment="1" applyProtection="1">
      <alignment vertical="center"/>
      <protection locked="0"/>
    </xf>
    <xf numFmtId="0" fontId="43" fillId="0" borderId="11" xfId="65" applyFont="1" applyBorder="1" applyAlignment="1" applyProtection="1">
      <alignment vertical="center"/>
      <protection locked="0"/>
    </xf>
    <xf numFmtId="0" fontId="43" fillId="0" borderId="64" xfId="65" applyFont="1" applyBorder="1" applyAlignment="1" applyProtection="1">
      <alignment vertical="center"/>
      <protection locked="0"/>
    </xf>
    <xf numFmtId="0" fontId="43" fillId="0" borderId="57" xfId="65" applyFont="1" applyBorder="1" applyAlignment="1" applyProtection="1">
      <alignment vertical="center"/>
      <protection locked="0"/>
    </xf>
    <xf numFmtId="0" fontId="43" fillId="0" borderId="58" xfId="65" applyFont="1" applyBorder="1" applyAlignment="1" applyProtection="1">
      <alignment vertical="center"/>
      <protection locked="0"/>
    </xf>
    <xf numFmtId="0" fontId="43" fillId="0" borderId="56" xfId="65" applyFont="1" applyBorder="1" applyAlignment="1" applyProtection="1">
      <alignment vertical="center"/>
      <protection locked="0"/>
    </xf>
    <xf numFmtId="14" fontId="43" fillId="0" borderId="17" xfId="66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0" fontId="43" fillId="0" borderId="97" xfId="65" applyFont="1" applyBorder="1" applyAlignment="1" applyProtection="1">
      <alignment vertical="center"/>
      <protection locked="0"/>
    </xf>
    <xf numFmtId="0" fontId="43" fillId="0" borderId="98" xfId="65" applyFont="1" applyBorder="1" applyAlignment="1" applyProtection="1">
      <alignment vertical="center"/>
      <protection locked="0"/>
    </xf>
    <xf numFmtId="4" fontId="43" fillId="26" borderId="98" xfId="65" applyNumberFormat="1" applyFont="1" applyFill="1" applyBorder="1" applyAlignment="1" applyProtection="1">
      <alignment horizontal="center" vertical="center"/>
      <protection locked="0"/>
    </xf>
    <xf numFmtId="177" fontId="43" fillId="0" borderId="98" xfId="53" applyNumberFormat="1" applyFont="1" applyBorder="1" applyAlignment="1" applyProtection="1">
      <alignment horizontal="right" vertical="center"/>
      <protection locked="0"/>
    </xf>
    <xf numFmtId="177" fontId="43" fillId="0" borderId="98" xfId="53" applyNumberFormat="1" applyFont="1" applyFill="1" applyBorder="1" applyAlignment="1" applyProtection="1">
      <alignment horizontal="right" vertical="center"/>
      <protection locked="0"/>
    </xf>
    <xf numFmtId="0" fontId="43" fillId="0" borderId="17" xfId="65" applyNumberFormat="1" applyFont="1" applyFill="1" applyBorder="1" applyAlignment="1" applyProtection="1">
      <alignment vertical="center"/>
      <protection locked="0"/>
    </xf>
    <xf numFmtId="0" fontId="42" fillId="0" borderId="69" xfId="65" applyFont="1" applyBorder="1" applyAlignment="1" applyProtection="1">
      <alignment horizontal="center" vertical="center"/>
      <protection/>
    </xf>
    <xf numFmtId="4" fontId="43" fillId="29" borderId="58" xfId="65" applyNumberFormat="1" applyFont="1" applyFill="1" applyBorder="1" applyAlignment="1" applyProtection="1">
      <alignment horizontal="center" vertical="center"/>
      <protection/>
    </xf>
    <xf numFmtId="0" fontId="43" fillId="0" borderId="12" xfId="65" applyNumberFormat="1" applyFont="1" applyFill="1" applyBorder="1" applyAlignment="1" applyProtection="1">
      <alignment vertical="center"/>
      <protection locked="0"/>
    </xf>
    <xf numFmtId="0" fontId="43" fillId="0" borderId="19" xfId="65" applyNumberFormat="1" applyFont="1" applyFill="1" applyBorder="1" applyAlignment="1" applyProtection="1">
      <alignment vertical="center"/>
      <protection locked="0"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5" applyNumberFormat="1" applyFont="1" applyFill="1" applyBorder="1" applyAlignment="1" applyProtection="1">
      <alignment horizontal="center" vertical="center"/>
      <protection locked="0"/>
    </xf>
    <xf numFmtId="177" fontId="43" fillId="0" borderId="17" xfId="66" applyNumberFormat="1" applyFont="1" applyFill="1" applyBorder="1" applyAlignment="1">
      <alignment vertical="center" wrapText="1"/>
      <protection/>
    </xf>
    <xf numFmtId="177" fontId="43" fillId="0" borderId="17" xfId="66" applyNumberFormat="1" applyFont="1" applyBorder="1" applyAlignment="1">
      <alignment vertical="center"/>
      <protection/>
    </xf>
    <xf numFmtId="177" fontId="43" fillId="0" borderId="17" xfId="66" applyNumberFormat="1" applyFont="1" applyBorder="1" applyAlignment="1">
      <alignment horizontal="right" vertical="center"/>
      <protection/>
    </xf>
    <xf numFmtId="3" fontId="42" fillId="0" borderId="18" xfId="68" applyNumberFormat="1" applyFont="1" applyFill="1" applyBorder="1" applyAlignment="1">
      <alignment vertical="center" wrapText="1"/>
      <protection/>
    </xf>
    <xf numFmtId="3" fontId="43" fillId="0" borderId="18" xfId="68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2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2" applyNumberFormat="1" applyFont="1" applyFill="1" applyBorder="1" applyAlignment="1" applyProtection="1">
      <alignment vertical="center"/>
      <protection/>
    </xf>
    <xf numFmtId="177" fontId="43" fillId="0" borderId="0" xfId="52" applyNumberFormat="1" applyFont="1" applyFill="1" applyBorder="1" applyAlignment="1">
      <alignment vertical="center"/>
    </xf>
    <xf numFmtId="177" fontId="42" fillId="0" borderId="0" xfId="52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4" applyNumberFormat="1" applyFont="1" applyFill="1" applyBorder="1" applyAlignment="1" applyProtection="1">
      <alignment horizontal="center" vertical="center" wrapText="1"/>
      <protection/>
    </xf>
    <xf numFmtId="177" fontId="43" fillId="0" borderId="0" xfId="64" applyNumberFormat="1" applyFont="1" applyFill="1" applyBorder="1" applyAlignment="1">
      <alignment horizontal="center" vertical="center" wrapText="1"/>
      <protection/>
    </xf>
    <xf numFmtId="0" fontId="43" fillId="0" borderId="64" xfId="65" applyFont="1" applyFill="1" applyBorder="1" applyAlignment="1" applyProtection="1">
      <alignment vertical="center"/>
      <protection locked="0"/>
    </xf>
    <xf numFmtId="0" fontId="43" fillId="0" borderId="11" xfId="65" applyFont="1" applyFill="1" applyBorder="1" applyAlignment="1" applyProtection="1">
      <alignment vertical="center"/>
      <protection locked="0"/>
    </xf>
    <xf numFmtId="4" fontId="43" fillId="0" borderId="11" xfId="65" applyNumberFormat="1" applyFont="1" applyFill="1" applyBorder="1" applyAlignment="1" applyProtection="1">
      <alignment horizontal="center" vertical="center"/>
      <protection locked="0"/>
    </xf>
    <xf numFmtId="177" fontId="43" fillId="0" borderId="17" xfId="53" applyNumberFormat="1" applyFont="1" applyFill="1" applyBorder="1" applyAlignment="1" applyProtection="1">
      <alignment horizontal="right" vertical="center"/>
      <protection locked="0"/>
    </xf>
    <xf numFmtId="2" fontId="43" fillId="0" borderId="0" xfId="65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5" applyNumberFormat="1" applyFont="1" applyFill="1" applyBorder="1" applyAlignment="1" applyProtection="1">
      <alignment horizontal="center" vertical="center"/>
      <protection locked="0"/>
    </xf>
    <xf numFmtId="0" fontId="43" fillId="0" borderId="25" xfId="65" applyNumberFormat="1" applyFont="1" applyFill="1" applyBorder="1" applyAlignment="1" applyProtection="1">
      <alignment horizontal="center" vertical="center"/>
      <protection locked="0"/>
    </xf>
    <xf numFmtId="177" fontId="42" fillId="0" borderId="99" xfId="65" applyNumberFormat="1" applyFont="1" applyFill="1" applyBorder="1" applyAlignment="1" applyProtection="1">
      <alignment horizontal="right" vertical="center"/>
      <protection/>
    </xf>
    <xf numFmtId="177" fontId="42" fillId="0" borderId="52" xfId="65" applyNumberFormat="1" applyFont="1" applyFill="1" applyBorder="1" applyAlignment="1" applyProtection="1">
      <alignment horizontal="right" vertical="center"/>
      <protection/>
    </xf>
    <xf numFmtId="177" fontId="42" fillId="0" borderId="93" xfId="65" applyNumberFormat="1" applyFont="1" applyFill="1" applyBorder="1" applyAlignment="1" applyProtection="1">
      <alignment vertical="center"/>
      <protection/>
    </xf>
    <xf numFmtId="177" fontId="42" fillId="0" borderId="58" xfId="65" applyNumberFormat="1" applyFont="1" applyFill="1" applyBorder="1" applyAlignment="1" applyProtection="1">
      <alignment horizontal="right" vertical="center"/>
      <protection/>
    </xf>
    <xf numFmtId="177" fontId="42" fillId="0" borderId="38" xfId="65" applyNumberFormat="1" applyFont="1" applyFill="1" applyBorder="1" applyAlignment="1" applyProtection="1">
      <alignment horizontal="right" vertical="center"/>
      <protection/>
    </xf>
    <xf numFmtId="177" fontId="42" fillId="0" borderId="51" xfId="65" applyNumberFormat="1" applyFont="1" applyFill="1" applyBorder="1" applyAlignment="1" applyProtection="1">
      <alignment horizontal="right" vertical="center"/>
      <protection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6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2" applyNumberFormat="1" applyFont="1" applyFill="1" applyBorder="1" applyAlignment="1">
      <alignment horizontal="left" vertical="center"/>
      <protection/>
    </xf>
    <xf numFmtId="0" fontId="43" fillId="22" borderId="0" xfId="62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3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3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0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68" fontId="68" fillId="0" borderId="28" xfId="63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6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6" applyFont="1">
      <alignment/>
      <protection/>
    </xf>
    <xf numFmtId="0" fontId="72" fillId="0" borderId="0" xfId="56" applyFont="1">
      <alignment/>
      <protection/>
    </xf>
    <xf numFmtId="0" fontId="71" fillId="0" borderId="0" xfId="56" applyFont="1" applyAlignment="1">
      <alignment vertical="center"/>
      <protection/>
    </xf>
    <xf numFmtId="0" fontId="73" fillId="0" borderId="0" xfId="56" applyFont="1">
      <alignment/>
      <protection/>
    </xf>
    <xf numFmtId="0" fontId="72" fillId="16" borderId="17" xfId="56" applyFont="1" applyFill="1" applyBorder="1" applyAlignment="1">
      <alignment horizontal="center"/>
      <protection/>
    </xf>
    <xf numFmtId="17" fontId="72" fillId="16" borderId="17" xfId="56" applyNumberFormat="1" applyFont="1" applyFill="1" applyBorder="1" applyAlignment="1">
      <alignment horizontal="center"/>
      <protection/>
    </xf>
    <xf numFmtId="0" fontId="29" fillId="0" borderId="0" xfId="56" applyFont="1">
      <alignment/>
      <protection/>
    </xf>
    <xf numFmtId="0" fontId="73" fillId="0" borderId="0" xfId="56" applyFont="1" applyAlignment="1">
      <alignment vertical="center"/>
      <protection/>
    </xf>
    <xf numFmtId="17" fontId="29" fillId="16" borderId="17" xfId="56" applyNumberFormat="1" applyFont="1" applyFill="1" applyBorder="1" applyAlignment="1">
      <alignment horizontal="center"/>
      <protection/>
    </xf>
    <xf numFmtId="0" fontId="29" fillId="16" borderId="17" xfId="56" applyFont="1" applyFill="1" applyBorder="1" applyAlignment="1">
      <alignment horizontal="center"/>
      <protection/>
    </xf>
    <xf numFmtId="0" fontId="67" fillId="8" borderId="13" xfId="63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6" applyNumberFormat="1" applyFont="1" applyFill="1" applyBorder="1" applyAlignment="1">
      <alignment horizontal="center"/>
      <protection/>
    </xf>
    <xf numFmtId="0" fontId="72" fillId="0" borderId="0" xfId="56" applyFont="1" applyFill="1" applyBorder="1" applyAlignment="1">
      <alignment horizontal="center"/>
      <protection/>
    </xf>
    <xf numFmtId="0" fontId="75" fillId="0" borderId="17" xfId="62" applyFont="1" applyFill="1" applyBorder="1" applyAlignment="1">
      <alignment vertical="center"/>
      <protection/>
    </xf>
    <xf numFmtId="0" fontId="75" fillId="0" borderId="17" xfId="62" applyFont="1" applyBorder="1" applyAlignment="1">
      <alignment vertical="center"/>
      <protection/>
    </xf>
    <xf numFmtId="177" fontId="43" fillId="0" borderId="11" xfId="66" applyNumberFormat="1" applyFont="1" applyFill="1" applyBorder="1" applyAlignment="1">
      <alignment horizontal="right" vertical="center" wrapText="1"/>
      <protection/>
    </xf>
    <xf numFmtId="0" fontId="42" fillId="0" borderId="17" xfId="66" applyFont="1" applyFill="1" applyBorder="1" applyAlignment="1">
      <alignment vertical="center" wrapText="1"/>
      <protection/>
    </xf>
    <xf numFmtId="4" fontId="76" fillId="0" borderId="0" xfId="0" applyNumberFormat="1" applyFont="1" applyAlignment="1">
      <alignment horizontal="right"/>
    </xf>
    <xf numFmtId="3" fontId="43" fillId="0" borderId="0" xfId="68" applyNumberFormat="1" applyFont="1" applyFill="1" applyBorder="1" applyAlignment="1">
      <alignment vertical="center"/>
      <protection/>
    </xf>
    <xf numFmtId="4" fontId="1" fillId="16" borderId="12" xfId="0" applyNumberFormat="1" applyFont="1" applyFill="1" applyBorder="1" applyAlignment="1">
      <alignment/>
    </xf>
    <xf numFmtId="1" fontId="69" fillId="0" borderId="0" xfId="0" applyNumberFormat="1" applyFont="1" applyBorder="1" applyAlignment="1">
      <alignment horizontal="center" vertical="center"/>
    </xf>
    <xf numFmtId="208" fontId="69" fillId="0" borderId="100" xfId="0" applyNumberFormat="1" applyFont="1" applyBorder="1" applyAlignment="1">
      <alignment horizontal="center" vertical="center"/>
    </xf>
    <xf numFmtId="208" fontId="78" fillId="0" borderId="0" xfId="60" applyNumberFormat="1" applyFont="1" applyBorder="1" applyAlignment="1">
      <alignment vertical="center"/>
      <protection/>
    </xf>
    <xf numFmtId="10" fontId="69" fillId="0" borderId="0" xfId="70" applyNumberFormat="1" applyFont="1" applyBorder="1" applyAlignment="1">
      <alignment horizontal="center" vertical="center"/>
    </xf>
    <xf numFmtId="0" fontId="43" fillId="0" borderId="0" xfId="62" applyFont="1" applyFill="1" applyBorder="1" applyAlignment="1" applyProtection="1">
      <alignment vertical="center"/>
      <protection/>
    </xf>
    <xf numFmtId="4" fontId="43" fillId="0" borderId="0" xfId="68" applyNumberFormat="1" applyFont="1" applyFill="1" applyBorder="1">
      <alignment/>
      <protection/>
    </xf>
    <xf numFmtId="167" fontId="43" fillId="0" borderId="0" xfId="51" applyFont="1" applyAlignment="1">
      <alignment horizontal="right" vertical="center"/>
    </xf>
    <xf numFmtId="179" fontId="43" fillId="0" borderId="0" xfId="51" applyNumberFormat="1" applyFont="1" applyAlignment="1">
      <alignment horizontal="right" vertical="center"/>
    </xf>
    <xf numFmtId="4" fontId="40" fillId="0" borderId="0" xfId="0" applyNumberFormat="1" applyFont="1" applyAlignment="1">
      <alignment vertical="center"/>
    </xf>
    <xf numFmtId="167" fontId="40" fillId="0" borderId="0" xfId="51" applyFont="1" applyAlignment="1">
      <alignment vertical="center"/>
    </xf>
    <xf numFmtId="0" fontId="40" fillId="0" borderId="0" xfId="62" applyFont="1">
      <alignment/>
      <protection/>
    </xf>
    <xf numFmtId="0" fontId="40" fillId="0" borderId="0" xfId="62" applyFont="1" applyAlignment="1">
      <alignment vertical="center"/>
      <protection/>
    </xf>
    <xf numFmtId="167" fontId="43" fillId="0" borderId="0" xfId="0" applyNumberFormat="1" applyFont="1" applyAlignment="1">
      <alignment vertical="center"/>
    </xf>
    <xf numFmtId="10" fontId="43" fillId="0" borderId="0" xfId="70" applyNumberFormat="1" applyFont="1" applyAlignment="1" applyProtection="1">
      <alignment vertical="center"/>
      <protection/>
    </xf>
    <xf numFmtId="0" fontId="43" fillId="0" borderId="96" xfId="65" applyFont="1" applyFill="1" applyBorder="1" applyAlignment="1" applyProtection="1">
      <alignment vertical="center"/>
      <protection locked="0"/>
    </xf>
    <xf numFmtId="177" fontId="43" fillId="0" borderId="11" xfId="53" applyNumberFormat="1" applyFont="1" applyFill="1" applyBorder="1" applyAlignment="1" applyProtection="1">
      <alignment horizontal="right" vertical="center"/>
      <protection locked="0"/>
    </xf>
    <xf numFmtId="4" fontId="43" fillId="0" borderId="17" xfId="65" applyNumberFormat="1" applyFont="1" applyFill="1" applyBorder="1" applyAlignment="1" applyProtection="1">
      <alignment horizontal="center" vertical="center"/>
      <protection locked="0"/>
    </xf>
    <xf numFmtId="0" fontId="40" fillId="0" borderId="17" xfId="65" applyNumberFormat="1" applyFont="1" applyFill="1" applyBorder="1" applyAlignment="1" applyProtection="1">
      <alignment horizontal="center" vertical="center"/>
      <protection locked="0"/>
    </xf>
    <xf numFmtId="0" fontId="40" fillId="0" borderId="12" xfId="65" applyNumberFormat="1" applyFont="1" applyFill="1" applyBorder="1" applyAlignment="1" applyProtection="1">
      <alignment horizontal="center" vertical="center"/>
      <protection locked="0"/>
    </xf>
    <xf numFmtId="0" fontId="40" fillId="0" borderId="62" xfId="65" applyNumberFormat="1" applyFont="1" applyFill="1" applyBorder="1" applyAlignment="1" applyProtection="1">
      <alignment horizontal="center" vertical="center"/>
      <protection locked="0"/>
    </xf>
    <xf numFmtId="0" fontId="40" fillId="0" borderId="25" xfId="65" applyNumberFormat="1" applyFont="1" applyFill="1" applyBorder="1" applyAlignment="1" applyProtection="1">
      <alignment horizontal="center" vertical="center"/>
      <protection locked="0"/>
    </xf>
    <xf numFmtId="4" fontId="55" fillId="0" borderId="17" xfId="0" applyNumberFormat="1" applyFont="1" applyBorder="1" applyAlignment="1" applyProtection="1">
      <alignment horizontal="right" vertical="center"/>
      <protection locked="0"/>
    </xf>
    <xf numFmtId="0" fontId="7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vertical="center"/>
    </xf>
    <xf numFmtId="4" fontId="42" fillId="0" borderId="19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78" fillId="0" borderId="15" xfId="60" applyFont="1" applyBorder="1" applyAlignment="1">
      <alignment vertical="center"/>
      <protection/>
    </xf>
    <xf numFmtId="0" fontId="43" fillId="0" borderId="59" xfId="0" applyFont="1" applyBorder="1" applyAlignment="1" applyProtection="1">
      <alignment horizontal="right" vertical="center"/>
      <protection locked="0"/>
    </xf>
    <xf numFmtId="0" fontId="43" fillId="0" borderId="59" xfId="0" applyFont="1" applyBorder="1" applyAlignment="1" applyProtection="1">
      <alignment horizontal="center" vertical="center"/>
      <protection locked="0"/>
    </xf>
    <xf numFmtId="0" fontId="80" fillId="0" borderId="0" xfId="0" applyFont="1" applyAlignment="1">
      <alignment vertical="center"/>
    </xf>
    <xf numFmtId="177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vertical="center"/>
    </xf>
    <xf numFmtId="177" fontId="80" fillId="0" borderId="0" xfId="0" applyNumberFormat="1" applyFont="1" applyBorder="1" applyAlignment="1">
      <alignment vertical="center"/>
    </xf>
    <xf numFmtId="167" fontId="80" fillId="0" borderId="0" xfId="51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80" fillId="0" borderId="0" xfId="56" applyFont="1" applyFill="1" applyBorder="1" applyAlignment="1">
      <alignment horizontal="left" vertical="center" wrapText="1"/>
      <protection/>
    </xf>
    <xf numFmtId="177" fontId="80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 wrapText="1"/>
    </xf>
    <xf numFmtId="177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 wrapText="1"/>
    </xf>
    <xf numFmtId="3" fontId="80" fillId="0" borderId="0" xfId="68" applyNumberFormat="1" applyFont="1" applyBorder="1" applyAlignment="1">
      <alignment vertical="center"/>
      <protection/>
    </xf>
    <xf numFmtId="3" fontId="81" fillId="0" borderId="0" xfId="68" applyNumberFormat="1" applyFont="1" applyBorder="1" applyAlignment="1">
      <alignment vertical="center"/>
      <protection/>
    </xf>
    <xf numFmtId="0" fontId="80" fillId="0" borderId="17" xfId="62" applyFont="1" applyFill="1" applyBorder="1" applyAlignment="1">
      <alignment vertical="center"/>
      <protection/>
    </xf>
    <xf numFmtId="4" fontId="80" fillId="0" borderId="17" xfId="62" applyNumberFormat="1" applyFont="1" applyFill="1" applyBorder="1" applyAlignment="1">
      <alignment vertical="center"/>
      <protection/>
    </xf>
    <xf numFmtId="4" fontId="80" fillId="0" borderId="0" xfId="62" applyNumberFormat="1" applyFont="1" applyFill="1" applyBorder="1" applyAlignment="1">
      <alignment vertical="center"/>
      <protection/>
    </xf>
    <xf numFmtId="0" fontId="80" fillId="0" borderId="0" xfId="62" applyFont="1" applyAlignment="1">
      <alignment vertical="center"/>
      <protection/>
    </xf>
    <xf numFmtId="0" fontId="82" fillId="0" borderId="0" xfId="62" applyFont="1" applyAlignment="1">
      <alignment vertical="center"/>
      <protection/>
    </xf>
    <xf numFmtId="0" fontId="80" fillId="0" borderId="0" xfId="62" applyFont="1" applyFill="1" applyAlignment="1">
      <alignment vertical="center"/>
      <protection/>
    </xf>
    <xf numFmtId="0" fontId="80" fillId="0" borderId="0" xfId="62" applyFont="1" applyFill="1" applyBorder="1" applyAlignment="1">
      <alignment vertical="center"/>
      <protection/>
    </xf>
    <xf numFmtId="4" fontId="80" fillId="27" borderId="0" xfId="62" applyNumberFormat="1" applyFont="1" applyFill="1" applyBorder="1" applyAlignment="1">
      <alignment vertical="center"/>
      <protection/>
    </xf>
    <xf numFmtId="177" fontId="80" fillId="0" borderId="66" xfId="61" applyNumberFormat="1" applyFont="1" applyFill="1" applyBorder="1" applyAlignment="1">
      <alignment vertical="center"/>
      <protection/>
    </xf>
    <xf numFmtId="0" fontId="80" fillId="0" borderId="66" xfId="61" applyFont="1" applyBorder="1" applyAlignment="1">
      <alignment vertical="center"/>
      <protection/>
    </xf>
    <xf numFmtId="4" fontId="80" fillId="11" borderId="17" xfId="62" applyNumberFormat="1" applyFont="1" applyFill="1" applyBorder="1" applyAlignment="1">
      <alignment vertical="center"/>
      <protection/>
    </xf>
    <xf numFmtId="0" fontId="46" fillId="0" borderId="0" xfId="62" applyFont="1" applyFill="1" applyBorder="1" applyAlignment="1">
      <alignment vertical="center"/>
      <protection/>
    </xf>
    <xf numFmtId="4" fontId="46" fillId="0" borderId="0" xfId="62" applyNumberFormat="1" applyFont="1" applyFill="1" applyBorder="1" applyAlignment="1">
      <alignment vertical="center"/>
      <protection/>
    </xf>
    <xf numFmtId="2" fontId="80" fillId="0" borderId="0" xfId="62" applyNumberFormat="1" applyFont="1" applyFill="1" applyBorder="1" applyAlignment="1">
      <alignment vertical="center"/>
      <protection/>
    </xf>
    <xf numFmtId="0" fontId="82" fillId="0" borderId="0" xfId="62" applyFont="1">
      <alignment/>
      <protection/>
    </xf>
    <xf numFmtId="0" fontId="80" fillId="0" borderId="0" xfId="62" applyFont="1">
      <alignment/>
      <protection/>
    </xf>
    <xf numFmtId="0" fontId="82" fillId="0" borderId="0" xfId="62" applyFont="1" applyAlignment="1">
      <alignment horizontal="center" vertical="center" wrapText="1"/>
      <protection/>
    </xf>
    <xf numFmtId="4" fontId="83" fillId="0" borderId="0" xfId="62" applyNumberFormat="1" applyFont="1" applyAlignment="1">
      <alignment vertical="center"/>
      <protection/>
    </xf>
    <xf numFmtId="4" fontId="82" fillId="0" borderId="0" xfId="62" applyNumberFormat="1" applyFont="1" applyAlignment="1">
      <alignment vertical="center"/>
      <protection/>
    </xf>
    <xf numFmtId="4" fontId="80" fillId="0" borderId="0" xfId="62" applyNumberFormat="1" applyFont="1" applyAlignment="1">
      <alignment vertical="center"/>
      <protection/>
    </xf>
    <xf numFmtId="0" fontId="80" fillId="0" borderId="0" xfId="56" applyFont="1" applyAlignment="1">
      <alignment vertical="center"/>
      <protection/>
    </xf>
    <xf numFmtId="0" fontId="80" fillId="0" borderId="0" xfId="56" applyFont="1" applyFill="1" applyAlignment="1">
      <alignment vertical="center"/>
      <protection/>
    </xf>
    <xf numFmtId="0" fontId="46" fillId="0" borderId="0" xfId="56" applyFont="1" applyAlignment="1">
      <alignment vertical="center"/>
      <protection/>
    </xf>
    <xf numFmtId="4" fontId="80" fillId="0" borderId="0" xfId="57" applyNumberFormat="1" applyFont="1" applyFill="1" applyAlignment="1">
      <alignment vertical="center"/>
      <protection/>
    </xf>
    <xf numFmtId="177" fontId="80" fillId="0" borderId="0" xfId="57" applyNumberFormat="1" applyFont="1" applyFill="1" applyAlignment="1">
      <alignment vertical="center"/>
      <protection/>
    </xf>
    <xf numFmtId="0" fontId="80" fillId="0" borderId="0" xfId="57" applyFont="1" applyFill="1" applyAlignment="1">
      <alignment vertical="center"/>
      <protection/>
    </xf>
    <xf numFmtId="173" fontId="80" fillId="0" borderId="0" xfId="57" applyNumberFormat="1" applyFont="1" applyFill="1" applyAlignment="1">
      <alignment vertical="center"/>
      <protection/>
    </xf>
    <xf numFmtId="4" fontId="46" fillId="0" borderId="0" xfId="57" applyNumberFormat="1" applyFont="1" applyFill="1" applyAlignment="1">
      <alignment vertical="center"/>
      <protection/>
    </xf>
    <xf numFmtId="0" fontId="46" fillId="0" borderId="0" xfId="57" applyFont="1" applyFill="1" applyAlignment="1">
      <alignment vertical="center"/>
      <protection/>
    </xf>
    <xf numFmtId="0" fontId="46" fillId="0" borderId="0" xfId="56" applyFont="1" applyFill="1" applyAlignment="1">
      <alignment vertical="center"/>
      <protection/>
    </xf>
    <xf numFmtId="0" fontId="46" fillId="0" borderId="0" xfId="56" applyFont="1" applyAlignment="1">
      <alignment horizontal="left" vertical="center" wrapText="1"/>
      <protection/>
    </xf>
    <xf numFmtId="2" fontId="80" fillId="0" borderId="0" xfId="56" applyNumberFormat="1" applyFont="1" applyAlignment="1">
      <alignment vertical="center"/>
      <protection/>
    </xf>
    <xf numFmtId="177" fontId="80" fillId="0" borderId="0" xfId="56" applyNumberFormat="1" applyFont="1" applyAlignment="1">
      <alignment vertical="center"/>
      <protection/>
    </xf>
    <xf numFmtId="4" fontId="80" fillId="0" borderId="0" xfId="56" applyNumberFormat="1" applyFont="1" applyAlignment="1">
      <alignment vertical="center"/>
      <protection/>
    </xf>
    <xf numFmtId="0" fontId="80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77" fontId="80" fillId="4" borderId="0" xfId="0" applyNumberFormat="1" applyFont="1" applyFill="1" applyAlignment="1">
      <alignment vertical="center"/>
    </xf>
    <xf numFmtId="4" fontId="80" fillId="4" borderId="0" xfId="0" applyNumberFormat="1" applyFont="1" applyFill="1" applyAlignment="1">
      <alignment vertical="center"/>
    </xf>
    <xf numFmtId="4" fontId="80" fillId="0" borderId="0" xfId="65" applyNumberFormat="1" applyFont="1" applyFill="1" applyAlignment="1">
      <alignment vertical="center"/>
      <protection/>
    </xf>
    <xf numFmtId="3" fontId="80" fillId="0" borderId="0" xfId="65" applyNumberFormat="1" applyFont="1" applyFill="1" applyAlignment="1">
      <alignment vertical="center"/>
      <protection/>
    </xf>
    <xf numFmtId="0" fontId="80" fillId="0" borderId="0" xfId="65" applyFont="1" applyFill="1" applyAlignment="1">
      <alignment vertical="center"/>
      <protection/>
    </xf>
    <xf numFmtId="0" fontId="80" fillId="0" borderId="0" xfId="65" applyFont="1" applyAlignment="1">
      <alignment vertical="center"/>
      <protection/>
    </xf>
    <xf numFmtId="49" fontId="82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49" fontId="82" fillId="0" borderId="0" xfId="0" applyNumberFormat="1" applyFont="1" applyAlignment="1">
      <alignment horizontal="center" vertical="center"/>
    </xf>
    <xf numFmtId="4" fontId="80" fillId="0" borderId="0" xfId="0" applyNumberFormat="1" applyFont="1" applyFill="1" applyAlignment="1">
      <alignment vertical="center"/>
    </xf>
    <xf numFmtId="4" fontId="86" fillId="0" borderId="0" xfId="0" applyNumberFormat="1" applyFont="1" applyFill="1" applyAlignment="1">
      <alignment vertical="center"/>
    </xf>
    <xf numFmtId="3" fontId="80" fillId="0" borderId="0" xfId="0" applyNumberFormat="1" applyFont="1" applyFill="1" applyAlignment="1">
      <alignment vertical="center"/>
    </xf>
    <xf numFmtId="0" fontId="80" fillId="0" borderId="0" xfId="56" applyFont="1" applyFill="1" applyBorder="1" applyAlignment="1">
      <alignment vertical="center"/>
      <protection/>
    </xf>
    <xf numFmtId="177" fontId="80" fillId="0" borderId="0" xfId="56" applyNumberFormat="1" applyFont="1" applyFill="1" applyAlignment="1">
      <alignment vertical="center"/>
      <protection/>
    </xf>
    <xf numFmtId="177" fontId="80" fillId="0" borderId="0" xfId="56" applyNumberFormat="1" applyFont="1" applyFill="1" applyBorder="1" applyAlignment="1">
      <alignment vertical="center"/>
      <protection/>
    </xf>
    <xf numFmtId="0" fontId="85" fillId="0" borderId="0" xfId="56" applyFont="1" applyAlignment="1">
      <alignment horizontal="left" vertical="center" wrapText="1"/>
      <protection/>
    </xf>
    <xf numFmtId="0" fontId="80" fillId="0" borderId="0" xfId="66" applyFont="1" applyAlignment="1">
      <alignment vertical="center"/>
      <protection/>
    </xf>
    <xf numFmtId="4" fontId="80" fillId="0" borderId="0" xfId="66" applyNumberFormat="1" applyFont="1" applyAlignment="1">
      <alignment vertical="center"/>
      <protection/>
    </xf>
    <xf numFmtId="0" fontId="80" fillId="0" borderId="0" xfId="0" applyFont="1" applyAlignment="1">
      <alignment/>
    </xf>
    <xf numFmtId="4" fontId="87" fillId="0" borderId="0" xfId="0" applyNumberFormat="1" applyFont="1" applyAlignment="1">
      <alignment vertical="center"/>
    </xf>
    <xf numFmtId="4" fontId="80" fillId="0" borderId="0" xfId="0" applyNumberFormat="1" applyFont="1" applyAlignment="1">
      <alignment vertical="center"/>
    </xf>
    <xf numFmtId="3" fontId="80" fillId="0" borderId="0" xfId="0" applyNumberFormat="1" applyFont="1" applyAlignment="1">
      <alignment/>
    </xf>
    <xf numFmtId="17" fontId="88" fillId="0" borderId="0" xfId="56" applyNumberFormat="1" applyFont="1" applyFill="1" applyBorder="1" applyAlignment="1">
      <alignment horizontal="center"/>
      <protection/>
    </xf>
    <xf numFmtId="0" fontId="88" fillId="0" borderId="0" xfId="56" applyFont="1" applyFill="1" applyBorder="1" applyAlignment="1">
      <alignment horizontal="center"/>
      <protection/>
    </xf>
    <xf numFmtId="0" fontId="80" fillId="0" borderId="0" xfId="66" applyFont="1" applyFill="1" applyAlignment="1">
      <alignment vertical="center"/>
      <protection/>
    </xf>
    <xf numFmtId="0" fontId="83" fillId="0" borderId="0" xfId="0" applyFont="1" applyFill="1" applyAlignment="1">
      <alignment horizontal="center" vertical="center"/>
    </xf>
    <xf numFmtId="49" fontId="82" fillId="0" borderId="0" xfId="0" applyNumberFormat="1" applyFont="1" applyFill="1" applyAlignment="1">
      <alignment horizontal="center" vertical="center"/>
    </xf>
    <xf numFmtId="4" fontId="82" fillId="0" borderId="0" xfId="0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4" fontId="83" fillId="0" borderId="0" xfId="0" applyNumberFormat="1" applyFont="1" applyFill="1" applyAlignment="1">
      <alignment vertical="center"/>
    </xf>
    <xf numFmtId="4" fontId="83" fillId="0" borderId="0" xfId="0" applyNumberFormat="1" applyFont="1" applyFill="1" applyAlignment="1">
      <alignment vertical="center"/>
    </xf>
    <xf numFmtId="177" fontId="42" fillId="8" borderId="49" xfId="64" applyNumberFormat="1" applyFont="1" applyFill="1" applyBorder="1" applyAlignment="1" applyProtection="1">
      <alignment horizontal="center" vertical="center" wrapText="1"/>
      <protection/>
    </xf>
    <xf numFmtId="177" fontId="43" fillId="8" borderId="38" xfId="64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177" fontId="43" fillId="8" borderId="101" xfId="0" applyNumberFormat="1" applyFont="1" applyFill="1" applyBorder="1" applyAlignment="1">
      <alignment horizontal="center" vertical="center"/>
    </xf>
    <xf numFmtId="2" fontId="8" fillId="0" borderId="80" xfId="63" applyNumberFormat="1" applyFont="1" applyFill="1" applyBorder="1" applyAlignment="1">
      <alignment horizontal="left" vertical="center"/>
      <protection/>
    </xf>
    <xf numFmtId="177" fontId="42" fillId="8" borderId="102" xfId="0" applyNumberFormat="1" applyFont="1" applyFill="1" applyBorder="1" applyAlignment="1" applyProtection="1">
      <alignment horizontal="center" vertical="center"/>
      <protection/>
    </xf>
    <xf numFmtId="2" fontId="67" fillId="8" borderId="59" xfId="63" applyNumberFormat="1" applyFont="1" applyFill="1" applyBorder="1" applyAlignment="1">
      <alignment horizontal="left" vertical="center"/>
      <protection/>
    </xf>
    <xf numFmtId="2" fontId="67" fillId="8" borderId="17" xfId="63" applyNumberFormat="1" applyFont="1" applyFill="1" applyBorder="1" applyAlignment="1">
      <alignment horizontal="left" vertical="center"/>
      <protection/>
    </xf>
    <xf numFmtId="2" fontId="67" fillId="8" borderId="12" xfId="63" applyNumberFormat="1" applyFont="1" applyFill="1" applyBorder="1" applyAlignment="1">
      <alignment horizontal="left" vertical="center"/>
      <protection/>
    </xf>
    <xf numFmtId="2" fontId="8" fillId="0" borderId="43" xfId="63" applyNumberFormat="1" applyFont="1" applyFill="1" applyBorder="1" applyAlignment="1">
      <alignment horizontal="left" vertical="center"/>
      <protection/>
    </xf>
    <xf numFmtId="2" fontId="8" fillId="0" borderId="54" xfId="63" applyNumberFormat="1" applyFont="1" applyFill="1" applyBorder="1" applyAlignment="1">
      <alignment horizontal="left" vertical="center"/>
      <protection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66" fillId="25" borderId="103" xfId="63" applyFont="1" applyFill="1" applyBorder="1" applyAlignment="1">
      <alignment horizontal="center" vertical="center" wrapText="1"/>
      <protection/>
    </xf>
    <xf numFmtId="0" fontId="66" fillId="25" borderId="98" xfId="63" applyFont="1" applyFill="1" applyBorder="1" applyAlignment="1">
      <alignment horizontal="center" vertical="center" wrapText="1"/>
      <protection/>
    </xf>
    <xf numFmtId="177" fontId="0" fillId="8" borderId="104" xfId="0" applyNumberFormat="1" applyFont="1" applyFill="1" applyBorder="1" applyAlignment="1">
      <alignment horizontal="center" vertical="center"/>
    </xf>
    <xf numFmtId="177" fontId="0" fillId="8" borderId="105" xfId="0" applyNumberFormat="1" applyFont="1" applyFill="1" applyBorder="1" applyAlignment="1">
      <alignment horizontal="center" vertical="center"/>
    </xf>
    <xf numFmtId="3" fontId="42" fillId="16" borderId="15" xfId="0" applyNumberFormat="1" applyFont="1" applyFill="1" applyBorder="1" applyAlignment="1" applyProtection="1">
      <alignment vertical="center"/>
      <protection/>
    </xf>
    <xf numFmtId="3" fontId="42" fillId="16" borderId="26" xfId="0" applyNumberFormat="1" applyFont="1" applyFill="1" applyBorder="1" applyAlignment="1">
      <alignment vertical="center"/>
    </xf>
    <xf numFmtId="177" fontId="42" fillId="16" borderId="27" xfId="0" applyNumberFormat="1" applyFont="1" applyFill="1" applyBorder="1" applyAlignment="1" applyProtection="1">
      <alignment vertical="center"/>
      <protection/>
    </xf>
    <xf numFmtId="177" fontId="42" fillId="16" borderId="27" xfId="52" applyNumberFormat="1" applyFont="1" applyFill="1" applyBorder="1" applyAlignment="1" applyProtection="1">
      <alignment vertical="center"/>
      <protection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06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07" xfId="0" applyNumberFormat="1" applyFont="1" applyFill="1" applyBorder="1" applyAlignment="1">
      <alignment vertical="center"/>
    </xf>
    <xf numFmtId="177" fontId="0" fillId="0" borderId="108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61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4" applyNumberFormat="1" applyFont="1" applyFill="1" applyBorder="1" applyAlignment="1" applyProtection="1">
      <alignment horizontal="center" vertical="center" wrapText="1"/>
      <protection/>
    </xf>
    <xf numFmtId="177" fontId="0" fillId="8" borderId="27" xfId="64" applyNumberFormat="1" applyFont="1" applyFill="1" applyBorder="1" applyAlignment="1">
      <alignment horizontal="center" vertical="center" wrapText="1"/>
      <protection/>
    </xf>
    <xf numFmtId="177" fontId="0" fillId="8" borderId="14" xfId="64" applyNumberFormat="1" applyFont="1" applyFill="1" applyBorder="1" applyAlignment="1">
      <alignment horizontal="center" vertical="center" wrapText="1"/>
      <protection/>
    </xf>
    <xf numFmtId="177" fontId="1" fillId="8" borderId="102" xfId="0" applyNumberFormat="1" applyFont="1" applyFill="1" applyBorder="1" applyAlignment="1" applyProtection="1">
      <alignment horizontal="center" vertical="center"/>
      <protection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62" applyNumberFormat="1" applyFont="1" applyFill="1" applyBorder="1" applyAlignment="1">
      <alignment horizontal="center" vertical="center"/>
      <protection/>
    </xf>
    <xf numFmtId="2" fontId="61" fillId="0" borderId="17" xfId="62" applyNumberFormat="1" applyFont="1" applyFill="1" applyBorder="1" applyAlignment="1">
      <alignment horizontal="center" vertical="center"/>
      <protection/>
    </xf>
    <xf numFmtId="2" fontId="60" fillId="8" borderId="18" xfId="62" applyNumberFormat="1" applyFont="1" applyFill="1" applyBorder="1" applyAlignment="1" applyProtection="1">
      <alignment horizontal="center" vertical="center"/>
      <protection locked="0"/>
    </xf>
    <xf numFmtId="2" fontId="60" fillId="8" borderId="109" xfId="62" applyNumberFormat="1" applyFont="1" applyFill="1" applyBorder="1" applyAlignment="1" applyProtection="1">
      <alignment horizontal="center" vertical="center"/>
      <protection locked="0"/>
    </xf>
    <xf numFmtId="2" fontId="60" fillId="8" borderId="66" xfId="62" applyNumberFormat="1" applyFont="1" applyFill="1" applyBorder="1" applyAlignment="1" applyProtection="1">
      <alignment horizontal="center" vertical="center"/>
      <protection locked="0"/>
    </xf>
    <xf numFmtId="0" fontId="59" fillId="25" borderId="18" xfId="62" applyFont="1" applyFill="1" applyBorder="1" applyAlignment="1">
      <alignment horizontal="center" vertical="center" wrapText="1"/>
      <protection/>
    </xf>
    <xf numFmtId="0" fontId="59" fillId="25" borderId="109" xfId="62" applyFont="1" applyFill="1" applyBorder="1" applyAlignment="1">
      <alignment horizontal="center" vertical="center" wrapText="1"/>
      <protection/>
    </xf>
    <xf numFmtId="0" fontId="59" fillId="25" borderId="66" xfId="62" applyFont="1" applyFill="1" applyBorder="1" applyAlignment="1">
      <alignment horizontal="center" vertical="center" wrapText="1"/>
      <protection/>
    </xf>
    <xf numFmtId="0" fontId="59" fillId="25" borderId="17" xfId="62" applyFont="1" applyFill="1" applyBorder="1" applyAlignment="1">
      <alignment horizontal="center" vertical="center" wrapText="1"/>
      <protection/>
    </xf>
    <xf numFmtId="2" fontId="61" fillId="8" borderId="18" xfId="61" applyNumberFormat="1" applyFont="1" applyFill="1" applyBorder="1" applyAlignment="1">
      <alignment horizontal="center" vertical="center" wrapText="1"/>
      <protection/>
    </xf>
    <xf numFmtId="2" fontId="61" fillId="8" borderId="109" xfId="61" applyNumberFormat="1" applyFont="1" applyFill="1" applyBorder="1" applyAlignment="1">
      <alignment horizontal="center" vertical="center" wrapText="1"/>
      <protection/>
    </xf>
    <xf numFmtId="2" fontId="61" fillId="8" borderId="66" xfId="61" applyNumberFormat="1" applyFont="1" applyFill="1" applyBorder="1" applyAlignment="1">
      <alignment horizontal="center" vertical="center" wrapText="1"/>
      <protection/>
    </xf>
    <xf numFmtId="168" fontId="61" fillId="0" borderId="17" xfId="62" applyNumberFormat="1" applyFont="1" applyFill="1" applyBorder="1" applyAlignment="1">
      <alignment horizontal="center" vertical="center" wrapText="1"/>
      <protection/>
    </xf>
    <xf numFmtId="2" fontId="59" fillId="8" borderId="18" xfId="62" applyNumberFormat="1" applyFont="1" applyFill="1" applyBorder="1" applyAlignment="1">
      <alignment horizontal="center" vertical="center"/>
      <protection/>
    </xf>
    <xf numFmtId="2" fontId="59" fillId="8" borderId="109" xfId="62" applyNumberFormat="1" applyFont="1" applyFill="1" applyBorder="1" applyAlignment="1">
      <alignment horizontal="center" vertical="center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10" xfId="0" applyFont="1" applyFill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42" fillId="25" borderId="103" xfId="61" applyFont="1" applyFill="1" applyBorder="1" applyAlignment="1">
      <alignment horizontal="center" vertical="center" wrapText="1"/>
      <protection/>
    </xf>
    <xf numFmtId="0" fontId="42" fillId="25" borderId="98" xfId="61" applyFont="1" applyFill="1" applyBorder="1" applyAlignment="1">
      <alignment horizontal="center" vertical="center" wrapText="1"/>
      <protection/>
    </xf>
    <xf numFmtId="1" fontId="42" fillId="25" borderId="98" xfId="61" applyNumberFormat="1" applyFont="1" applyFill="1" applyBorder="1" applyAlignment="1">
      <alignment horizontal="center" vertical="center" wrapText="1"/>
      <protection/>
    </xf>
    <xf numFmtId="1" fontId="42" fillId="25" borderId="13" xfId="61" applyNumberFormat="1" applyFont="1" applyFill="1" applyBorder="1" applyAlignment="1">
      <alignment horizontal="center" vertical="center" wrapText="1"/>
      <protection/>
    </xf>
    <xf numFmtId="2" fontId="47" fillId="0" borderId="59" xfId="61" applyNumberFormat="1" applyFont="1" applyFill="1" applyBorder="1" applyAlignment="1">
      <alignment horizontal="center" vertical="center" wrapText="1"/>
      <protection/>
    </xf>
    <xf numFmtId="2" fontId="47" fillId="0" borderId="17" xfId="61" applyNumberFormat="1" applyFont="1" applyFill="1" applyBorder="1" applyAlignment="1">
      <alignment horizontal="center" vertical="center" wrapText="1"/>
      <protection/>
    </xf>
    <xf numFmtId="2" fontId="47" fillId="0" borderId="12" xfId="61" applyNumberFormat="1" applyFont="1" applyFill="1" applyBorder="1" applyAlignment="1">
      <alignment horizontal="center" vertical="center" wrapText="1"/>
      <protection/>
    </xf>
    <xf numFmtId="0" fontId="43" fillId="8" borderId="59" xfId="56" applyFont="1" applyFill="1" applyBorder="1" applyAlignment="1">
      <alignment vertical="center" wrapText="1"/>
      <protection/>
    </xf>
    <xf numFmtId="0" fontId="43" fillId="8" borderId="17" xfId="56" applyFont="1" applyFill="1" applyBorder="1" applyAlignment="1">
      <alignment vertical="center" wrapText="1"/>
      <protection/>
    </xf>
    <xf numFmtId="0" fontId="43" fillId="8" borderId="12" xfId="56" applyFont="1" applyFill="1" applyBorder="1" applyAlignment="1">
      <alignment vertical="center" wrapText="1"/>
      <protection/>
    </xf>
    <xf numFmtId="0" fontId="42" fillId="0" borderId="59" xfId="56" applyFont="1" applyBorder="1" applyAlignment="1">
      <alignment horizontal="center" vertical="center" wrapText="1"/>
      <protection/>
    </xf>
    <xf numFmtId="0" fontId="42" fillId="0" borderId="17" xfId="56" applyFont="1" applyBorder="1" applyAlignment="1">
      <alignment horizontal="center" vertical="center" wrapText="1"/>
      <protection/>
    </xf>
    <xf numFmtId="0" fontId="42" fillId="0" borderId="12" xfId="56" applyFont="1" applyBorder="1" applyAlignment="1">
      <alignment horizontal="center" vertical="center" wrapText="1"/>
      <protection/>
    </xf>
    <xf numFmtId="2" fontId="47" fillId="8" borderId="59" xfId="61" applyNumberFormat="1" applyFont="1" applyFill="1" applyBorder="1" applyAlignment="1">
      <alignment horizontal="center" vertical="center" wrapText="1"/>
      <protection/>
    </xf>
    <xf numFmtId="2" fontId="47" fillId="8" borderId="17" xfId="61" applyNumberFormat="1" applyFont="1" applyFill="1" applyBorder="1" applyAlignment="1">
      <alignment horizontal="center" vertical="center" wrapText="1"/>
      <protection/>
    </xf>
    <xf numFmtId="2" fontId="32" fillId="8" borderId="17" xfId="62" applyNumberFormat="1" applyFont="1" applyFill="1" applyBorder="1" applyAlignment="1">
      <alignment horizontal="center" vertical="center" wrapText="1"/>
      <protection/>
    </xf>
    <xf numFmtId="2" fontId="32" fillId="8" borderId="12" xfId="62" applyNumberFormat="1" applyFont="1" applyFill="1" applyBorder="1" applyAlignment="1">
      <alignment horizontal="center" vertical="center" wrapText="1"/>
      <protection/>
    </xf>
    <xf numFmtId="0" fontId="84" fillId="0" borderId="0" xfId="56" applyFont="1" applyAlignment="1">
      <alignment horizontal="left" vertical="center" wrapText="1"/>
      <protection/>
    </xf>
    <xf numFmtId="0" fontId="50" fillId="0" borderId="111" xfId="0" applyFont="1" applyBorder="1" applyAlignment="1" applyProtection="1">
      <alignment horizontal="center" vertical="center" wrapText="1"/>
      <protection locked="0"/>
    </xf>
    <xf numFmtId="0" fontId="50" fillId="0" borderId="112" xfId="0" applyFont="1" applyBorder="1" applyAlignment="1" applyProtection="1">
      <alignment horizontal="center" vertical="center" wrapText="1"/>
      <protection locked="0"/>
    </xf>
    <xf numFmtId="177" fontId="43" fillId="0" borderId="111" xfId="0" applyNumberFormat="1" applyFont="1" applyBorder="1" applyAlignment="1" applyProtection="1">
      <alignment horizontal="left" vertical="center" wrapText="1"/>
      <protection locked="0"/>
    </xf>
    <xf numFmtId="177" fontId="43" fillId="0" borderId="112" xfId="0" applyNumberFormat="1" applyFont="1" applyBorder="1" applyAlignment="1" applyProtection="1">
      <alignment horizontal="left" vertical="center" wrapText="1"/>
      <protection locked="0"/>
    </xf>
    <xf numFmtId="177" fontId="43" fillId="0" borderId="111" xfId="0" applyNumberFormat="1" applyFont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Border="1" applyAlignment="1" applyProtection="1">
      <alignment horizontal="center" vertical="center" wrapText="1"/>
      <protection locked="0"/>
    </xf>
    <xf numFmtId="2" fontId="47" fillId="0" borderId="10" xfId="61" applyNumberFormat="1" applyFont="1" applyFill="1" applyBorder="1" applyAlignment="1">
      <alignment horizontal="center" vertical="center" wrapText="1"/>
      <protection/>
    </xf>
    <xf numFmtId="2" fontId="47" fillId="0" borderId="109" xfId="61" applyNumberFormat="1" applyFont="1" applyFill="1" applyBorder="1" applyAlignment="1">
      <alignment horizontal="center" vertical="center" wrapText="1"/>
      <protection/>
    </xf>
    <xf numFmtId="2" fontId="47" fillId="0" borderId="60" xfId="61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77" fontId="42" fillId="0" borderId="111" xfId="0" applyNumberFormat="1" applyFont="1" applyBorder="1" applyAlignment="1" applyProtection="1">
      <alignment horizontal="center" vertical="center" wrapText="1"/>
      <protection locked="0"/>
    </xf>
    <xf numFmtId="177" fontId="42" fillId="0" borderId="112" xfId="0" applyNumberFormat="1" applyFont="1" applyBorder="1" applyAlignment="1" applyProtection="1">
      <alignment horizontal="center" vertical="center" wrapText="1"/>
      <protection locked="0"/>
    </xf>
    <xf numFmtId="177" fontId="42" fillId="0" borderId="113" xfId="0" applyNumberFormat="1" applyFont="1" applyBorder="1" applyAlignment="1" applyProtection="1">
      <alignment horizontal="center" vertical="center" wrapText="1"/>
      <protection locked="0"/>
    </xf>
    <xf numFmtId="177" fontId="42" fillId="0" borderId="114" xfId="0" applyNumberFormat="1" applyFont="1" applyBorder="1" applyAlignment="1" applyProtection="1">
      <alignment horizontal="center" vertical="center" wrapText="1"/>
      <protection locked="0"/>
    </xf>
    <xf numFmtId="2" fontId="47" fillId="0" borderId="28" xfId="61" applyNumberFormat="1" applyFont="1" applyFill="1" applyBorder="1" applyAlignment="1">
      <alignment horizontal="center" vertical="center" wrapText="1"/>
      <protection/>
    </xf>
    <xf numFmtId="2" fontId="47" fillId="0" borderId="55" xfId="61" applyNumberFormat="1" applyFont="1" applyFill="1" applyBorder="1" applyAlignment="1">
      <alignment horizontal="center" vertical="center" wrapText="1"/>
      <protection/>
    </xf>
    <xf numFmtId="2" fontId="47" fillId="0" borderId="79" xfId="61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177" fontId="49" fillId="0" borderId="115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6" xfId="0" applyFont="1" applyBorder="1" applyAlignment="1">
      <alignment horizontal="center" vertical="center" wrapText="1"/>
    </xf>
    <xf numFmtId="0" fontId="42" fillId="0" borderId="117" xfId="0" applyFont="1" applyBorder="1" applyAlignment="1">
      <alignment horizontal="center" vertical="center" wrapText="1"/>
    </xf>
    <xf numFmtId="0" fontId="49" fillId="0" borderId="115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2" fillId="25" borderId="45" xfId="61" applyFont="1" applyFill="1" applyBorder="1" applyAlignment="1">
      <alignment horizontal="center" vertical="center" wrapText="1"/>
      <protection/>
    </xf>
    <xf numFmtId="0" fontId="42" fillId="25" borderId="46" xfId="61" applyFont="1" applyFill="1" applyBorder="1" applyAlignment="1">
      <alignment horizontal="center" vertical="center" wrapText="1"/>
      <protection/>
    </xf>
    <xf numFmtId="0" fontId="42" fillId="25" borderId="47" xfId="61" applyFont="1" applyFill="1" applyBorder="1" applyAlignment="1">
      <alignment horizontal="center" vertical="center" wrapText="1"/>
      <protection/>
    </xf>
    <xf numFmtId="2" fontId="47" fillId="8" borderId="45" xfId="61" applyNumberFormat="1" applyFont="1" applyFill="1" applyBorder="1" applyAlignment="1">
      <alignment horizontal="center" vertical="center" wrapText="1"/>
      <protection/>
    </xf>
    <xf numFmtId="2" fontId="47" fillId="8" borderId="46" xfId="61" applyNumberFormat="1" applyFont="1" applyFill="1" applyBorder="1" applyAlignment="1">
      <alignment horizontal="center" vertical="center" wrapText="1"/>
      <protection/>
    </xf>
    <xf numFmtId="2" fontId="47" fillId="8" borderId="47" xfId="61" applyNumberFormat="1" applyFont="1" applyFill="1" applyBorder="1" applyAlignment="1">
      <alignment horizontal="center" vertical="center" wrapText="1"/>
      <protection/>
    </xf>
    <xf numFmtId="2" fontId="32" fillId="8" borderId="45" xfId="62" applyNumberFormat="1" applyFont="1" applyFill="1" applyBorder="1" applyAlignment="1">
      <alignment horizontal="center" vertical="center" wrapText="1"/>
      <protection/>
    </xf>
    <xf numFmtId="2" fontId="32" fillId="8" borderId="47" xfId="62" applyNumberFormat="1" applyFont="1" applyFill="1" applyBorder="1" applyAlignment="1">
      <alignment horizontal="center" vertical="center" wrapText="1"/>
      <protection/>
    </xf>
    <xf numFmtId="1" fontId="42" fillId="25" borderId="45" xfId="61" applyNumberFormat="1" applyFont="1" applyFill="1" applyBorder="1" applyAlignment="1">
      <alignment horizontal="center" vertical="center" wrapText="1"/>
      <protection/>
    </xf>
    <xf numFmtId="1" fontId="42" fillId="25" borderId="47" xfId="61" applyNumberFormat="1" applyFont="1" applyFill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1" fillId="25" borderId="118" xfId="61" applyFont="1" applyFill="1" applyBorder="1" applyAlignment="1">
      <alignment horizontal="center" vertical="center" wrapText="1"/>
      <protection/>
    </xf>
    <xf numFmtId="0" fontId="1" fillId="25" borderId="119" xfId="61" applyFont="1" applyFill="1" applyBorder="1" applyAlignment="1">
      <alignment horizontal="center" vertical="center" wrapText="1"/>
      <protection/>
    </xf>
    <xf numFmtId="0" fontId="1" fillId="25" borderId="120" xfId="61" applyFont="1" applyFill="1" applyBorder="1" applyAlignment="1">
      <alignment horizontal="center" vertical="center" wrapText="1"/>
      <protection/>
    </xf>
    <xf numFmtId="2" fontId="29" fillId="8" borderId="10" xfId="61" applyNumberFormat="1" applyFont="1" applyFill="1" applyBorder="1" applyAlignment="1">
      <alignment horizontal="left" vertical="center" wrapText="1"/>
      <protection/>
    </xf>
    <xf numFmtId="2" fontId="29" fillId="8" borderId="109" xfId="61" applyNumberFormat="1" applyFont="1" applyFill="1" applyBorder="1" applyAlignment="1">
      <alignment horizontal="left" vertical="center" wrapText="1"/>
      <protection/>
    </xf>
    <xf numFmtId="2" fontId="29" fillId="8" borderId="66" xfId="61" applyNumberFormat="1" applyFont="1" applyFill="1" applyBorder="1" applyAlignment="1">
      <alignment horizontal="left" vertical="center" wrapText="1"/>
      <protection/>
    </xf>
    <xf numFmtId="2" fontId="29" fillId="0" borderId="10" xfId="61" applyNumberFormat="1" applyFont="1" applyFill="1" applyBorder="1" applyAlignment="1">
      <alignment horizontal="center" vertical="center"/>
      <protection/>
    </xf>
    <xf numFmtId="2" fontId="29" fillId="0" borderId="109" xfId="61" applyNumberFormat="1" applyFont="1" applyFill="1" applyBorder="1" applyAlignment="1">
      <alignment horizontal="center" vertical="center"/>
      <protection/>
    </xf>
    <xf numFmtId="2" fontId="29" fillId="0" borderId="60" xfId="61" applyNumberFormat="1" applyFont="1" applyFill="1" applyBorder="1" applyAlignment="1">
      <alignment horizontal="center" vertical="center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5" applyFont="1" applyFill="1" applyBorder="1" applyAlignment="1" applyProtection="1">
      <alignment horizontal="center"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0" fontId="42" fillId="0" borderId="22" xfId="65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98" xfId="62" applyNumberFormat="1" applyFont="1" applyFill="1" applyBorder="1" applyAlignment="1" applyProtection="1">
      <alignment horizontal="center" vertical="center"/>
      <protection/>
    </xf>
    <xf numFmtId="1" fontId="47" fillId="8" borderId="13" xfId="62" applyNumberFormat="1" applyFont="1" applyFill="1" applyBorder="1" applyAlignment="1" applyProtection="1">
      <alignment horizontal="center" vertical="center"/>
      <protection/>
    </xf>
    <xf numFmtId="2" fontId="47" fillId="8" borderId="63" xfId="62" applyNumberFormat="1" applyFont="1" applyFill="1" applyBorder="1" applyAlignment="1" applyProtection="1">
      <alignment horizontal="center" vertical="center" wrapText="1"/>
      <protection/>
    </xf>
    <xf numFmtId="2" fontId="47" fillId="8" borderId="68" xfId="62" applyNumberFormat="1" applyFont="1" applyFill="1" applyBorder="1" applyAlignment="1" applyProtection="1">
      <alignment horizontal="center" vertical="center" wrapText="1"/>
      <protection/>
    </xf>
    <xf numFmtId="2" fontId="47" fillId="8" borderId="110" xfId="62" applyNumberFormat="1" applyFont="1" applyFill="1" applyBorder="1" applyAlignment="1" applyProtection="1">
      <alignment horizontal="center" vertical="center" wrapText="1"/>
      <protection/>
    </xf>
    <xf numFmtId="2" fontId="47" fillId="8" borderId="16" xfId="62" applyNumberFormat="1" applyFont="1" applyFill="1" applyBorder="1" applyAlignment="1" applyProtection="1">
      <alignment horizontal="center" vertical="center"/>
      <protection/>
    </xf>
    <xf numFmtId="2" fontId="47" fillId="8" borderId="68" xfId="62" applyNumberFormat="1" applyFont="1" applyFill="1" applyBorder="1" applyAlignment="1" applyProtection="1">
      <alignment horizontal="center" vertical="center"/>
      <protection/>
    </xf>
    <xf numFmtId="0" fontId="42" fillId="25" borderId="118" xfId="62" applyFont="1" applyFill="1" applyBorder="1" applyAlignment="1" applyProtection="1">
      <alignment horizontal="center" vertical="center" wrapText="1"/>
      <protection/>
    </xf>
    <xf numFmtId="0" fontId="42" fillId="25" borderId="119" xfId="62" applyFont="1" applyFill="1" applyBorder="1" applyAlignment="1" applyProtection="1">
      <alignment horizontal="center" vertical="center" wrapText="1"/>
      <protection/>
    </xf>
    <xf numFmtId="0" fontId="42" fillId="0" borderId="57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50" xfId="56" applyFont="1" applyBorder="1" applyAlignment="1">
      <alignment horizontal="left" vertical="center" wrapText="1"/>
      <protection/>
    </xf>
    <xf numFmtId="0" fontId="42" fillId="0" borderId="51" xfId="56" applyFont="1" applyBorder="1" applyAlignment="1">
      <alignment horizontal="left" vertical="center" wrapText="1"/>
      <protection/>
    </xf>
    <xf numFmtId="0" fontId="43" fillId="0" borderId="65" xfId="56" applyFont="1" applyBorder="1" applyAlignment="1">
      <alignment horizontal="left" vertical="center" wrapText="1"/>
      <protection/>
    </xf>
    <xf numFmtId="0" fontId="43" fillId="0" borderId="11" xfId="56" applyFont="1" applyBorder="1" applyAlignment="1">
      <alignment horizontal="left" vertical="center" wrapText="1"/>
      <protection/>
    </xf>
    <xf numFmtId="0" fontId="43" fillId="0" borderId="64" xfId="56" applyFont="1" applyBorder="1" applyAlignment="1">
      <alignment horizontal="left" vertical="center" wrapText="1"/>
      <protection/>
    </xf>
    <xf numFmtId="0" fontId="43" fillId="0" borderId="48" xfId="56" applyFont="1" applyBorder="1" applyAlignment="1">
      <alignment horizontal="left" vertical="center" wrapText="1"/>
      <protection/>
    </xf>
    <xf numFmtId="0" fontId="43" fillId="0" borderId="0" xfId="56" applyFont="1" applyBorder="1" applyAlignment="1">
      <alignment vertical="center" wrapText="1"/>
      <protection/>
    </xf>
    <xf numFmtId="0" fontId="43" fillId="0" borderId="10" xfId="56" applyFont="1" applyBorder="1" applyAlignment="1">
      <alignment horizontal="left" vertical="center" wrapText="1"/>
      <protection/>
    </xf>
    <xf numFmtId="0" fontId="43" fillId="0" borderId="109" xfId="56" applyFont="1" applyBorder="1" applyAlignment="1">
      <alignment horizontal="left" vertical="center" wrapText="1"/>
      <protection/>
    </xf>
    <xf numFmtId="0" fontId="43" fillId="0" borderId="96" xfId="56" applyFont="1" applyBorder="1" applyAlignment="1">
      <alignment horizontal="left" vertical="center" wrapText="1"/>
      <protection/>
    </xf>
    <xf numFmtId="0" fontId="43" fillId="0" borderId="56" xfId="56" applyFont="1" applyBorder="1" applyAlignment="1">
      <alignment horizontal="left" vertical="center" wrapText="1"/>
      <protection/>
    </xf>
    <xf numFmtId="3" fontId="43" fillId="0" borderId="65" xfId="56" applyNumberFormat="1" applyFont="1" applyBorder="1" applyAlignment="1">
      <alignment horizontal="left" vertical="center" wrapText="1"/>
      <protection/>
    </xf>
    <xf numFmtId="3" fontId="43" fillId="0" borderId="59" xfId="56" applyNumberFormat="1" applyFont="1" applyBorder="1" applyAlignment="1">
      <alignment horizontal="left" vertical="center" wrapText="1"/>
      <protection/>
    </xf>
    <xf numFmtId="0" fontId="43" fillId="0" borderId="17" xfId="56" applyFont="1" applyBorder="1" applyAlignment="1">
      <alignment horizontal="left" vertical="center" wrapText="1"/>
      <protection/>
    </xf>
    <xf numFmtId="0" fontId="42" fillId="25" borderId="118" xfId="61" applyFont="1" applyFill="1" applyBorder="1" applyAlignment="1">
      <alignment horizontal="center" vertical="center" wrapText="1"/>
      <protection/>
    </xf>
    <xf numFmtId="0" fontId="42" fillId="25" borderId="119" xfId="61" applyFont="1" applyFill="1" applyBorder="1" applyAlignment="1">
      <alignment horizontal="center" vertical="center" wrapText="1"/>
      <protection/>
    </xf>
    <xf numFmtId="0" fontId="42" fillId="25" borderId="120" xfId="61" applyFont="1" applyFill="1" applyBorder="1" applyAlignment="1">
      <alignment horizontal="center" vertical="center" wrapText="1"/>
      <protection/>
    </xf>
    <xf numFmtId="2" fontId="47" fillId="0" borderId="23" xfId="61" applyNumberFormat="1" applyFont="1" applyFill="1" applyBorder="1" applyAlignment="1">
      <alignment horizontal="center" vertical="center"/>
      <protection/>
    </xf>
    <xf numFmtId="0" fontId="43" fillId="0" borderId="100" xfId="0" applyFont="1" applyBorder="1" applyAlignment="1">
      <alignment vertical="center"/>
    </xf>
    <xf numFmtId="0" fontId="43" fillId="0" borderId="121" xfId="0" applyFont="1" applyBorder="1" applyAlignment="1">
      <alignment vertical="center"/>
    </xf>
    <xf numFmtId="2" fontId="47" fillId="8" borderId="10" xfId="61" applyNumberFormat="1" applyFont="1" applyFill="1" applyBorder="1" applyAlignment="1">
      <alignment horizontal="center" vertical="center"/>
      <protection/>
    </xf>
    <xf numFmtId="2" fontId="47" fillId="8" borderId="109" xfId="61" applyNumberFormat="1" applyFont="1" applyFill="1" applyBorder="1" applyAlignment="1">
      <alignment horizontal="center" vertical="center"/>
      <protection/>
    </xf>
    <xf numFmtId="2" fontId="47" fillId="8" borderId="66" xfId="61" applyNumberFormat="1" applyFont="1" applyFill="1" applyBorder="1" applyAlignment="1">
      <alignment horizontal="center" vertical="center"/>
      <protection/>
    </xf>
    <xf numFmtId="0" fontId="80" fillId="0" borderId="0" xfId="56" applyFont="1" applyAlignment="1">
      <alignment horizontal="justify" vertical="center" wrapText="1"/>
      <protection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18" xfId="0" applyFont="1" applyFill="1" applyBorder="1" applyAlignment="1">
      <alignment horizontal="center" vertical="center" wrapText="1"/>
    </xf>
    <xf numFmtId="0" fontId="42" fillId="0" borderId="119" xfId="0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3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0" borderId="10" xfId="66" applyFont="1" applyFill="1" applyBorder="1" applyAlignment="1">
      <alignment horizontal="center" vertical="center" wrapText="1"/>
      <protection/>
    </xf>
    <xf numFmtId="0" fontId="42" fillId="0" borderId="109" xfId="66" applyFont="1" applyFill="1" applyBorder="1" applyAlignment="1">
      <alignment horizontal="center" vertical="center" wrapText="1"/>
      <protection/>
    </xf>
    <xf numFmtId="0" fontId="42" fillId="0" borderId="66" xfId="66" applyFont="1" applyFill="1" applyBorder="1" applyAlignment="1">
      <alignment horizontal="center" vertical="center" wrapText="1"/>
      <protection/>
    </xf>
    <xf numFmtId="4" fontId="43" fillId="0" borderId="10" xfId="66" applyNumberFormat="1" applyFont="1" applyBorder="1" applyAlignment="1">
      <alignment horizontal="center" vertical="center"/>
      <protection/>
    </xf>
    <xf numFmtId="4" fontId="43" fillId="0" borderId="109" xfId="66" applyNumberFormat="1" applyFont="1" applyBorder="1" applyAlignment="1">
      <alignment horizontal="center" vertical="center"/>
      <protection/>
    </xf>
    <xf numFmtId="4" fontId="43" fillId="0" borderId="66" xfId="66" applyNumberFormat="1" applyFont="1" applyBorder="1" applyAlignment="1">
      <alignment horizontal="center" vertical="center"/>
      <protection/>
    </xf>
    <xf numFmtId="4" fontId="43" fillId="0" borderId="17" xfId="66" applyNumberFormat="1" applyFont="1" applyFill="1" applyBorder="1" applyAlignment="1">
      <alignment horizontal="center" vertical="center" wrapText="1"/>
      <protection/>
    </xf>
    <xf numFmtId="0" fontId="43" fillId="0" borderId="18" xfId="66" applyNumberFormat="1" applyFont="1" applyBorder="1" applyAlignment="1" applyProtection="1">
      <alignment horizontal="center" vertical="center"/>
      <protection locked="0"/>
    </xf>
    <xf numFmtId="0" fontId="43" fillId="0" borderId="109" xfId="66" applyNumberFormat="1" applyFont="1" applyBorder="1" applyAlignment="1" applyProtection="1">
      <alignment horizontal="center" vertical="center"/>
      <protection locked="0"/>
    </xf>
    <xf numFmtId="0" fontId="43" fillId="0" borderId="66" xfId="66" applyNumberFormat="1" applyFont="1" applyBorder="1" applyAlignment="1" applyProtection="1">
      <alignment horizontal="center" vertical="center"/>
      <protection locked="0"/>
    </xf>
    <xf numFmtId="1" fontId="47" fillId="8" borderId="45" xfId="62" applyNumberFormat="1" applyFont="1" applyFill="1" applyBorder="1" applyAlignment="1">
      <alignment horizontal="center" vertical="center"/>
      <protection/>
    </xf>
    <xf numFmtId="1" fontId="47" fillId="8" borderId="47" xfId="62" applyNumberFormat="1" applyFont="1" applyFill="1" applyBorder="1" applyAlignment="1">
      <alignment horizontal="center" vertical="center"/>
      <protection/>
    </xf>
    <xf numFmtId="0" fontId="44" fillId="0" borderId="28" xfId="66" applyFont="1" applyFill="1" applyBorder="1" applyAlignment="1">
      <alignment horizontal="center" vertical="center" wrapText="1"/>
      <protection/>
    </xf>
    <xf numFmtId="0" fontId="44" fillId="0" borderId="55" xfId="66" applyFont="1" applyFill="1" applyBorder="1" applyAlignment="1">
      <alignment horizontal="center" vertical="center" wrapText="1"/>
      <protection/>
    </xf>
    <xf numFmtId="0" fontId="44" fillId="0" borderId="79" xfId="66" applyFont="1" applyFill="1" applyBorder="1" applyAlignment="1">
      <alignment horizontal="center" vertical="center" wrapText="1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18" xfId="66" applyFont="1" applyFill="1" applyBorder="1" applyAlignment="1">
      <alignment horizontal="center" vertical="center" wrapText="1"/>
      <protection/>
    </xf>
    <xf numFmtId="0" fontId="42" fillId="0" borderId="60" xfId="66" applyFont="1" applyFill="1" applyBorder="1" applyAlignment="1">
      <alignment horizontal="center" vertical="center" wrapText="1"/>
      <protection/>
    </xf>
    <xf numFmtId="2" fontId="47" fillId="8" borderId="45" xfId="62" applyNumberFormat="1" applyFont="1" applyFill="1" applyBorder="1" applyAlignment="1">
      <alignment horizontal="center" vertical="center"/>
      <protection/>
    </xf>
    <xf numFmtId="2" fontId="47" fillId="8" borderId="46" xfId="62" applyNumberFormat="1" applyFont="1" applyFill="1" applyBorder="1" applyAlignment="1">
      <alignment horizontal="center" vertical="center"/>
      <protection/>
    </xf>
    <xf numFmtId="2" fontId="47" fillId="8" borderId="47" xfId="62" applyNumberFormat="1" applyFont="1" applyFill="1" applyBorder="1" applyAlignment="1">
      <alignment horizontal="center" vertical="center"/>
      <protection/>
    </xf>
    <xf numFmtId="0" fontId="42" fillId="25" borderId="45" xfId="62" applyFont="1" applyFill="1" applyBorder="1" applyAlignment="1">
      <alignment horizontal="center" vertical="center" wrapText="1"/>
      <protection/>
    </xf>
    <xf numFmtId="0" fontId="42" fillId="25" borderId="46" xfId="62" applyFont="1" applyFill="1" applyBorder="1" applyAlignment="1">
      <alignment horizontal="center" vertical="center" wrapText="1"/>
      <protection/>
    </xf>
    <xf numFmtId="0" fontId="42" fillId="25" borderId="47" xfId="62" applyFont="1" applyFill="1" applyBorder="1" applyAlignment="1">
      <alignment horizontal="center" vertical="center" wrapText="1"/>
      <protection/>
    </xf>
    <xf numFmtId="4" fontId="43" fillId="0" borderId="18" xfId="66" applyNumberFormat="1" applyFont="1" applyFill="1" applyBorder="1" applyAlignment="1">
      <alignment horizontal="center" vertical="center" wrapText="1"/>
      <protection/>
    </xf>
    <xf numFmtId="4" fontId="43" fillId="0" borderId="109" xfId="66" applyNumberFormat="1" applyFont="1" applyFill="1" applyBorder="1" applyAlignment="1">
      <alignment horizontal="center" vertical="center" wrapText="1"/>
      <protection/>
    </xf>
    <xf numFmtId="4" fontId="43" fillId="0" borderId="66" xfId="66" applyNumberFormat="1" applyFont="1" applyFill="1" applyBorder="1" applyAlignment="1">
      <alignment horizontal="center"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0" fontId="42" fillId="0" borderId="11" xfId="66" applyFont="1" applyFill="1" applyBorder="1" applyAlignment="1">
      <alignment horizontal="center" vertical="center" wrapText="1"/>
      <protection/>
    </xf>
    <xf numFmtId="0" fontId="44" fillId="0" borderId="59" xfId="66" applyFont="1" applyFill="1" applyBorder="1" applyAlignment="1">
      <alignment horizontal="center" vertical="center" wrapText="1"/>
      <protection/>
    </xf>
    <xf numFmtId="0" fontId="44" fillId="0" borderId="17" xfId="66" applyFont="1" applyFill="1" applyBorder="1" applyAlignment="1">
      <alignment horizontal="center" vertical="center" wrapText="1"/>
      <protection/>
    </xf>
    <xf numFmtId="0" fontId="44" fillId="0" borderId="12" xfId="66" applyFont="1" applyFill="1" applyBorder="1" applyAlignment="1">
      <alignment horizontal="center" vertical="center" wrapText="1"/>
      <protection/>
    </xf>
    <xf numFmtId="0" fontId="42" fillId="0" borderId="59" xfId="66" applyFont="1" applyFill="1" applyBorder="1" applyAlignment="1">
      <alignment horizontal="center" vertical="center" wrapText="1"/>
      <protection/>
    </xf>
    <xf numFmtId="0" fontId="43" fillId="0" borderId="60" xfId="66" applyNumberFormat="1" applyFont="1" applyBorder="1" applyAlignment="1" applyProtection="1">
      <alignment horizontal="center" vertical="center"/>
      <protection locked="0"/>
    </xf>
    <xf numFmtId="0" fontId="42" fillId="0" borderId="12" xfId="66" applyFont="1" applyFill="1" applyBorder="1" applyAlignment="1">
      <alignment horizontal="center" vertical="center" wrapText="1"/>
      <protection/>
    </xf>
    <xf numFmtId="0" fontId="42" fillId="0" borderId="62" xfId="66" applyFont="1" applyFill="1" applyBorder="1" applyAlignment="1">
      <alignment horizontal="center" vertical="center" wrapText="1"/>
      <protection/>
    </xf>
    <xf numFmtId="0" fontId="42" fillId="0" borderId="24" xfId="66" applyFont="1" applyFill="1" applyBorder="1" applyAlignment="1">
      <alignment horizontal="center" vertical="center" wrapText="1"/>
      <protection/>
    </xf>
    <xf numFmtId="0" fontId="42" fillId="0" borderId="123" xfId="66" applyFont="1" applyFill="1" applyBorder="1" applyAlignment="1">
      <alignment horizontal="center" vertical="center" wrapText="1"/>
      <protection/>
    </xf>
    <xf numFmtId="0" fontId="42" fillId="0" borderId="29" xfId="66" applyFont="1" applyFill="1" applyBorder="1" applyAlignment="1">
      <alignment horizontal="center" vertical="center" wrapText="1"/>
      <protection/>
    </xf>
    <xf numFmtId="0" fontId="43" fillId="0" borderId="18" xfId="66" applyNumberFormat="1" applyFont="1" applyFill="1" applyBorder="1" applyAlignment="1">
      <alignment horizontal="center" vertical="center" wrapText="1"/>
      <protection/>
    </xf>
    <xf numFmtId="0" fontId="43" fillId="0" borderId="66" xfId="66" applyNumberFormat="1" applyFont="1" applyFill="1" applyBorder="1" applyAlignment="1">
      <alignment horizontal="center" vertical="center" wrapText="1"/>
      <protection/>
    </xf>
    <xf numFmtId="0" fontId="43" fillId="0" borderId="45" xfId="66" applyNumberFormat="1" applyFont="1" applyBorder="1" applyAlignment="1" applyProtection="1">
      <alignment horizontal="center" vertical="center"/>
      <protection locked="0"/>
    </xf>
    <xf numFmtId="0" fontId="43" fillId="0" borderId="47" xfId="66" applyNumberFormat="1" applyFont="1" applyBorder="1" applyAlignment="1" applyProtection="1">
      <alignment horizontal="center" vertical="center"/>
      <protection locked="0"/>
    </xf>
    <xf numFmtId="0" fontId="43" fillId="0" borderId="62" xfId="66" applyNumberFormat="1" applyFont="1" applyFill="1" applyBorder="1" applyAlignment="1">
      <alignment horizontal="center" vertical="center" wrapText="1"/>
      <protection/>
    </xf>
    <xf numFmtId="0" fontId="43" fillId="0" borderId="24" xfId="66" applyNumberFormat="1" applyFont="1" applyFill="1" applyBorder="1" applyAlignment="1">
      <alignment horizontal="center" vertical="center" wrapText="1"/>
      <protection/>
    </xf>
    <xf numFmtId="0" fontId="1" fillId="0" borderId="17" xfId="58" applyFont="1" applyBorder="1" applyAlignment="1">
      <alignment horizontal="center"/>
      <protection/>
    </xf>
    <xf numFmtId="0" fontId="3" fillId="0" borderId="63" xfId="58" applyFont="1" applyBorder="1" applyAlignment="1">
      <alignment horizontal="center"/>
      <protection/>
    </xf>
    <xf numFmtId="0" fontId="3" fillId="0" borderId="124" xfId="58" applyFont="1" applyBorder="1" applyAlignment="1">
      <alignment horizontal="center"/>
      <protection/>
    </xf>
    <xf numFmtId="0" fontId="8" fillId="25" borderId="118" xfId="62" applyFont="1" applyFill="1" applyBorder="1" applyAlignment="1">
      <alignment horizontal="center" vertical="center" wrapText="1"/>
      <protection/>
    </xf>
    <xf numFmtId="0" fontId="8" fillId="25" borderId="119" xfId="62" applyFont="1" applyFill="1" applyBorder="1" applyAlignment="1">
      <alignment horizontal="center" vertical="center" wrapText="1"/>
      <protection/>
    </xf>
    <xf numFmtId="0" fontId="8" fillId="25" borderId="120" xfId="62" applyFont="1" applyFill="1" applyBorder="1" applyAlignment="1">
      <alignment horizontal="center" vertical="center" wrapText="1"/>
      <protection/>
    </xf>
    <xf numFmtId="2" fontId="9" fillId="8" borderId="23" xfId="62" applyNumberFormat="1" applyFont="1" applyFill="1" applyBorder="1" applyAlignment="1">
      <alignment horizontal="left" vertical="center" wrapText="1"/>
      <protection/>
    </xf>
    <xf numFmtId="2" fontId="9" fillId="8" borderId="100" xfId="62" applyNumberFormat="1" applyFont="1" applyFill="1" applyBorder="1" applyAlignment="1">
      <alignment horizontal="left" vertical="center" wrapText="1"/>
      <protection/>
    </xf>
    <xf numFmtId="2" fontId="9" fillId="8" borderId="24" xfId="62" applyNumberFormat="1" applyFont="1" applyFill="1" applyBorder="1" applyAlignment="1">
      <alignment horizontal="left" vertical="center" wrapText="1"/>
      <protection/>
    </xf>
    <xf numFmtId="0" fontId="1" fillId="0" borderId="45" xfId="58" applyFont="1" applyBorder="1" applyAlignment="1">
      <alignment horizontal="center"/>
      <protection/>
    </xf>
    <xf numFmtId="0" fontId="1" fillId="0" borderId="46" xfId="58" applyFont="1" applyBorder="1" applyAlignment="1">
      <alignment horizontal="center"/>
      <protection/>
    </xf>
    <xf numFmtId="0" fontId="1" fillId="0" borderId="47" xfId="58" applyFont="1" applyBorder="1" applyAlignment="1">
      <alignment horizontal="center"/>
      <protection/>
    </xf>
    <xf numFmtId="0" fontId="1" fillId="0" borderId="11" xfId="58" applyFont="1" applyBorder="1" applyAlignment="1">
      <alignment horizontal="center"/>
      <protection/>
    </xf>
    <xf numFmtId="0" fontId="42" fillId="0" borderId="65" xfId="66" applyFont="1" applyFill="1" applyBorder="1" applyAlignment="1">
      <alignment horizontal="center" vertical="center" wrapText="1"/>
      <protection/>
    </xf>
    <xf numFmtId="0" fontId="42" fillId="0" borderId="14" xfId="66" applyFont="1" applyFill="1" applyBorder="1" applyAlignment="1">
      <alignment horizontal="center" vertical="center" wrapText="1"/>
      <protection/>
    </xf>
    <xf numFmtId="0" fontId="42" fillId="0" borderId="64" xfId="66" applyFont="1" applyFill="1" applyBorder="1" applyAlignment="1">
      <alignment horizontal="center" vertical="center" wrapText="1"/>
      <protection/>
    </xf>
    <xf numFmtId="0" fontId="43" fillId="0" borderId="23" xfId="0" applyFont="1" applyFill="1" applyBorder="1" applyAlignment="1">
      <alignment vertical="center" wrapText="1"/>
    </xf>
    <xf numFmtId="0" fontId="43" fillId="0" borderId="100" xfId="0" applyFont="1" applyFill="1" applyBorder="1" applyAlignment="1">
      <alignment vertical="center" wrapText="1"/>
    </xf>
    <xf numFmtId="0" fontId="43" fillId="0" borderId="121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22" xfId="0" applyFont="1" applyFill="1" applyBorder="1" applyAlignment="1">
      <alignment vertical="center" wrapText="1"/>
    </xf>
    <xf numFmtId="0" fontId="43" fillId="0" borderId="28" xfId="0" applyFont="1" applyFill="1" applyBorder="1" applyAlignment="1">
      <alignment vertical="center" wrapText="1"/>
    </xf>
    <xf numFmtId="0" fontId="43" fillId="0" borderId="55" xfId="0" applyFont="1" applyFill="1" applyBorder="1" applyAlignment="1">
      <alignment vertical="center" wrapText="1"/>
    </xf>
    <xf numFmtId="0" fontId="43" fillId="0" borderId="79" xfId="0" applyFont="1" applyFill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32" fillId="8" borderId="125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9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0" fontId="80" fillId="0" borderId="0" xfId="0" applyFont="1" applyAlignment="1">
      <alignment horizontal="left"/>
    </xf>
    <xf numFmtId="2" fontId="47" fillId="0" borderId="45" xfId="61" applyNumberFormat="1" applyFont="1" applyFill="1" applyBorder="1" applyAlignment="1">
      <alignment horizontal="center" vertical="center"/>
      <protection/>
    </xf>
    <xf numFmtId="2" fontId="47" fillId="0" borderId="46" xfId="61" applyNumberFormat="1" applyFont="1" applyFill="1" applyBorder="1" applyAlignment="1">
      <alignment horizontal="center" vertical="center"/>
      <protection/>
    </xf>
    <xf numFmtId="2" fontId="47" fillId="0" borderId="47" xfId="61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3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0" fontId="42" fillId="25" borderId="126" xfId="61" applyFont="1" applyFill="1" applyBorder="1" applyAlignment="1">
      <alignment horizontal="center" vertical="center" wrapText="1"/>
      <protection/>
    </xf>
    <xf numFmtId="0" fontId="42" fillId="25" borderId="127" xfId="61" applyFont="1" applyFill="1" applyBorder="1" applyAlignment="1">
      <alignment horizontal="center" vertical="center" wrapText="1"/>
      <protection/>
    </xf>
    <xf numFmtId="0" fontId="42" fillId="25" borderId="128" xfId="61" applyFont="1" applyFill="1" applyBorder="1" applyAlignment="1">
      <alignment horizontal="center" vertical="center" wrapText="1"/>
      <protection/>
    </xf>
    <xf numFmtId="2" fontId="61" fillId="8" borderId="129" xfId="61" applyNumberFormat="1" applyFont="1" applyFill="1" applyBorder="1" applyAlignment="1">
      <alignment horizontal="center" vertical="center" wrapText="1"/>
      <protection/>
    </xf>
    <xf numFmtId="0" fontId="56" fillId="0" borderId="109" xfId="0" applyFont="1" applyBorder="1" applyAlignment="1">
      <alignment/>
    </xf>
    <xf numFmtId="0" fontId="56" fillId="0" borderId="66" xfId="0" applyFont="1" applyBorder="1" applyAlignment="1">
      <alignment/>
    </xf>
    <xf numFmtId="2" fontId="47" fillId="0" borderId="129" xfId="61" applyNumberFormat="1" applyFont="1" applyFill="1" applyBorder="1" applyAlignment="1">
      <alignment horizontal="center" vertical="center"/>
      <protection/>
    </xf>
    <xf numFmtId="2" fontId="47" fillId="0" borderId="109" xfId="61" applyNumberFormat="1" applyFont="1" applyFill="1" applyBorder="1" applyAlignment="1">
      <alignment horizontal="center" vertical="center"/>
      <protection/>
    </xf>
    <xf numFmtId="2" fontId="47" fillId="0" borderId="130" xfId="61" applyNumberFormat="1" applyFont="1" applyFill="1" applyBorder="1" applyAlignment="1">
      <alignment horizontal="center" vertical="center"/>
      <protection/>
    </xf>
    <xf numFmtId="0" fontId="42" fillId="0" borderId="129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0" xfId="0" applyFont="1" applyFill="1" applyBorder="1" applyAlignment="1" applyProtection="1">
      <alignment horizontal="center" vertical="center"/>
      <protection locked="0"/>
    </xf>
    <xf numFmtId="2" fontId="47" fillId="8" borderId="10" xfId="61" applyNumberFormat="1" applyFont="1" applyFill="1" applyBorder="1" applyAlignment="1">
      <alignment horizontal="center" vertical="center" wrapText="1"/>
      <protection/>
    </xf>
    <xf numFmtId="2" fontId="47" fillId="8" borderId="109" xfId="61" applyNumberFormat="1" applyFont="1" applyFill="1" applyBorder="1" applyAlignment="1">
      <alignment horizontal="center" vertical="center" wrapText="1"/>
      <protection/>
    </xf>
    <xf numFmtId="2" fontId="47" fillId="8" borderId="66" xfId="61" applyNumberFormat="1" applyFont="1" applyFill="1" applyBorder="1" applyAlignment="1">
      <alignment horizontal="center" vertical="center" wrapText="1"/>
      <protection/>
    </xf>
    <xf numFmtId="2" fontId="47" fillId="0" borderId="10" xfId="61" applyNumberFormat="1" applyFont="1" applyFill="1" applyBorder="1" applyAlignment="1">
      <alignment horizontal="center" vertical="center"/>
      <protection/>
    </xf>
    <xf numFmtId="0" fontId="43" fillId="0" borderId="109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177" fontId="43" fillId="8" borderId="105" xfId="0" applyNumberFormat="1" applyFont="1" applyFill="1" applyBorder="1" applyAlignment="1">
      <alignment horizontal="center" vertical="center"/>
    </xf>
    <xf numFmtId="177" fontId="42" fillId="8" borderId="13" xfId="64" applyNumberFormat="1" applyFont="1" applyFill="1" applyBorder="1" applyAlignment="1" applyProtection="1">
      <alignment horizontal="center" vertical="center" wrapText="1"/>
      <protection/>
    </xf>
    <xf numFmtId="177" fontId="43" fillId="8" borderId="20" xfId="64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1" xfId="0" applyNumberFormat="1" applyFont="1" applyFill="1" applyBorder="1" applyAlignment="1" applyProtection="1">
      <alignment horizontal="center" vertical="center"/>
      <protection/>
    </xf>
    <xf numFmtId="177" fontId="43" fillId="8" borderId="132" xfId="0" applyNumberFormat="1" applyFont="1" applyFill="1" applyBorder="1" applyAlignment="1">
      <alignment horizontal="center" vertical="center"/>
    </xf>
    <xf numFmtId="177" fontId="42" fillId="8" borderId="80" xfId="64" applyNumberFormat="1" applyFont="1" applyFill="1" applyBorder="1" applyAlignment="1" applyProtection="1">
      <alignment horizontal="center" vertical="center" wrapText="1"/>
      <protection/>
    </xf>
    <xf numFmtId="177" fontId="43" fillId="8" borderId="70" xfId="64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_1T_2013 Informe Empresas para Plan Ajuste y Ejecución PAIF 2013 Cabild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_Inv. NO FIN" xfId="57"/>
    <cellStyle name="Normal 3" xfId="58"/>
    <cellStyle name="Normal_1CF-94 (2)" xfId="59"/>
    <cellStyle name="Normal_ACCIONISTAS" xfId="60"/>
    <cellStyle name="Normal_AGBOD-94" xfId="61"/>
    <cellStyle name="Normal_AGBOD-94 2" xfId="62"/>
    <cellStyle name="Normal_AGBOD-94_PLANTILLAS EPEL+INTEGRA+MAYORITARIA" xfId="63"/>
    <cellStyle name="Normal_CONSOLIDADO-2002" xfId="64"/>
    <cellStyle name="Normal_CS-96" xfId="65"/>
    <cellStyle name="Normal_CS-96_PAIF EMPRESAS PARA ENVIAR" xfId="66"/>
    <cellStyle name="Normal_PF1-INV_1. CASINO TAORO PAIF 2009" xfId="67"/>
    <cellStyle name="Normal_PYG96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  <cellStyle name="Währung" xfId="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742950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676275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809625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9819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209550</xdr:colOff>
      <xdr:row>53</xdr:row>
      <xdr:rowOff>219075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31921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209550</xdr:colOff>
      <xdr:row>53</xdr:row>
      <xdr:rowOff>219075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131921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209550</xdr:colOff>
      <xdr:row>54</xdr:row>
      <xdr:rowOff>219075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13439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209550</xdr:colOff>
      <xdr:row>54</xdr:row>
      <xdr:rowOff>219075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13439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771525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01\Buzones\Hacienda\Comun\U.F.%20ORGANISMOS%20Y%20EMPRESAS\CD%20PRESUPUESTO\2016\PEPO\Gastos%20corrientes%20e%20Inversi&#243;n%20(17-11-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corrientes e Inversión ("/>
      <sheetName val="C.20.11"/>
      <sheetName val="K.20.11"/>
      <sheetName val="C.23.11"/>
      <sheetName val="K.23.11"/>
      <sheetName val="C.K.24.11"/>
      <sheetName val="C.K.25.11"/>
      <sheetName val="C.K.26.11"/>
      <sheetName val="Hoja3"/>
      <sheetName val="Hoja4"/>
    </sheetNames>
    <sheetDataSet>
      <sheetData sheetId="7">
        <row r="2338">
          <cell r="H2338">
            <v>31192.6</v>
          </cell>
        </row>
        <row r="2339">
          <cell r="H2339">
            <v>1913775.36</v>
          </cell>
        </row>
        <row r="2340">
          <cell r="H2340">
            <v>7679.84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646</v>
      </c>
      <c r="C1" s="15"/>
    </row>
    <row r="2" spans="1:3" s="4" customFormat="1" ht="12.75">
      <c r="A2" s="4" t="s">
        <v>645</v>
      </c>
      <c r="C2" s="15"/>
    </row>
    <row r="3" ht="12.75"/>
    <row r="4" ht="12.75"/>
    <row r="5" spans="1:4" ht="12.75">
      <c r="A5" s="911" t="e">
        <f>CPYG!#REF!</f>
        <v>#REF!</v>
      </c>
      <c r="B5" s="911"/>
      <c r="C5" s="911"/>
      <c r="D5" s="911"/>
    </row>
    <row r="6" ht="12.75"/>
    <row r="7" ht="13.5" thickBot="1"/>
    <row r="8" spans="1:3" ht="12.75">
      <c r="A8" s="912" t="s">
        <v>596</v>
      </c>
      <c r="B8" s="913"/>
      <c r="C8" s="921" t="s">
        <v>597</v>
      </c>
    </row>
    <row r="9" spans="1:3" ht="12.75">
      <c r="A9" s="914"/>
      <c r="B9" s="915"/>
      <c r="C9" s="899"/>
    </row>
    <row r="10" spans="1:3" ht="12.75">
      <c r="A10" s="914"/>
      <c r="B10" s="915"/>
      <c r="C10" s="899"/>
    </row>
    <row r="11" spans="1:3" ht="12.75">
      <c r="A11" s="916"/>
      <c r="B11" s="917"/>
      <c r="C11" s="898"/>
    </row>
    <row r="12" spans="1:3" ht="12.75">
      <c r="A12" s="50"/>
      <c r="B12" s="51"/>
      <c r="C12" s="52"/>
    </row>
    <row r="13" spans="1:3" ht="12.75">
      <c r="A13" s="53" t="s">
        <v>598</v>
      </c>
      <c r="B13" s="54" t="s">
        <v>705</v>
      </c>
      <c r="C13" s="55">
        <v>0</v>
      </c>
    </row>
    <row r="14" spans="1:10" ht="12.75" customHeight="1">
      <c r="A14" s="53" t="s">
        <v>599</v>
      </c>
      <c r="B14" s="54" t="s">
        <v>706</v>
      </c>
      <c r="C14" s="55">
        <v>0</v>
      </c>
      <c r="F14" s="910" t="s">
        <v>648</v>
      </c>
      <c r="G14" s="910"/>
      <c r="H14" s="910"/>
      <c r="I14" s="910"/>
      <c r="J14" s="107"/>
    </row>
    <row r="15" spans="1:10" ht="12.75">
      <c r="A15" s="53" t="s">
        <v>600</v>
      </c>
      <c r="B15" s="54" t="s">
        <v>707</v>
      </c>
      <c r="C15" s="55">
        <f>CPYG!D12</f>
        <v>2473551.42</v>
      </c>
      <c r="F15" s="910"/>
      <c r="G15" s="910"/>
      <c r="H15" s="910"/>
      <c r="I15" s="910"/>
      <c r="J15" s="107"/>
    </row>
    <row r="16" spans="1:10" ht="12.75">
      <c r="A16" s="53" t="s">
        <v>601</v>
      </c>
      <c r="B16" s="54" t="s">
        <v>708</v>
      </c>
      <c r="C16" s="55" t="e">
        <f>'No rellenar EP-5 '!E29+#REF!</f>
        <v>#REF!</v>
      </c>
      <c r="F16" s="910"/>
      <c r="G16" s="910"/>
      <c r="H16" s="910"/>
      <c r="I16" s="910"/>
      <c r="J16" s="107"/>
    </row>
    <row r="17" spans="1:9" ht="12.75">
      <c r="A17" s="53" t="s">
        <v>602</v>
      </c>
      <c r="B17" s="54" t="s">
        <v>709</v>
      </c>
      <c r="C17" s="55">
        <f>CPYG!D34+CPYG!D83+CPYG!D79</f>
        <v>416968</v>
      </c>
      <c r="F17" s="910"/>
      <c r="G17" s="910"/>
      <c r="H17" s="910"/>
      <c r="I17" s="910"/>
    </row>
    <row r="18" spans="1:9" ht="12.75">
      <c r="A18" s="56"/>
      <c r="B18" s="57"/>
      <c r="C18" s="58"/>
      <c r="F18" s="910"/>
      <c r="G18" s="910"/>
      <c r="H18" s="910"/>
      <c r="I18" s="910"/>
    </row>
    <row r="19" spans="1:9" ht="12.75">
      <c r="A19" s="92" t="s">
        <v>603</v>
      </c>
      <c r="B19" s="93"/>
      <c r="C19" s="94" t="e">
        <f>SUM(C13:C17)</f>
        <v>#REF!</v>
      </c>
      <c r="F19" s="910"/>
      <c r="G19" s="910"/>
      <c r="H19" s="910"/>
      <c r="I19" s="910"/>
    </row>
    <row r="20" spans="1:9" ht="12.75">
      <c r="A20" s="59"/>
      <c r="B20" s="60"/>
      <c r="C20" s="61"/>
      <c r="F20" s="910"/>
      <c r="G20" s="910"/>
      <c r="H20" s="910"/>
      <c r="I20" s="910"/>
    </row>
    <row r="21" spans="1:9" ht="12.75">
      <c r="A21" s="56"/>
      <c r="B21" s="57"/>
      <c r="C21" s="58"/>
      <c r="F21" s="910"/>
      <c r="G21" s="910"/>
      <c r="H21" s="910"/>
      <c r="I21" s="910"/>
    </row>
    <row r="22" spans="1:9" ht="12.75">
      <c r="A22" s="53" t="s">
        <v>604</v>
      </c>
      <c r="B22" s="54" t="s">
        <v>710</v>
      </c>
      <c r="C22" s="58">
        <f>'Inv. NO FIN'!H23+'Inv. NO FIN'!H24+'Inv. NO FIN'!H25+'Inv. NO FIN'!H26</f>
        <v>0</v>
      </c>
      <c r="F22" s="910"/>
      <c r="G22" s="910"/>
      <c r="H22" s="910"/>
      <c r="I22" s="910"/>
    </row>
    <row r="23" spans="1:9" ht="12.75">
      <c r="A23" s="53" t="s">
        <v>605</v>
      </c>
      <c r="B23" s="54" t="s">
        <v>711</v>
      </c>
      <c r="C23" s="58" t="e">
        <f>'Transf. y subv.'!E20+'Transf. y subv.'!#REF!</f>
        <v>#REF!</v>
      </c>
      <c r="F23" s="910"/>
      <c r="G23" s="910"/>
      <c r="H23" s="910"/>
      <c r="I23" s="910"/>
    </row>
    <row r="24" spans="1:3" ht="12.75">
      <c r="A24" s="56"/>
      <c r="B24" s="57"/>
      <c r="C24" s="58"/>
    </row>
    <row r="25" spans="1:3" ht="12.75">
      <c r="A25" s="92" t="s">
        <v>606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607</v>
      </c>
      <c r="B28" s="54" t="s">
        <v>712</v>
      </c>
      <c r="C28" s="55">
        <f>'Inv. FIN'!E45</f>
        <v>2750000</v>
      </c>
    </row>
    <row r="29" spans="1:3" ht="12.75">
      <c r="A29" s="53" t="s">
        <v>608</v>
      </c>
      <c r="B29" s="54" t="s">
        <v>713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609</v>
      </c>
      <c r="B31" s="93"/>
      <c r="C31" s="95">
        <f>SUM(C28:C29)</f>
        <v>2750000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610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06" t="s">
        <v>611</v>
      </c>
      <c r="C38" s="894">
        <f>CPYG!D98</f>
        <v>0</v>
      </c>
    </row>
    <row r="39" spans="1:3" ht="13.5" thickBot="1">
      <c r="A39" s="77"/>
      <c r="B39" s="907"/>
      <c r="C39" s="895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610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12" t="s">
        <v>596</v>
      </c>
      <c r="B49" s="913"/>
      <c r="C49" s="918" t="s">
        <v>597</v>
      </c>
    </row>
    <row r="50" spans="1:3" ht="12.75">
      <c r="A50" s="914"/>
      <c r="B50" s="915"/>
      <c r="C50" s="919"/>
    </row>
    <row r="51" spans="1:3" ht="12.75">
      <c r="A51" s="914"/>
      <c r="B51" s="915"/>
      <c r="C51" s="919"/>
    </row>
    <row r="52" spans="1:3" ht="12.75">
      <c r="A52" s="916"/>
      <c r="B52" s="917"/>
      <c r="C52" s="920"/>
    </row>
    <row r="53" spans="1:3" ht="12.75">
      <c r="A53" s="62"/>
      <c r="B53" s="51"/>
      <c r="C53" s="64"/>
    </row>
    <row r="54" spans="1:3" ht="12.75">
      <c r="A54" s="53" t="s">
        <v>598</v>
      </c>
      <c r="B54" s="82" t="s">
        <v>612</v>
      </c>
      <c r="C54" s="83">
        <f>-CPYG!D46</f>
        <v>1168687.01</v>
      </c>
    </row>
    <row r="55" spans="1:3" ht="12.75">
      <c r="A55" s="53" t="s">
        <v>599</v>
      </c>
      <c r="B55" s="82" t="s">
        <v>613</v>
      </c>
      <c r="C55" s="83">
        <f>-CPYG!D29-CPYG!D54+CPYG!D57-CPYG!D107</f>
        <v>3581282.41</v>
      </c>
    </row>
    <row r="56" spans="1:3" ht="12.75">
      <c r="A56" s="53" t="s">
        <v>600</v>
      </c>
      <c r="B56" s="82" t="s">
        <v>112</v>
      </c>
      <c r="C56" s="83">
        <f>-CPYG!D91</f>
        <v>0</v>
      </c>
    </row>
    <row r="57" spans="1:3" ht="12.75">
      <c r="A57" s="53" t="s">
        <v>601</v>
      </c>
      <c r="B57" s="82" t="s">
        <v>614</v>
      </c>
      <c r="C57" s="83"/>
    </row>
    <row r="58" spans="1:3" ht="12.75">
      <c r="A58" s="62"/>
      <c r="B58" s="63"/>
      <c r="C58" s="83"/>
    </row>
    <row r="59" spans="1:6" ht="12.75">
      <c r="A59" s="92" t="s">
        <v>615</v>
      </c>
      <c r="B59" s="93"/>
      <c r="C59" s="95">
        <f>SUM(C54:C58)</f>
        <v>4749969.42</v>
      </c>
      <c r="E59" s="37" t="e">
        <f>C19-C59</f>
        <v>#REF!</v>
      </c>
      <c r="F59" s="2" t="s">
        <v>616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604</v>
      </c>
      <c r="B62" s="82" t="s">
        <v>629</v>
      </c>
      <c r="C62" s="83">
        <f>'Inv. NO FIN'!C23+'Inv. NO FIN'!C24+'Inv. NO FIN'!C25+'Inv. NO FIN'!C26</f>
        <v>530014.55</v>
      </c>
      <c r="E62" s="2" t="e">
        <f>-#REF!</f>
        <v>#REF!</v>
      </c>
    </row>
    <row r="63" spans="1:7" ht="12.75">
      <c r="A63" s="53" t="s">
        <v>605</v>
      </c>
      <c r="B63" s="82" t="s">
        <v>630</v>
      </c>
      <c r="C63" s="83"/>
      <c r="E63" s="37" t="e">
        <f>SUM(E59:E62)</f>
        <v>#REF!</v>
      </c>
      <c r="F63" s="2">
        <f>CPYG!D111</f>
        <v>-1952647.7975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631</v>
      </c>
      <c r="B65" s="93"/>
      <c r="C65" s="95">
        <f>SUM(C62:C63)</f>
        <v>530014.55</v>
      </c>
      <c r="E65" s="37" t="e">
        <f>C25+C31-C65-C71</f>
        <v>#REF!</v>
      </c>
      <c r="F65" s="2" t="s">
        <v>632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607</v>
      </c>
      <c r="B68" s="82" t="s">
        <v>633</v>
      </c>
      <c r="C68" s="83">
        <f>'Inv. FIN'!G45</f>
        <v>-2750000</v>
      </c>
    </row>
    <row r="69" spans="1:3" ht="12.75">
      <c r="A69" s="53" t="s">
        <v>608</v>
      </c>
      <c r="B69" s="82" t="s">
        <v>634</v>
      </c>
      <c r="C69" s="83"/>
    </row>
    <row r="70" spans="1:3" ht="12.75">
      <c r="A70" s="62"/>
      <c r="B70" s="63"/>
      <c r="C70" s="64"/>
    </row>
    <row r="71" spans="1:6" ht="12.75">
      <c r="A71" s="92" t="s">
        <v>635</v>
      </c>
      <c r="B71" s="93"/>
      <c r="C71" s="95">
        <f>SUM(C68:C69)</f>
        <v>-2750000</v>
      </c>
      <c r="E71" s="37" t="e">
        <f>SUM(E59:E66)</f>
        <v>#REF!</v>
      </c>
      <c r="F71" s="2" t="s">
        <v>636</v>
      </c>
    </row>
    <row r="72" spans="1:3" ht="13.5" thickBot="1">
      <c r="A72" s="85"/>
      <c r="B72" s="86"/>
      <c r="C72" s="87"/>
    </row>
    <row r="73" spans="1:3" ht="13.5" thickTop="1">
      <c r="A73" s="904"/>
      <c r="B73" s="906" t="s">
        <v>637</v>
      </c>
      <c r="C73" s="908" t="e">
        <f>#REF!+#REF!</f>
        <v>#REF!</v>
      </c>
    </row>
    <row r="74" spans="1:6" ht="13.5" thickBot="1">
      <c r="A74" s="905"/>
      <c r="B74" s="907"/>
      <c r="C74" s="909"/>
      <c r="E74" s="37"/>
      <c r="F74" s="2" t="s">
        <v>113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638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04"/>
      <c r="B80" s="906" t="s">
        <v>639</v>
      </c>
      <c r="C80" s="908" t="e">
        <f>-D97</f>
        <v>#REF!</v>
      </c>
      <c r="E80" s="37" t="e">
        <f>E71-E74</f>
        <v>#REF!</v>
      </c>
      <c r="F80" s="2" t="s">
        <v>492</v>
      </c>
    </row>
    <row r="81" spans="1:3" ht="13.5" thickBot="1">
      <c r="A81" s="905"/>
      <c r="B81" s="907"/>
      <c r="C81" s="909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640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704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647</v>
      </c>
      <c r="C94" s="2"/>
      <c r="D94" s="38" t="e">
        <f>-#REF!</f>
        <v>#REF!</v>
      </c>
      <c r="E94" s="2" t="s">
        <v>641</v>
      </c>
    </row>
    <row r="95" spans="2:4" ht="12.75">
      <c r="B95" s="49" t="s">
        <v>642</v>
      </c>
      <c r="C95" s="2"/>
      <c r="D95" s="38"/>
    </row>
    <row r="96" spans="2:5" ht="12.75">
      <c r="B96" s="4" t="s">
        <v>643</v>
      </c>
      <c r="C96" s="2"/>
      <c r="D96" s="38" t="e">
        <f>#REF!+#REF!</f>
        <v>#REF!</v>
      </c>
      <c r="E96" s="2" t="s">
        <v>644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3" width="11.421875" style="133" customWidth="1"/>
    <col min="14" max="15" width="4.8515625" style="800" hidden="1" customWidth="1"/>
    <col min="16" max="16384" width="11.421875" style="133" customWidth="1"/>
  </cols>
  <sheetData>
    <row r="1" spans="2:6" ht="13.5">
      <c r="B1" s="749"/>
      <c r="C1" s="749"/>
      <c r="D1" s="750" t="s">
        <v>426</v>
      </c>
      <c r="E1" s="760"/>
      <c r="F1" s="752"/>
    </row>
    <row r="2" spans="2:6" ht="13.5">
      <c r="B2" s="749"/>
      <c r="C2" s="749"/>
      <c r="D2" s="751" t="s">
        <v>427</v>
      </c>
      <c r="E2" s="760"/>
      <c r="F2" s="752"/>
    </row>
    <row r="3" spans="2:6" ht="13.5">
      <c r="B3" s="749"/>
      <c r="C3" s="751"/>
      <c r="D3" s="749"/>
      <c r="E3" s="749"/>
      <c r="F3" s="752"/>
    </row>
    <row r="4" spans="2:6" ht="13.5">
      <c r="B4" s="749" t="s">
        <v>260</v>
      </c>
      <c r="C4" s="749"/>
      <c r="D4" s="754">
        <v>42339</v>
      </c>
      <c r="E4" s="760"/>
      <c r="F4" s="752"/>
    </row>
    <row r="5" spans="2:6" ht="13.5">
      <c r="B5" s="749" t="s">
        <v>425</v>
      </c>
      <c r="C5" s="749"/>
      <c r="D5" s="753" t="s">
        <v>428</v>
      </c>
      <c r="E5" s="760"/>
      <c r="F5" s="752"/>
    </row>
    <row r="6" ht="20.25" customHeight="1" thickBot="1"/>
    <row r="7" spans="1:15" s="222" customFormat="1" ht="42" customHeight="1" thickBot="1">
      <c r="A7" s="1007" t="s">
        <v>190</v>
      </c>
      <c r="B7" s="1008"/>
      <c r="C7" s="1008"/>
      <c r="D7" s="1008"/>
      <c r="E7" s="1008"/>
      <c r="F7" s="1008"/>
      <c r="G7" s="1008"/>
      <c r="H7" s="1008"/>
      <c r="I7" s="1008"/>
      <c r="J7" s="1009"/>
      <c r="K7" s="1015">
        <f>CPYG!D7</f>
        <v>2016</v>
      </c>
      <c r="L7" s="1016"/>
      <c r="N7" s="835"/>
      <c r="O7" s="835"/>
    </row>
    <row r="8" spans="1:12" ht="35.25" customHeight="1" thickBot="1">
      <c r="A8" s="1010" t="str">
        <f>CPYG!A8</f>
        <v>EMPRESA PÚBLICA: AUDITORIO DE TENERIFE, S.A.U.</v>
      </c>
      <c r="B8" s="1011"/>
      <c r="C8" s="1011"/>
      <c r="D8" s="1011"/>
      <c r="E8" s="1011"/>
      <c r="F8" s="1011"/>
      <c r="G8" s="1011"/>
      <c r="H8" s="1011"/>
      <c r="I8" s="1011"/>
      <c r="J8" s="1012"/>
      <c r="K8" s="1013" t="s">
        <v>177</v>
      </c>
      <c r="L8" s="1014"/>
    </row>
    <row r="9" spans="1:12" ht="18" customHeight="1">
      <c r="A9" s="993" t="s">
        <v>421</v>
      </c>
      <c r="B9" s="994"/>
      <c r="C9" s="994"/>
      <c r="D9" s="994"/>
      <c r="E9" s="994"/>
      <c r="F9" s="994"/>
      <c r="G9" s="994"/>
      <c r="H9" s="994"/>
      <c r="I9" s="994"/>
      <c r="J9" s="994"/>
      <c r="K9" s="994"/>
      <c r="L9" s="995"/>
    </row>
    <row r="10" spans="1:15" s="226" customFormat="1" ht="22.5" customHeight="1">
      <c r="A10" s="984" t="s">
        <v>183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6"/>
      <c r="N10" s="849"/>
      <c r="O10" s="849"/>
    </row>
    <row r="11" spans="1:12" ht="25.5" customHeight="1">
      <c r="A11" s="1000" t="s">
        <v>481</v>
      </c>
      <c r="B11" s="1001"/>
      <c r="C11" s="987" t="s">
        <v>482</v>
      </c>
      <c r="D11" s="987" t="s">
        <v>554</v>
      </c>
      <c r="E11" s="987" t="s">
        <v>483</v>
      </c>
      <c r="F11" s="987"/>
      <c r="G11" s="987" t="s">
        <v>484</v>
      </c>
      <c r="H11" s="987"/>
      <c r="I11" s="988" t="s">
        <v>555</v>
      </c>
      <c r="J11" s="988" t="s">
        <v>556</v>
      </c>
      <c r="K11" s="988" t="s">
        <v>557</v>
      </c>
      <c r="L11" s="996" t="s">
        <v>485</v>
      </c>
    </row>
    <row r="12" spans="1:12" ht="54" customHeight="1" thickBot="1">
      <c r="A12" s="1002"/>
      <c r="B12" s="1003"/>
      <c r="C12" s="987"/>
      <c r="D12" s="987"/>
      <c r="E12" s="225" t="s">
        <v>486</v>
      </c>
      <c r="F12" s="225" t="s">
        <v>487</v>
      </c>
      <c r="G12" s="225" t="s">
        <v>488</v>
      </c>
      <c r="H12" s="225" t="s">
        <v>489</v>
      </c>
      <c r="I12" s="988"/>
      <c r="J12" s="988"/>
      <c r="K12" s="988"/>
      <c r="L12" s="996"/>
    </row>
    <row r="13" spans="1:12" ht="21" customHeight="1" thickBot="1">
      <c r="A13" s="1004" t="s">
        <v>439</v>
      </c>
      <c r="B13" s="1005"/>
      <c r="C13" s="1005"/>
      <c r="D13" s="1005"/>
      <c r="E13" s="1005"/>
      <c r="F13" s="1005"/>
      <c r="G13" s="1005"/>
      <c r="H13" s="1005"/>
      <c r="I13" s="1005"/>
      <c r="J13" s="1005"/>
      <c r="K13" s="1005"/>
      <c r="L13" s="1006"/>
    </row>
    <row r="14" spans="1:12" ht="19.5" customHeight="1" thickBot="1">
      <c r="A14" s="978"/>
      <c r="B14" s="979"/>
      <c r="C14" s="514"/>
      <c r="D14" s="515"/>
      <c r="E14" s="516"/>
      <c r="F14" s="516"/>
      <c r="G14" s="516"/>
      <c r="H14" s="517"/>
      <c r="I14" s="532">
        <f>SUM(D14:H14)</f>
        <v>0</v>
      </c>
      <c r="J14" s="518"/>
      <c r="K14" s="519"/>
      <c r="L14" s="520"/>
    </row>
    <row r="15" spans="1:12" ht="19.5" customHeight="1" thickBot="1">
      <c r="A15" s="980"/>
      <c r="B15" s="981"/>
      <c r="C15" s="521"/>
      <c r="D15" s="516"/>
      <c r="E15" s="516"/>
      <c r="F15" s="516"/>
      <c r="G15" s="516"/>
      <c r="H15" s="516"/>
      <c r="I15" s="532">
        <f>SUM(D15:H15)</f>
        <v>0</v>
      </c>
      <c r="J15" s="522"/>
      <c r="K15" s="519"/>
      <c r="L15" s="520"/>
    </row>
    <row r="16" spans="1:12" ht="19.5" customHeight="1" thickBot="1">
      <c r="A16" s="982"/>
      <c r="B16" s="983"/>
      <c r="C16" s="521"/>
      <c r="D16" s="516"/>
      <c r="E16" s="516"/>
      <c r="F16" s="516"/>
      <c r="G16" s="516"/>
      <c r="H16" s="516"/>
      <c r="I16" s="532">
        <f>SUM(D16:H16)</f>
        <v>0</v>
      </c>
      <c r="J16" s="519"/>
      <c r="K16" s="519"/>
      <c r="L16" s="520"/>
    </row>
    <row r="17" spans="1:12" ht="19.5" customHeight="1" thickBot="1">
      <c r="A17" s="982"/>
      <c r="B17" s="983"/>
      <c r="C17" s="521"/>
      <c r="D17" s="516"/>
      <c r="E17" s="516"/>
      <c r="F17" s="516"/>
      <c r="G17" s="516"/>
      <c r="H17" s="516"/>
      <c r="I17" s="532">
        <f>SUM(D17:H17)</f>
        <v>0</v>
      </c>
      <c r="J17" s="519"/>
      <c r="K17" s="519"/>
      <c r="L17" s="520"/>
    </row>
    <row r="18" spans="1:12" ht="19.5" customHeight="1" thickBot="1">
      <c r="A18" s="982"/>
      <c r="B18" s="983"/>
      <c r="C18" s="521"/>
      <c r="D18" s="516"/>
      <c r="E18" s="516"/>
      <c r="F18" s="516"/>
      <c r="G18" s="516"/>
      <c r="H18" s="516"/>
      <c r="I18" s="532">
        <f>SUM(D18:H18)</f>
        <v>0</v>
      </c>
      <c r="J18" s="519"/>
      <c r="K18" s="519"/>
      <c r="L18" s="520"/>
    </row>
    <row r="19" spans="1:15" s="132" customFormat="1" ht="19.5" customHeight="1" thickBot="1">
      <c r="A19" s="989" t="s">
        <v>120</v>
      </c>
      <c r="B19" s="990"/>
      <c r="C19" s="523"/>
      <c r="D19" s="558">
        <f>SUM(D14:D18)</f>
        <v>0</v>
      </c>
      <c r="E19" s="558">
        <f>SUM(E14:E18)</f>
        <v>0</v>
      </c>
      <c r="F19" s="559"/>
      <c r="G19" s="558">
        <f>SUM(G14:G18)</f>
        <v>0</v>
      </c>
      <c r="H19" s="558">
        <f>SUM(H14:H18)</f>
        <v>0</v>
      </c>
      <c r="I19" s="558">
        <f>SUM(I14:I18)</f>
        <v>0</v>
      </c>
      <c r="J19" s="524"/>
      <c r="K19" s="560">
        <f>SUM(K14:K18)</f>
        <v>0</v>
      </c>
      <c r="L19" s="525"/>
      <c r="N19" s="850"/>
      <c r="O19" s="850"/>
    </row>
    <row r="20" spans="1:12" ht="19.5" customHeight="1" thickBot="1">
      <c r="A20" s="997" t="s">
        <v>440</v>
      </c>
      <c r="B20" s="998"/>
      <c r="C20" s="998"/>
      <c r="D20" s="998"/>
      <c r="E20" s="998"/>
      <c r="F20" s="998"/>
      <c r="G20" s="998"/>
      <c r="H20" s="998"/>
      <c r="I20" s="998"/>
      <c r="J20" s="998"/>
      <c r="K20" s="998"/>
      <c r="L20" s="999"/>
    </row>
    <row r="21" spans="1:12" ht="19.5" customHeight="1" thickBot="1">
      <c r="A21" s="980"/>
      <c r="B21" s="981"/>
      <c r="C21" s="521"/>
      <c r="D21" s="516"/>
      <c r="E21" s="516"/>
      <c r="F21" s="516"/>
      <c r="G21" s="516"/>
      <c r="H21" s="516"/>
      <c r="I21" s="532">
        <f>SUM(D21:H21)</f>
        <v>0</v>
      </c>
      <c r="J21" s="522"/>
      <c r="K21" s="519"/>
      <c r="L21" s="520"/>
    </row>
    <row r="22" spans="1:12" ht="19.5" customHeight="1" thickBot="1">
      <c r="A22" s="980"/>
      <c r="B22" s="981"/>
      <c r="C22" s="521"/>
      <c r="D22" s="516"/>
      <c r="E22" s="516"/>
      <c r="F22" s="516"/>
      <c r="G22" s="516"/>
      <c r="H22" s="516"/>
      <c r="I22" s="532">
        <f>SUM(D22:H22)</f>
        <v>0</v>
      </c>
      <c r="J22" s="522"/>
      <c r="K22" s="519"/>
      <c r="L22" s="520"/>
    </row>
    <row r="23" spans="1:12" ht="19.5" customHeight="1" thickBot="1">
      <c r="A23" s="980"/>
      <c r="B23" s="981"/>
      <c r="C23" s="521"/>
      <c r="D23" s="516"/>
      <c r="E23" s="516"/>
      <c r="F23" s="516"/>
      <c r="G23" s="516"/>
      <c r="H23" s="516"/>
      <c r="I23" s="532">
        <f>SUM(D23:H23)</f>
        <v>0</v>
      </c>
      <c r="J23" s="522"/>
      <c r="K23" s="519"/>
      <c r="L23" s="520"/>
    </row>
    <row r="24" spans="1:12" ht="19.5" customHeight="1" thickBot="1">
      <c r="A24" s="980"/>
      <c r="B24" s="981"/>
      <c r="C24" s="521"/>
      <c r="D24" s="516"/>
      <c r="E24" s="516"/>
      <c r="F24" s="516"/>
      <c r="G24" s="516"/>
      <c r="H24" s="516"/>
      <c r="I24" s="532">
        <f>SUM(D24:H24)</f>
        <v>0</v>
      </c>
      <c r="J24" s="522"/>
      <c r="K24" s="519"/>
      <c r="L24" s="520"/>
    </row>
    <row r="25" spans="1:12" ht="19.5" customHeight="1" thickBot="1">
      <c r="A25" s="982"/>
      <c r="B25" s="983"/>
      <c r="C25" s="521"/>
      <c r="D25" s="516"/>
      <c r="E25" s="516"/>
      <c r="F25" s="516"/>
      <c r="G25" s="516"/>
      <c r="H25" s="516"/>
      <c r="I25" s="532">
        <f>SUM(D25:H25)</f>
        <v>0</v>
      </c>
      <c r="J25" s="522"/>
      <c r="K25" s="519"/>
      <c r="L25" s="520"/>
    </row>
    <row r="26" spans="1:15" s="132" customFormat="1" ht="19.5" customHeight="1" thickBot="1">
      <c r="A26" s="989" t="s">
        <v>120</v>
      </c>
      <c r="B26" s="990"/>
      <c r="C26" s="523"/>
      <c r="D26" s="558">
        <f>SUM(D21:D25)</f>
        <v>0</v>
      </c>
      <c r="E26" s="558">
        <f>SUM(E21:E25)</f>
        <v>0</v>
      </c>
      <c r="F26" s="559"/>
      <c r="G26" s="558">
        <f>SUM(G21:G25)</f>
        <v>0</v>
      </c>
      <c r="H26" s="558">
        <f>SUM(H21:H25)</f>
        <v>0</v>
      </c>
      <c r="I26" s="558">
        <f>SUM(I22:I25)</f>
        <v>0</v>
      </c>
      <c r="J26" s="524"/>
      <c r="K26" s="560">
        <f>SUM(K21:K25)</f>
        <v>0</v>
      </c>
      <c r="L26" s="525"/>
      <c r="N26" s="850"/>
      <c r="O26" s="850"/>
    </row>
    <row r="27" spans="1:12" ht="12.75">
      <c r="A27" s="22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28"/>
    </row>
    <row r="28" spans="1:12" ht="18" customHeight="1">
      <c r="A28" s="984" t="s">
        <v>185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6"/>
    </row>
    <row r="29" spans="1:15" s="226" customFormat="1" ht="22.5" customHeight="1">
      <c r="A29" s="984" t="s">
        <v>716</v>
      </c>
      <c r="B29" s="985"/>
      <c r="C29" s="985"/>
      <c r="D29" s="985"/>
      <c r="E29" s="985"/>
      <c r="F29" s="985"/>
      <c r="G29" s="985"/>
      <c r="H29" s="985"/>
      <c r="I29" s="985"/>
      <c r="J29" s="985"/>
      <c r="K29" s="985"/>
      <c r="L29" s="986"/>
      <c r="N29" s="849"/>
      <c r="O29" s="849"/>
    </row>
    <row r="30" spans="1:12" ht="25.5" customHeight="1">
      <c r="A30" s="1000" t="s">
        <v>481</v>
      </c>
      <c r="B30" s="1001"/>
      <c r="C30" s="987" t="s">
        <v>482</v>
      </c>
      <c r="D30" s="987" t="s">
        <v>554</v>
      </c>
      <c r="E30" s="987" t="s">
        <v>483</v>
      </c>
      <c r="F30" s="987"/>
      <c r="G30" s="987" t="s">
        <v>484</v>
      </c>
      <c r="H30" s="987"/>
      <c r="I30" s="988" t="s">
        <v>555</v>
      </c>
      <c r="J30" s="988" t="s">
        <v>558</v>
      </c>
      <c r="K30" s="988" t="s">
        <v>557</v>
      </c>
      <c r="L30" s="996" t="s">
        <v>188</v>
      </c>
    </row>
    <row r="31" spans="1:12" ht="54" customHeight="1" thickBot="1">
      <c r="A31" s="1002"/>
      <c r="B31" s="1003"/>
      <c r="C31" s="987"/>
      <c r="D31" s="987"/>
      <c r="E31" s="225" t="s">
        <v>486</v>
      </c>
      <c r="F31" s="225" t="s">
        <v>487</v>
      </c>
      <c r="G31" s="225" t="s">
        <v>488</v>
      </c>
      <c r="H31" s="225" t="s">
        <v>489</v>
      </c>
      <c r="I31" s="988"/>
      <c r="J31" s="988"/>
      <c r="K31" s="988"/>
      <c r="L31" s="996"/>
    </row>
    <row r="32" spans="1:12" ht="13.5" thickBot="1">
      <c r="A32" s="1004" t="s">
        <v>186</v>
      </c>
      <c r="B32" s="1005"/>
      <c r="C32" s="1005"/>
      <c r="D32" s="1005"/>
      <c r="E32" s="1005"/>
      <c r="F32" s="1005"/>
      <c r="G32" s="1005"/>
      <c r="H32" s="1005"/>
      <c r="I32" s="1005"/>
      <c r="J32" s="1005"/>
      <c r="K32" s="1005"/>
      <c r="L32" s="1006"/>
    </row>
    <row r="33" spans="1:15" s="134" customFormat="1" ht="19.5" customHeight="1" thickBot="1">
      <c r="A33" s="978"/>
      <c r="B33" s="979"/>
      <c r="C33" s="514"/>
      <c r="D33" s="515"/>
      <c r="E33" s="521"/>
      <c r="F33" s="521"/>
      <c r="G33" s="521"/>
      <c r="H33" s="517"/>
      <c r="I33" s="532">
        <f>SUM(D33:H33)</f>
        <v>0</v>
      </c>
      <c r="J33" s="518"/>
      <c r="K33" s="519"/>
      <c r="L33" s="520"/>
      <c r="N33" s="801"/>
      <c r="O33" s="801"/>
    </row>
    <row r="34" spans="1:15" s="134" customFormat="1" ht="19.5" customHeight="1" thickBot="1">
      <c r="A34" s="978"/>
      <c r="B34" s="979"/>
      <c r="C34" s="514"/>
      <c r="D34" s="515"/>
      <c r="E34" s="521"/>
      <c r="F34" s="521"/>
      <c r="G34" s="521"/>
      <c r="H34" s="517"/>
      <c r="I34" s="532">
        <f>SUM(D34:H34)</f>
        <v>0</v>
      </c>
      <c r="J34" s="518"/>
      <c r="K34" s="519"/>
      <c r="L34" s="520"/>
      <c r="N34" s="801"/>
      <c r="O34" s="801"/>
    </row>
    <row r="35" spans="1:15" s="134" customFormat="1" ht="19.5" customHeight="1" thickBot="1">
      <c r="A35" s="978"/>
      <c r="B35" s="979"/>
      <c r="C35" s="514"/>
      <c r="D35" s="515"/>
      <c r="E35" s="521"/>
      <c r="F35" s="521"/>
      <c r="G35" s="521"/>
      <c r="H35" s="517"/>
      <c r="I35" s="532">
        <f>SUM(D35:H35)</f>
        <v>0</v>
      </c>
      <c r="J35" s="518"/>
      <c r="K35" s="519"/>
      <c r="L35" s="520"/>
      <c r="N35" s="801"/>
      <c r="O35" s="801"/>
    </row>
    <row r="36" spans="1:15" s="134" customFormat="1" ht="19.5" customHeight="1" thickBot="1">
      <c r="A36" s="980"/>
      <c r="B36" s="981"/>
      <c r="C36" s="521"/>
      <c r="D36" s="517"/>
      <c r="E36" s="521"/>
      <c r="F36" s="521"/>
      <c r="G36" s="521"/>
      <c r="H36" s="521"/>
      <c r="I36" s="532">
        <f>SUM(D36:H36)</f>
        <v>0</v>
      </c>
      <c r="J36" s="522"/>
      <c r="K36" s="519"/>
      <c r="L36" s="520"/>
      <c r="N36" s="801"/>
      <c r="O36" s="801"/>
    </row>
    <row r="37" spans="1:15" s="134" customFormat="1" ht="19.5" customHeight="1" thickBot="1">
      <c r="A37" s="982"/>
      <c r="B37" s="983"/>
      <c r="C37" s="521"/>
      <c r="D37" s="517"/>
      <c r="E37" s="521"/>
      <c r="F37" s="521"/>
      <c r="G37" s="521"/>
      <c r="H37" s="521"/>
      <c r="I37" s="532">
        <f>SUM(D37:H37)</f>
        <v>0</v>
      </c>
      <c r="J37" s="519"/>
      <c r="K37" s="519"/>
      <c r="L37" s="520"/>
      <c r="N37" s="801"/>
      <c r="O37" s="801"/>
    </row>
    <row r="38" spans="1:15" s="132" customFormat="1" ht="19.5" customHeight="1" thickBot="1">
      <c r="A38" s="989" t="s">
        <v>120</v>
      </c>
      <c r="B38" s="990"/>
      <c r="C38" s="523"/>
      <c r="D38" s="558">
        <f>SUM(D33:D37)</f>
        <v>0</v>
      </c>
      <c r="E38" s="558">
        <f>SUM(E33:E37)</f>
        <v>0</v>
      </c>
      <c r="F38" s="559"/>
      <c r="G38" s="558">
        <f>SUM(G33:G37)</f>
        <v>0</v>
      </c>
      <c r="H38" s="558">
        <f>SUM(H33:H37)</f>
        <v>0</v>
      </c>
      <c r="I38" s="558">
        <f>SUM(I33:I37)</f>
        <v>0</v>
      </c>
      <c r="J38" s="524"/>
      <c r="K38" s="560">
        <f>SUM(K32:K37)</f>
        <v>0</v>
      </c>
      <c r="L38" s="525"/>
      <c r="N38" s="850"/>
      <c r="O38" s="850"/>
    </row>
    <row r="39" spans="1:15" s="134" customFormat="1" ht="19.5" customHeight="1" thickBot="1">
      <c r="A39" s="997" t="s">
        <v>187</v>
      </c>
      <c r="B39" s="998"/>
      <c r="C39" s="998"/>
      <c r="D39" s="998"/>
      <c r="E39" s="998"/>
      <c r="F39" s="998"/>
      <c r="G39" s="998"/>
      <c r="H39" s="998"/>
      <c r="I39" s="998"/>
      <c r="J39" s="998"/>
      <c r="K39" s="998"/>
      <c r="L39" s="999"/>
      <c r="N39" s="801"/>
      <c r="O39" s="801"/>
    </row>
    <row r="40" spans="1:15" s="134" customFormat="1" ht="19.5" customHeight="1" thickBot="1">
      <c r="A40" s="980" t="s">
        <v>682</v>
      </c>
      <c r="B40" s="981"/>
      <c r="C40" s="521" t="s">
        <v>683</v>
      </c>
      <c r="D40" s="516">
        <v>4128.88</v>
      </c>
      <c r="E40" s="521"/>
      <c r="F40" s="521"/>
      <c r="G40" s="517"/>
      <c r="H40" s="521"/>
      <c r="I40" s="532">
        <f>SUM(D40:H40)</f>
        <v>4128.88</v>
      </c>
      <c r="J40" s="519"/>
      <c r="K40" s="519"/>
      <c r="L40" s="520"/>
      <c r="N40" s="801"/>
      <c r="O40" s="801"/>
    </row>
    <row r="41" spans="1:15" s="134" customFormat="1" ht="19.5" customHeight="1" thickBot="1">
      <c r="A41" s="980" t="s">
        <v>684</v>
      </c>
      <c r="B41" s="981"/>
      <c r="C41" s="521" t="s">
        <v>683</v>
      </c>
      <c r="D41" s="516">
        <v>379.99</v>
      </c>
      <c r="E41" s="517"/>
      <c r="F41" s="521"/>
      <c r="G41" s="517"/>
      <c r="H41" s="521"/>
      <c r="I41" s="532">
        <f>SUM(D41:H41)</f>
        <v>379.99</v>
      </c>
      <c r="J41" s="519"/>
      <c r="K41" s="519"/>
      <c r="L41" s="520"/>
      <c r="N41" s="851">
        <f>+D40+D41-ACTIVO!C25</f>
        <v>0</v>
      </c>
      <c r="O41" s="851">
        <f>+I40+I41-ACTIVO!D25</f>
        <v>0</v>
      </c>
    </row>
    <row r="42" spans="1:15" s="134" customFormat="1" ht="19.5" customHeight="1" thickBot="1">
      <c r="A42" s="980" t="s">
        <v>685</v>
      </c>
      <c r="B42" s="981"/>
      <c r="C42" s="521" t="s">
        <v>686</v>
      </c>
      <c r="D42" s="516">
        <v>10.76</v>
      </c>
      <c r="E42" s="521"/>
      <c r="F42" s="521"/>
      <c r="G42" s="521"/>
      <c r="H42" s="521"/>
      <c r="I42" s="532">
        <f>SUM(D42:H42)</f>
        <v>10.76</v>
      </c>
      <c r="J42" s="519"/>
      <c r="K42" s="519"/>
      <c r="L42" s="520"/>
      <c r="N42" s="801"/>
      <c r="O42" s="801"/>
    </row>
    <row r="43" spans="1:15" s="134" customFormat="1" ht="19.5" customHeight="1" thickBot="1">
      <c r="A43" s="980" t="s">
        <v>687</v>
      </c>
      <c r="B43" s="981"/>
      <c r="C43" s="521" t="s">
        <v>688</v>
      </c>
      <c r="D43" s="516">
        <v>600000</v>
      </c>
      <c r="E43" s="521">
        <v>2750000</v>
      </c>
      <c r="F43" s="521"/>
      <c r="G43" s="521">
        <v>-2750000</v>
      </c>
      <c r="H43" s="521"/>
      <c r="I43" s="532">
        <f>SUM(D43:H43)</f>
        <v>600000</v>
      </c>
      <c r="J43" s="519"/>
      <c r="K43" s="519"/>
      <c r="L43" s="520"/>
      <c r="N43" s="801"/>
      <c r="O43" s="801"/>
    </row>
    <row r="44" spans="1:15" s="134" customFormat="1" ht="19.5" customHeight="1" thickBot="1">
      <c r="A44" s="982"/>
      <c r="B44" s="983"/>
      <c r="C44" s="521"/>
      <c r="D44" s="516"/>
      <c r="E44" s="526"/>
      <c r="F44" s="526"/>
      <c r="G44" s="526"/>
      <c r="H44" s="526"/>
      <c r="I44" s="532">
        <f>SUM(D44:H44)</f>
        <v>0</v>
      </c>
      <c r="J44" s="527"/>
      <c r="K44" s="527"/>
      <c r="L44" s="528"/>
      <c r="N44" s="801"/>
      <c r="O44" s="801"/>
    </row>
    <row r="45" spans="1:15" s="132" customFormat="1" ht="19.5" customHeight="1" thickBot="1">
      <c r="A45" s="991" t="s">
        <v>120</v>
      </c>
      <c r="B45" s="992"/>
      <c r="C45" s="529"/>
      <c r="D45" s="561">
        <f>SUM(D40:D44)</f>
        <v>604519.63</v>
      </c>
      <c r="E45" s="561">
        <f>SUM(E40:E44)</f>
        <v>2750000</v>
      </c>
      <c r="F45" s="562"/>
      <c r="G45" s="561">
        <f>SUM(G40:G44)</f>
        <v>-2750000</v>
      </c>
      <c r="H45" s="561">
        <f>SUM(H40:H44)</f>
        <v>0</v>
      </c>
      <c r="I45" s="561">
        <f>SUM(I40:I44)</f>
        <v>604519.63</v>
      </c>
      <c r="J45" s="530"/>
      <c r="K45" s="563">
        <f>SUM(K40:K44)</f>
        <v>0</v>
      </c>
      <c r="L45" s="531"/>
      <c r="N45" s="852">
        <f>+D26+D45-ACTIVO!C25-ACTIVO!C43</f>
        <v>0</v>
      </c>
      <c r="O45" s="852">
        <f>+I26+I45-ACTIVO!D25-ACTIVO!D43</f>
        <v>0</v>
      </c>
    </row>
    <row r="47" ht="12.75">
      <c r="D47" s="169"/>
    </row>
    <row r="48" spans="1:12" s="800" customFormat="1" ht="12.75" hidden="1">
      <c r="A48" s="1018" t="s">
        <v>399</v>
      </c>
      <c r="B48" s="1018"/>
      <c r="C48" s="1018"/>
      <c r="D48" s="1018"/>
      <c r="E48" s="1018"/>
      <c r="F48" s="1018"/>
      <c r="G48" s="1018"/>
      <c r="H48" s="1018"/>
      <c r="I48" s="1018"/>
      <c r="J48" s="1018"/>
      <c r="K48" s="1018"/>
      <c r="L48" s="1018"/>
    </row>
    <row r="49" spans="1:12" s="800" customFormat="1" ht="12.75" hidden="1">
      <c r="A49" s="1017" t="s">
        <v>441</v>
      </c>
      <c r="B49" s="1017"/>
      <c r="C49" s="1017"/>
      <c r="D49" s="1017"/>
      <c r="E49" s="1017"/>
      <c r="F49" s="1017"/>
      <c r="G49" s="1017"/>
      <c r="H49" s="1017"/>
      <c r="I49" s="1017"/>
      <c r="J49" s="1017"/>
      <c r="K49" s="1017"/>
      <c r="L49" s="1017"/>
    </row>
    <row r="50" spans="1:12" s="800" customFormat="1" ht="12.75" hidden="1">
      <c r="A50" s="1017" t="s">
        <v>184</v>
      </c>
      <c r="B50" s="1017"/>
      <c r="C50" s="1017"/>
      <c r="D50" s="1017"/>
      <c r="E50" s="1017"/>
      <c r="F50" s="1017"/>
      <c r="G50" s="1017"/>
      <c r="H50" s="1017"/>
      <c r="I50" s="1017"/>
      <c r="J50" s="1017"/>
      <c r="K50" s="1017"/>
      <c r="L50" s="1017"/>
    </row>
    <row r="51" spans="1:12" s="800" customFormat="1" ht="12.75" hidden="1">
      <c r="A51" s="1017" t="s">
        <v>442</v>
      </c>
      <c r="B51" s="1017"/>
      <c r="C51" s="1017"/>
      <c r="D51" s="1017"/>
      <c r="E51" s="1017"/>
      <c r="F51" s="1017"/>
      <c r="G51" s="1017"/>
      <c r="H51" s="1017"/>
      <c r="I51" s="1017"/>
      <c r="J51" s="1017"/>
      <c r="K51" s="1017"/>
      <c r="L51" s="1017"/>
    </row>
    <row r="52" spans="1:12" s="800" customFormat="1" ht="12.75" hidden="1">
      <c r="A52" s="1017" t="s">
        <v>443</v>
      </c>
      <c r="B52" s="1017"/>
      <c r="C52" s="1017"/>
      <c r="D52" s="1017"/>
      <c r="E52" s="1017"/>
      <c r="F52" s="1017"/>
      <c r="G52" s="1017"/>
      <c r="H52" s="1017"/>
      <c r="I52" s="1017"/>
      <c r="J52" s="1017"/>
      <c r="K52" s="1017"/>
      <c r="L52" s="1017"/>
    </row>
    <row r="53" spans="1:12" s="800" customFormat="1" ht="12.75" hidden="1">
      <c r="A53" s="1017" t="s">
        <v>449</v>
      </c>
      <c r="B53" s="1017"/>
      <c r="C53" s="1017"/>
      <c r="D53" s="1017"/>
      <c r="E53" s="1017"/>
      <c r="F53" s="1017"/>
      <c r="G53" s="1017"/>
      <c r="H53" s="1017"/>
      <c r="I53" s="1017"/>
      <c r="J53" s="1017"/>
      <c r="K53" s="1017"/>
      <c r="L53" s="1017"/>
    </row>
    <row r="54" spans="1:12" s="800" customFormat="1" ht="12.75" hidden="1">
      <c r="A54" s="1017" t="s">
        <v>364</v>
      </c>
      <c r="B54" s="1017"/>
      <c r="C54" s="1017"/>
      <c r="D54" s="1017"/>
      <c r="E54" s="1017"/>
      <c r="F54" s="1017"/>
      <c r="G54" s="1017"/>
      <c r="H54" s="1017"/>
      <c r="I54" s="1017"/>
      <c r="J54" s="1017"/>
      <c r="K54" s="1017"/>
      <c r="L54" s="1017"/>
    </row>
    <row r="55" spans="1:12" s="800" customFormat="1" ht="12.75" hidden="1">
      <c r="A55" s="1017" t="s">
        <v>365</v>
      </c>
      <c r="B55" s="1017"/>
      <c r="C55" s="1017"/>
      <c r="D55" s="1017"/>
      <c r="E55" s="1017"/>
      <c r="F55" s="1017"/>
      <c r="G55" s="1017"/>
      <c r="H55" s="1017"/>
      <c r="I55" s="1017"/>
      <c r="J55" s="1017"/>
      <c r="K55" s="1017"/>
      <c r="L55" s="1017"/>
    </row>
    <row r="56" spans="1:12" s="800" customFormat="1" ht="12.75" hidden="1">
      <c r="A56" s="1017" t="s">
        <v>189</v>
      </c>
      <c r="B56" s="1017"/>
      <c r="C56" s="1017"/>
      <c r="D56" s="1017"/>
      <c r="E56" s="1017"/>
      <c r="F56" s="1017"/>
      <c r="G56" s="1017"/>
      <c r="H56" s="1017"/>
      <c r="I56" s="1017"/>
      <c r="J56" s="1017"/>
      <c r="K56" s="1017"/>
      <c r="L56" s="1017"/>
    </row>
    <row r="57" spans="1:12" s="800" customFormat="1" ht="12.75" hidden="1">
      <c r="A57" s="1017" t="s">
        <v>366</v>
      </c>
      <c r="B57" s="1017"/>
      <c r="C57" s="1017"/>
      <c r="D57" s="1017"/>
      <c r="E57" s="1017"/>
      <c r="F57" s="1017"/>
      <c r="G57" s="1017"/>
      <c r="H57" s="1017"/>
      <c r="I57" s="1017"/>
      <c r="J57" s="1017"/>
      <c r="K57" s="1017"/>
      <c r="L57" s="1017"/>
    </row>
    <row r="58" spans="1:12" s="800" customFormat="1" ht="12.75" hidden="1">
      <c r="A58" s="1017" t="s">
        <v>367</v>
      </c>
      <c r="B58" s="1017"/>
      <c r="C58" s="1017"/>
      <c r="D58" s="1017"/>
      <c r="E58" s="1017"/>
      <c r="F58" s="1017"/>
      <c r="G58" s="1017"/>
      <c r="H58" s="1017"/>
      <c r="I58" s="1017"/>
      <c r="J58" s="1017"/>
      <c r="K58" s="1017"/>
      <c r="L58" s="1017"/>
    </row>
    <row r="59" spans="3:7" ht="12.75" hidden="1">
      <c r="C59" s="133" t="s">
        <v>61</v>
      </c>
      <c r="D59" s="229">
        <f>+ACTIVO!B25</f>
        <v>4508.87</v>
      </c>
      <c r="E59" s="229">
        <f>+ACTIVO!C25</f>
        <v>4508.87</v>
      </c>
      <c r="F59" s="229">
        <f>+ACTIVO!D25</f>
        <v>4508.87</v>
      </c>
      <c r="G59" s="229">
        <f>+ACTIVO!D25</f>
        <v>4508.87</v>
      </c>
    </row>
    <row r="60" spans="3:7" ht="12.75" hidden="1">
      <c r="C60" s="230" t="s">
        <v>62</v>
      </c>
      <c r="D60" s="231">
        <f>+D58-D59</f>
        <v>-4508.87</v>
      </c>
      <c r="E60" s="231">
        <f>+E58-E59</f>
        <v>-4508.87</v>
      </c>
      <c r="F60" s="231">
        <f>+F58-F59</f>
        <v>-4508.87</v>
      </c>
      <c r="G60" s="231">
        <f>+G58-G59</f>
        <v>-4508.87</v>
      </c>
    </row>
    <row r="61" ht="12.75" hidden="1"/>
    <row r="62" ht="12.75" hidden="1"/>
    <row r="63" ht="12.75" hidden="1"/>
    <row r="64" ht="12.75" hidden="1"/>
  </sheetData>
  <sheetProtection formatColumns="0" formatRows="0"/>
  <mergeCells count="65">
    <mergeCell ref="A39:L39"/>
    <mergeCell ref="A58:L58"/>
    <mergeCell ref="A54:L54"/>
    <mergeCell ref="A55:L55"/>
    <mergeCell ref="A56:L56"/>
    <mergeCell ref="A57:L57"/>
    <mergeCell ref="A52:L52"/>
    <mergeCell ref="L30:L31"/>
    <mergeCell ref="K30:K31"/>
    <mergeCell ref="A53:L53"/>
    <mergeCell ref="A48:L48"/>
    <mergeCell ref="A49:L49"/>
    <mergeCell ref="A50:L50"/>
    <mergeCell ref="A51:L51"/>
    <mergeCell ref="C30:C31"/>
    <mergeCell ref="D30:D31"/>
    <mergeCell ref="G30:H30"/>
    <mergeCell ref="A30:B31"/>
    <mergeCell ref="A7:J7"/>
    <mergeCell ref="A8:J8"/>
    <mergeCell ref="K8:L8"/>
    <mergeCell ref="K7:L7"/>
    <mergeCell ref="G11:H11"/>
    <mergeCell ref="K11:K12"/>
    <mergeCell ref="A24:B24"/>
    <mergeCell ref="A25:B25"/>
    <mergeCell ref="A29:L29"/>
    <mergeCell ref="A37:B37"/>
    <mergeCell ref="A20:L20"/>
    <mergeCell ref="A15:B15"/>
    <mergeCell ref="A11:B12"/>
    <mergeCell ref="A13:L13"/>
    <mergeCell ref="A19:B19"/>
    <mergeCell ref="A32:L32"/>
    <mergeCell ref="A17:B17"/>
    <mergeCell ref="A22:B22"/>
    <mergeCell ref="A14:B14"/>
    <mergeCell ref="A9:L9"/>
    <mergeCell ref="A10:L10"/>
    <mergeCell ref="C11:C12"/>
    <mergeCell ref="D11:D12"/>
    <mergeCell ref="E11:F11"/>
    <mergeCell ref="L11:L12"/>
    <mergeCell ref="I11:I12"/>
    <mergeCell ref="J11:J12"/>
    <mergeCell ref="A36:B36"/>
    <mergeCell ref="A35:B35"/>
    <mergeCell ref="A34:B34"/>
    <mergeCell ref="A45:B45"/>
    <mergeCell ref="A44:B44"/>
    <mergeCell ref="A42:B42"/>
    <mergeCell ref="A38:B38"/>
    <mergeCell ref="A40:B40"/>
    <mergeCell ref="A41:B41"/>
    <mergeCell ref="A43:B43"/>
    <mergeCell ref="A33:B33"/>
    <mergeCell ref="A21:B21"/>
    <mergeCell ref="A18:B18"/>
    <mergeCell ref="A16:B16"/>
    <mergeCell ref="A28:L28"/>
    <mergeCell ref="E30:F30"/>
    <mergeCell ref="I30:I31"/>
    <mergeCell ref="J30:J31"/>
    <mergeCell ref="A23:B23"/>
    <mergeCell ref="A26:B26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019" t="s">
        <v>106</v>
      </c>
      <c r="B1" s="1020"/>
      <c r="C1" s="1021"/>
      <c r="D1" s="16" t="e">
        <f>#REF!</f>
        <v>#REF!</v>
      </c>
    </row>
    <row r="2" spans="1:4" ht="25.5" customHeight="1">
      <c r="A2" s="1022" t="s">
        <v>586</v>
      </c>
      <c r="B2" s="1023"/>
      <c r="C2" s="1024"/>
      <c r="D2" s="13" t="s">
        <v>584</v>
      </c>
    </row>
    <row r="3" spans="1:4" ht="25.5" customHeight="1">
      <c r="A3" s="1025" t="s">
        <v>714</v>
      </c>
      <c r="B3" s="1026"/>
      <c r="C3" s="1026"/>
      <c r="D3" s="1027"/>
    </row>
    <row r="4" spans="1:4" ht="31.5" customHeight="1">
      <c r="A4" s="19" t="s">
        <v>117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153</v>
      </c>
      <c r="B5" s="21"/>
      <c r="C5" s="21"/>
      <c r="D5" s="22"/>
    </row>
    <row r="6" spans="1:4" s="3" customFormat="1" ht="19.5" customHeight="1">
      <c r="A6" s="5" t="s">
        <v>649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118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1714058.43</v>
      </c>
    </row>
    <row r="8" spans="1:4" s="3" customFormat="1" ht="19.5" customHeight="1">
      <c r="A8" s="10" t="s">
        <v>154</v>
      </c>
      <c r="B8" s="25" t="str">
        <f>CPYG!A13</f>
        <v>          a) Ventas</v>
      </c>
      <c r="C8" s="25" t="e">
        <f>CPYG!#REF!</f>
        <v>#REF!</v>
      </c>
      <c r="D8" s="26">
        <f>CPYG!B13</f>
        <v>0</v>
      </c>
    </row>
    <row r="9" spans="1:4" s="3" customFormat="1" ht="19.5" customHeight="1">
      <c r="A9" s="10" t="s">
        <v>650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651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652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156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653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0</v>
      </c>
    </row>
    <row r="14" spans="1:4" s="3" customFormat="1" ht="19.5" customHeight="1">
      <c r="A14" s="10" t="s">
        <v>157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1714058.43</v>
      </c>
    </row>
    <row r="15" spans="1:4" s="3" customFormat="1" ht="19.5" customHeight="1">
      <c r="A15" s="10" t="s">
        <v>655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587394.45</v>
      </c>
    </row>
    <row r="16" spans="1:4" s="3" customFormat="1" ht="19.5" customHeight="1">
      <c r="A16" s="10" t="s">
        <v>656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367935.22</v>
      </c>
    </row>
    <row r="17" spans="1:4" s="3" customFormat="1" ht="19.5" customHeight="1">
      <c r="A17" s="10" t="s">
        <v>657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14647.18</v>
      </c>
    </row>
    <row r="18" spans="1:4" s="3" customFormat="1" ht="19.5" customHeight="1">
      <c r="A18" s="10" t="s">
        <v>158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204812.05</v>
      </c>
    </row>
    <row r="19" spans="1:4" s="3" customFormat="1" ht="19.5" customHeight="1">
      <c r="A19" s="5" t="s">
        <v>372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1126663.98</v>
      </c>
    </row>
    <row r="20" spans="1:4" s="3" customFormat="1" ht="19.5" customHeight="1">
      <c r="A20" s="5" t="s">
        <v>658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659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660</v>
      </c>
      <c r="B22" s="25" t="str">
        <f>CPYG!A29</f>
        <v>4. APROVISIONAMIENTOS.</v>
      </c>
      <c r="C22" s="25" t="e">
        <f>CPYG!#REF!</f>
        <v>#REF!</v>
      </c>
      <c r="D22" s="26">
        <f>CPYG!B29</f>
        <v>-1177097.98</v>
      </c>
    </row>
    <row r="23" spans="1:4" s="3" customFormat="1" ht="19.5" customHeight="1">
      <c r="A23" s="10" t="s">
        <v>661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662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0</v>
      </c>
    </row>
    <row r="25" spans="1:4" s="3" customFormat="1" ht="19.5" customHeight="1">
      <c r="A25" s="10" t="s">
        <v>663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-1177097.98</v>
      </c>
    </row>
    <row r="26" spans="1:4" s="3" customFormat="1" ht="19.5" customHeight="1">
      <c r="A26" s="5" t="s">
        <v>664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665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238001.45</v>
      </c>
    </row>
    <row r="28" spans="1:4" s="3" customFormat="1" ht="19.5" customHeight="1">
      <c r="A28" s="10" t="s">
        <v>667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0</v>
      </c>
    </row>
    <row r="29" spans="1:4" s="3" customFormat="1" ht="19.5" customHeight="1">
      <c r="A29" s="10" t="s">
        <v>668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238001.45</v>
      </c>
    </row>
    <row r="30" spans="1:4" s="3" customFormat="1" ht="19.5" customHeight="1">
      <c r="A30" s="10" t="s">
        <v>373</v>
      </c>
      <c r="B30" s="25" t="str">
        <f>CPYG!A40</f>
        <v>          b.1.) Estado.</v>
      </c>
      <c r="C30" s="27" t="e">
        <f>CPYG!#REF!</f>
        <v>#REF!</v>
      </c>
      <c r="D30" s="28">
        <f>CPYG!B40</f>
        <v>30000</v>
      </c>
    </row>
    <row r="31" spans="1:4" s="3" customFormat="1" ht="19.5" customHeight="1">
      <c r="A31" s="10" t="s">
        <v>374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669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670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206250</v>
      </c>
    </row>
    <row r="34" spans="1:4" s="3" customFormat="1" ht="19.5" customHeight="1">
      <c r="A34" s="10" t="s">
        <v>671</v>
      </c>
      <c r="B34" s="25" t="str">
        <f>CPYG!A44</f>
        <v>          b.5. ) Otros Entes.</v>
      </c>
      <c r="C34" s="27" t="e">
        <f>CPYG!#REF!</f>
        <v>#REF!</v>
      </c>
      <c r="D34" s="26">
        <f>CPYG!B44</f>
        <v>1751.45</v>
      </c>
    </row>
    <row r="35" spans="1:4" s="3" customFormat="1" ht="19.5" customHeight="1">
      <c r="A35" s="5" t="s">
        <v>672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673</v>
      </c>
      <c r="B36" s="25" t="str">
        <f>CPYG!A46</f>
        <v>6. GASTOS DE PERSONAL.</v>
      </c>
      <c r="C36" s="25" t="e">
        <f>CPYG!#REF!</f>
        <v>#REF!</v>
      </c>
      <c r="D36" s="26">
        <f>CPYG!B46</f>
        <v>-1053462.9299999997</v>
      </c>
      <c r="E36" s="40"/>
    </row>
    <row r="37" spans="1:4" s="3" customFormat="1" ht="19.5" customHeight="1">
      <c r="A37" s="10" t="s">
        <v>375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-827321.07</v>
      </c>
    </row>
    <row r="38" spans="1:4" s="3" customFormat="1" ht="19.5" customHeight="1">
      <c r="A38" s="10" t="s">
        <v>376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377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-219354.48</v>
      </c>
    </row>
    <row r="40" spans="1:4" s="3" customFormat="1" ht="19.5" customHeight="1">
      <c r="A40" s="10" t="s">
        <v>378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-6700</v>
      </c>
    </row>
    <row r="41" spans="1:4" s="3" customFormat="1" ht="19.5" customHeight="1">
      <c r="A41" s="10" t="s">
        <v>379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-87.38</v>
      </c>
    </row>
    <row r="42" spans="1:4" s="3" customFormat="1" ht="19.5" customHeight="1">
      <c r="A42" s="5" t="s">
        <v>674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380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-1659134.8900000001</v>
      </c>
    </row>
    <row r="44" spans="1:4" s="3" customFormat="1" ht="19.5" customHeight="1">
      <c r="A44" s="10" t="s">
        <v>381</v>
      </c>
      <c r="B44" s="25" t="str">
        <f>CPYG!A55</f>
        <v>      a) Servicios Exteriores</v>
      </c>
      <c r="C44" s="27" t="e">
        <f>CPYG!#REF!</f>
        <v>#REF!</v>
      </c>
      <c r="D44" s="26">
        <f>CPYG!B55</f>
        <v>-1628046.13</v>
      </c>
    </row>
    <row r="45" spans="1:4" s="3" customFormat="1" ht="19.5" customHeight="1">
      <c r="A45" s="10" t="s">
        <v>675</v>
      </c>
      <c r="B45" s="25" t="str">
        <f>CPYG!A56</f>
        <v>      b) Tributos</v>
      </c>
      <c r="C45" s="25" t="e">
        <f>CPYG!#REF!</f>
        <v>#REF!</v>
      </c>
      <c r="D45" s="26">
        <f>CPYG!B56</f>
        <v>-26576.85</v>
      </c>
    </row>
    <row r="46" spans="1:4" s="3" customFormat="1" ht="19.5" customHeight="1">
      <c r="A46" s="10" t="s">
        <v>676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19012.89</v>
      </c>
    </row>
    <row r="47" spans="1:4" s="3" customFormat="1" ht="19.5" customHeight="1">
      <c r="A47" s="10" t="s">
        <v>677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678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679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-23524.8</v>
      </c>
    </row>
    <row r="50" spans="1:4" s="3" customFormat="1" ht="19.5" customHeight="1">
      <c r="A50" s="5" t="s">
        <v>680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-75246.29000000001</v>
      </c>
    </row>
    <row r="51" spans="1:4" s="3" customFormat="1" ht="19.5" customHeight="1">
      <c r="A51" s="5" t="s">
        <v>681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3529.86</v>
      </c>
    </row>
    <row r="52" spans="1:4" s="3" customFormat="1" ht="19.5" customHeight="1">
      <c r="A52" s="5" t="s">
        <v>690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102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382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587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588</v>
      </c>
      <c r="B56" s="23" t="str">
        <f>CPYG!A79</f>
        <v>13. OTROS RESULTADOS</v>
      </c>
      <c r="C56" s="23" t="e">
        <f>CPYG!#REF!</f>
        <v>#REF!</v>
      </c>
      <c r="D56" s="24">
        <f>CPYG!B79</f>
        <v>70298.39</v>
      </c>
    </row>
    <row r="57" spans="1:4" s="3" customFormat="1" ht="19.5" customHeight="1">
      <c r="A57" s="5" t="s">
        <v>691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-1939053.96</v>
      </c>
    </row>
    <row r="58" spans="1:4" s="3" customFormat="1" ht="19.5" customHeight="1">
      <c r="A58" s="10" t="s">
        <v>692</v>
      </c>
      <c r="B58" s="25" t="str">
        <f>CPYG!A83</f>
        <v>14. INGRESOS FINANCIEROS.</v>
      </c>
      <c r="C58" s="25" t="e">
        <f>CPYG!#REF!</f>
        <v>#REF!</v>
      </c>
      <c r="D58" s="26">
        <f>CPYG!B83</f>
        <v>6282.9</v>
      </c>
    </row>
    <row r="59" spans="1:4" s="3" customFormat="1" ht="19.5" customHeight="1">
      <c r="A59" s="10" t="s">
        <v>693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694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383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695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6282.9</v>
      </c>
    </row>
    <row r="63" spans="1:4" s="3" customFormat="1" ht="19.5" customHeight="1">
      <c r="A63" s="10" t="s">
        <v>696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698</v>
      </c>
      <c r="B64" s="23" t="str">
        <f>CPYG!A89</f>
        <v>          b.2) En terceros.</v>
      </c>
      <c r="C64" s="23" t="e">
        <f>CPYG!#REF!</f>
        <v>#REF!</v>
      </c>
      <c r="D64" s="24">
        <f>CPYG!B89</f>
        <v>6282.9</v>
      </c>
    </row>
    <row r="65" spans="1:4" s="3" customFormat="1" ht="19.5" customHeight="1">
      <c r="A65" s="10" t="s">
        <v>699</v>
      </c>
      <c r="B65" s="25" t="str">
        <f>CPYG!A91</f>
        <v>15. GASTOS FINANCIEROS.</v>
      </c>
      <c r="C65" s="27" t="e">
        <f>CPYG!#REF!</f>
        <v>#REF!</v>
      </c>
      <c r="D65" s="26">
        <f>CPYG!B91</f>
        <v>0</v>
      </c>
    </row>
    <row r="66" spans="1:4" s="3" customFormat="1" ht="19.5" customHeight="1">
      <c r="A66" s="10" t="s">
        <v>384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385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0</v>
      </c>
    </row>
    <row r="68" spans="1:4" s="3" customFormat="1" ht="19.5" customHeight="1">
      <c r="A68" s="5" t="s">
        <v>700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701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386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702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589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703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382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590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387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6282.9</v>
      </c>
    </row>
    <row r="77" spans="1:4" s="3" customFormat="1" ht="19.5" customHeight="1">
      <c r="A77" s="5" t="s">
        <v>100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-1932771.06</v>
      </c>
    </row>
    <row r="78" spans="1:4" s="3" customFormat="1" ht="25.5" customHeight="1">
      <c r="A78" s="11" t="s">
        <v>591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388</v>
      </c>
      <c r="B79" s="23"/>
      <c r="C79" s="23"/>
      <c r="D79" s="24"/>
    </row>
    <row r="80" spans="1:4" s="3" customFormat="1" ht="19.5" customHeight="1">
      <c r="A80" s="5" t="s">
        <v>592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593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155</v>
      </c>
      <c r="B84" s="34"/>
      <c r="C84" s="34"/>
      <c r="D84" s="34"/>
    </row>
    <row r="85" spans="1:5" ht="19.5" customHeight="1">
      <c r="A85" s="7" t="s">
        <v>101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-1932771.06</v>
      </c>
      <c r="C90" s="33">
        <f>PASIVO!C25</f>
        <v>-1913775.36</v>
      </c>
      <c r="D90" s="33">
        <f>PASIVO!D25</f>
        <v>-1952647.7975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1952647.7975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8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93"/>
  <sheetViews>
    <sheetView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76.421875" style="245" customWidth="1"/>
    <col min="2" max="2" width="0.2890625" style="245" hidden="1" customWidth="1"/>
    <col min="3" max="3" width="24.7109375" style="245" customWidth="1"/>
    <col min="4" max="4" width="19.7109375" style="245" customWidth="1"/>
    <col min="5" max="5" width="19.421875" style="245" customWidth="1"/>
    <col min="6" max="6" width="7.421875" style="245" bestFit="1" customWidth="1"/>
    <col min="7" max="7" width="7.7109375" style="245" bestFit="1" customWidth="1"/>
    <col min="8" max="8" width="7.57421875" style="245" bestFit="1" customWidth="1"/>
    <col min="9" max="9" width="5.8515625" style="245" customWidth="1"/>
    <col min="10" max="10" width="7.421875" style="853" hidden="1" customWidth="1"/>
    <col min="11" max="12" width="5.140625" style="853" hidden="1" customWidth="1"/>
    <col min="13" max="13" width="7.140625" style="854" hidden="1" customWidth="1"/>
    <col min="14" max="14" width="14.7109375" style="854" hidden="1" customWidth="1"/>
    <col min="15" max="15" width="39.7109375" style="855" hidden="1" customWidth="1"/>
    <col min="16" max="16" width="0" style="856" hidden="1" customWidth="1"/>
    <col min="17" max="16384" width="11.57421875" style="245" customWidth="1"/>
  </cols>
  <sheetData>
    <row r="1" spans="1:3" ht="13.5">
      <c r="A1" s="222"/>
      <c r="B1" s="222"/>
      <c r="C1" s="750" t="s">
        <v>426</v>
      </c>
    </row>
    <row r="2" spans="1:3" ht="13.5">
      <c r="A2" s="222"/>
      <c r="B2" s="222"/>
      <c r="C2" s="751" t="s">
        <v>427</v>
      </c>
    </row>
    <row r="3" spans="1:3" ht="12.75">
      <c r="A3" s="222"/>
      <c r="B3" s="222"/>
      <c r="C3" s="222"/>
    </row>
    <row r="4" spans="1:3" ht="13.5">
      <c r="A4" s="749" t="s">
        <v>260</v>
      </c>
      <c r="B4" s="222"/>
      <c r="C4" s="754">
        <v>42339</v>
      </c>
    </row>
    <row r="5" spans="1:3" ht="13.5">
      <c r="A5" s="749" t="s">
        <v>425</v>
      </c>
      <c r="B5" s="222"/>
      <c r="C5" s="753" t="s">
        <v>428</v>
      </c>
    </row>
    <row r="6" spans="1:8" ht="13.5" thickBot="1">
      <c r="A6" s="636"/>
      <c r="H6" s="637"/>
    </row>
    <row r="7" spans="1:8" ht="46.5" customHeight="1">
      <c r="A7" s="1040" t="s">
        <v>191</v>
      </c>
      <c r="B7" s="1041"/>
      <c r="C7" s="1041"/>
      <c r="D7" s="1041"/>
      <c r="E7" s="1041"/>
      <c r="F7" s="1033">
        <f>CPYG!D7</f>
        <v>2016</v>
      </c>
      <c r="G7" s="1033"/>
      <c r="H7" s="1034"/>
    </row>
    <row r="8" spans="1:8" ht="30" customHeight="1" thickBot="1">
      <c r="A8" s="1038" t="str">
        <f>CPYG!A8</f>
        <v>EMPRESA PÚBLICA: AUDITORIO DE TENERIFE, S.A.U.</v>
      </c>
      <c r="B8" s="1039"/>
      <c r="C8" s="1039"/>
      <c r="D8" s="1039"/>
      <c r="E8" s="1039"/>
      <c r="F8" s="1035" t="s">
        <v>172</v>
      </c>
      <c r="G8" s="1036"/>
      <c r="H8" s="1037"/>
    </row>
    <row r="9" spans="1:8" ht="24.75" customHeight="1" thickBot="1">
      <c r="A9" s="1029" t="s">
        <v>457</v>
      </c>
      <c r="B9" s="1030"/>
      <c r="C9" s="1030"/>
      <c r="D9" s="1030"/>
      <c r="E9" s="1030"/>
      <c r="F9" s="1030"/>
      <c r="G9" s="1030"/>
      <c r="H9" s="1031"/>
    </row>
    <row r="10" spans="1:15" ht="19.5" customHeight="1" thickBot="1">
      <c r="A10" s="589" t="s">
        <v>456</v>
      </c>
      <c r="B10" s="590"/>
      <c r="C10" s="591" t="s">
        <v>451</v>
      </c>
      <c r="D10" s="591">
        <v>2015</v>
      </c>
      <c r="E10" s="591">
        <v>2016</v>
      </c>
      <c r="F10" s="591" t="s">
        <v>121</v>
      </c>
      <c r="G10" s="591" t="s">
        <v>491</v>
      </c>
      <c r="H10" s="592" t="s">
        <v>490</v>
      </c>
      <c r="O10" s="854"/>
    </row>
    <row r="11" spans="1:15" ht="19.5" customHeight="1" thickBot="1">
      <c r="A11" s="593" t="s">
        <v>452</v>
      </c>
      <c r="B11" s="594"/>
      <c r="C11" s="595"/>
      <c r="D11" s="596">
        <f>PASIVO!B32</f>
        <v>4706.48</v>
      </c>
      <c r="E11" s="597">
        <f>+D24</f>
        <v>147446.35</v>
      </c>
      <c r="F11" s="598"/>
      <c r="G11" s="599"/>
      <c r="H11" s="600"/>
      <c r="O11" s="854"/>
    </row>
    <row r="12" spans="1:15" ht="19.5" customHeight="1">
      <c r="A12" s="618"/>
      <c r="B12" s="619"/>
      <c r="C12" s="247"/>
      <c r="D12" s="248"/>
      <c r="E12" s="248"/>
      <c r="F12" s="249"/>
      <c r="G12" s="249"/>
      <c r="H12" s="250"/>
      <c r="O12" s="854"/>
    </row>
    <row r="13" spans="1:15" ht="19.5" customHeight="1">
      <c r="A13" s="620" t="s">
        <v>256</v>
      </c>
      <c r="B13" s="619"/>
      <c r="C13" s="247"/>
      <c r="D13" s="251">
        <v>150000</v>
      </c>
      <c r="E13" s="251"/>
      <c r="F13" s="252"/>
      <c r="G13" s="252"/>
      <c r="H13" s="253"/>
      <c r="O13" s="854"/>
    </row>
    <row r="14" spans="1:15" ht="19.5" customHeight="1">
      <c r="A14" s="620" t="s">
        <v>226</v>
      </c>
      <c r="B14" s="619"/>
      <c r="C14" s="247"/>
      <c r="D14" s="251"/>
      <c r="E14" s="251">
        <v>400000</v>
      </c>
      <c r="F14" s="789" t="s">
        <v>269</v>
      </c>
      <c r="G14" s="789" t="s">
        <v>270</v>
      </c>
      <c r="H14" s="790" t="s">
        <v>272</v>
      </c>
      <c r="J14" s="857" t="s">
        <v>273</v>
      </c>
      <c r="K14" s="857" t="s">
        <v>269</v>
      </c>
      <c r="L14" s="857" t="s">
        <v>270</v>
      </c>
      <c r="M14" s="857" t="s">
        <v>272</v>
      </c>
      <c r="N14" s="858">
        <v>400000</v>
      </c>
      <c r="O14" s="859" t="s">
        <v>285</v>
      </c>
    </row>
    <row r="15" spans="1:15" ht="19.5" customHeight="1">
      <c r="A15" s="664"/>
      <c r="B15" s="665"/>
      <c r="C15" s="666"/>
      <c r="D15" s="667"/>
      <c r="E15" s="667"/>
      <c r="F15" s="677"/>
      <c r="G15" s="677"/>
      <c r="H15" s="678"/>
      <c r="O15" s="854"/>
    </row>
    <row r="16" spans="1:15" ht="19.5" customHeight="1">
      <c r="A16" s="620"/>
      <c r="B16" s="619"/>
      <c r="C16" s="247"/>
      <c r="D16" s="251"/>
      <c r="E16" s="251"/>
      <c r="F16" s="254"/>
      <c r="G16" s="254"/>
      <c r="H16" s="255"/>
      <c r="O16" s="854"/>
    </row>
    <row r="17" spans="1:15" ht="19.5" customHeight="1">
      <c r="A17" s="620"/>
      <c r="B17" s="619"/>
      <c r="C17" s="247"/>
      <c r="D17" s="251"/>
      <c r="E17" s="251"/>
      <c r="F17" s="254"/>
      <c r="G17" s="254"/>
      <c r="H17" s="255"/>
      <c r="O17" s="854"/>
    </row>
    <row r="18" spans="1:15" ht="19.5" customHeight="1">
      <c r="A18" s="620"/>
      <c r="B18" s="619"/>
      <c r="C18" s="247"/>
      <c r="D18" s="251"/>
      <c r="E18" s="251"/>
      <c r="F18" s="254"/>
      <c r="G18" s="254"/>
      <c r="H18" s="255"/>
      <c r="O18" s="854"/>
    </row>
    <row r="19" spans="1:15" ht="19.5" customHeight="1" thickBot="1">
      <c r="A19" s="621"/>
      <c r="B19" s="622"/>
      <c r="C19" s="371"/>
      <c r="D19" s="372"/>
      <c r="E19" s="372"/>
      <c r="F19" s="258"/>
      <c r="G19" s="258"/>
      <c r="H19" s="259"/>
      <c r="O19" s="854"/>
    </row>
    <row r="20" spans="1:15" ht="19.5" customHeight="1" thickBot="1">
      <c r="A20" s="603" t="s">
        <v>460</v>
      </c>
      <c r="B20" s="604"/>
      <c r="C20" s="605"/>
      <c r="D20" s="679">
        <f>SUM(D12:D19)</f>
        <v>150000</v>
      </c>
      <c r="E20" s="680">
        <f>SUM(E12:E19)</f>
        <v>400000</v>
      </c>
      <c r="F20" s="638"/>
      <c r="G20" s="638"/>
      <c r="H20" s="638"/>
      <c r="O20" s="854"/>
    </row>
    <row r="21" spans="1:15" ht="19.5" customHeight="1">
      <c r="A21" s="606" t="s">
        <v>453</v>
      </c>
      <c r="B21" s="601"/>
      <c r="C21" s="568"/>
      <c r="D21" s="639"/>
      <c r="E21" s="373"/>
      <c r="F21" s="638"/>
      <c r="G21" s="638"/>
      <c r="H21" s="638"/>
      <c r="O21" s="854"/>
    </row>
    <row r="22" spans="1:15" ht="19.5" customHeight="1">
      <c r="A22" s="602" t="s">
        <v>454</v>
      </c>
      <c r="B22" s="601"/>
      <c r="C22" s="260"/>
      <c r="D22" s="261">
        <f>-CPYG!C63</f>
        <v>-4553.8099999999995</v>
      </c>
      <c r="E22" s="261">
        <f>-CPYG!D63</f>
        <v>-32434.76</v>
      </c>
      <c r="F22" s="638"/>
      <c r="G22" s="638"/>
      <c r="H22" s="638"/>
      <c r="I22" s="246"/>
      <c r="O22" s="854"/>
    </row>
    <row r="23" spans="1:15" ht="19.5" customHeight="1" thickBot="1">
      <c r="A23" s="602" t="s">
        <v>263</v>
      </c>
      <c r="B23" s="607"/>
      <c r="C23" s="262"/>
      <c r="D23" s="263">
        <f>+PASIVO!B44-PASIVO!C44</f>
        <v>-2706.32</v>
      </c>
      <c r="E23" s="374">
        <f>PASIVO!C44-PASIVO!D44</f>
        <v>-99895.97</v>
      </c>
      <c r="F23" s="638"/>
      <c r="G23" s="638"/>
      <c r="H23" s="638"/>
      <c r="O23" s="854"/>
    </row>
    <row r="24" spans="1:15" ht="19.5" customHeight="1" thickBot="1" thickTop="1">
      <c r="A24" s="608" t="s">
        <v>455</v>
      </c>
      <c r="B24" s="609"/>
      <c r="C24" s="610"/>
      <c r="D24" s="681">
        <f>D11+D20+D21+D22+D23</f>
        <v>147446.35</v>
      </c>
      <c r="E24" s="681">
        <f>E11+E20+E21+E22+E23</f>
        <v>415115.62</v>
      </c>
      <c r="F24" s="638"/>
      <c r="G24" s="638"/>
      <c r="H24" s="638"/>
      <c r="I24" s="668"/>
      <c r="O24" s="854"/>
    </row>
    <row r="25" spans="1:16" s="133" customFormat="1" ht="19.5" customHeight="1">
      <c r="A25" s="638"/>
      <c r="B25" s="638"/>
      <c r="C25" s="638"/>
      <c r="D25" s="783"/>
      <c r="E25" s="783"/>
      <c r="F25" s="638"/>
      <c r="G25" s="638"/>
      <c r="H25" s="638"/>
      <c r="J25" s="849"/>
      <c r="K25" s="849"/>
      <c r="L25" s="849"/>
      <c r="M25" s="849"/>
      <c r="N25" s="849"/>
      <c r="O25" s="849"/>
      <c r="P25" s="800"/>
    </row>
    <row r="26" spans="1:16" s="133" customFormat="1" ht="19.5" customHeight="1" thickBot="1">
      <c r="A26" s="638"/>
      <c r="B26" s="638"/>
      <c r="C26" s="638"/>
      <c r="D26" s="638"/>
      <c r="E26" s="638"/>
      <c r="F26" s="638"/>
      <c r="G26" s="638"/>
      <c r="H26" s="638"/>
      <c r="J26" s="849"/>
      <c r="K26" s="849"/>
      <c r="L26" s="849"/>
      <c r="M26" s="849"/>
      <c r="N26" s="849"/>
      <c r="O26" s="849"/>
      <c r="P26" s="800"/>
    </row>
    <row r="27" spans="1:16" s="133" customFormat="1" ht="19.5" customHeight="1" thickBot="1">
      <c r="A27" s="589" t="s">
        <v>115</v>
      </c>
      <c r="B27" s="590"/>
      <c r="C27" s="591" t="s">
        <v>451</v>
      </c>
      <c r="D27" s="591">
        <v>2015</v>
      </c>
      <c r="E27" s="591">
        <v>2016</v>
      </c>
      <c r="F27" s="591" t="s">
        <v>121</v>
      </c>
      <c r="G27" s="591" t="s">
        <v>491</v>
      </c>
      <c r="H27" s="592" t="s">
        <v>490</v>
      </c>
      <c r="J27" s="849"/>
      <c r="K27" s="849"/>
      <c r="L27" s="849"/>
      <c r="M27" s="849"/>
      <c r="N27" s="849"/>
      <c r="O27" s="849"/>
      <c r="P27" s="800"/>
    </row>
    <row r="28" spans="1:16" s="133" customFormat="1" ht="19.5" customHeight="1" thickBot="1">
      <c r="A28" s="589" t="s">
        <v>265</v>
      </c>
      <c r="B28" s="590"/>
      <c r="C28" s="611"/>
      <c r="D28" s="612"/>
      <c r="E28" s="612"/>
      <c r="F28" s="611"/>
      <c r="G28" s="611"/>
      <c r="H28" s="613"/>
      <c r="J28" s="849"/>
      <c r="K28" s="849"/>
      <c r="L28" s="849"/>
      <c r="M28" s="849"/>
      <c r="N28" s="849"/>
      <c r="O28" s="849"/>
      <c r="P28" s="800"/>
    </row>
    <row r="29" spans="1:16" s="133" customFormat="1" ht="19.5" customHeight="1">
      <c r="A29" s="784" t="s">
        <v>697</v>
      </c>
      <c r="B29" s="665"/>
      <c r="C29" s="666" t="s">
        <v>471</v>
      </c>
      <c r="D29" s="785">
        <v>30000</v>
      </c>
      <c r="E29" s="785">
        <v>30000</v>
      </c>
      <c r="F29" s="695"/>
      <c r="G29" s="695"/>
      <c r="H29" s="696"/>
      <c r="J29" s="849"/>
      <c r="K29" s="849"/>
      <c r="L29" s="849"/>
      <c r="M29" s="849"/>
      <c r="N29" s="849"/>
      <c r="O29" s="849"/>
      <c r="P29" s="860"/>
    </row>
    <row r="30" spans="1:16" s="133" customFormat="1" ht="19.5" customHeight="1">
      <c r="A30" s="664" t="s">
        <v>432</v>
      </c>
      <c r="B30" s="665"/>
      <c r="C30" s="786" t="s">
        <v>470</v>
      </c>
      <c r="D30" s="667"/>
      <c r="E30" s="667">
        <v>175968</v>
      </c>
      <c r="F30" s="787" t="s">
        <v>269</v>
      </c>
      <c r="G30" s="787" t="s">
        <v>270</v>
      </c>
      <c r="H30" s="788" t="s">
        <v>271</v>
      </c>
      <c r="J30" s="857" t="s">
        <v>273</v>
      </c>
      <c r="K30" s="857" t="s">
        <v>269</v>
      </c>
      <c r="L30" s="857" t="s">
        <v>270</v>
      </c>
      <c r="M30" s="857" t="s">
        <v>271</v>
      </c>
      <c r="N30" s="858">
        <v>200000</v>
      </c>
      <c r="O30" s="859" t="s">
        <v>283</v>
      </c>
      <c r="P30" s="800"/>
    </row>
    <row r="31" spans="1:16" s="133" customFormat="1" ht="19.5" customHeight="1">
      <c r="A31" s="664" t="s">
        <v>433</v>
      </c>
      <c r="B31" s="665"/>
      <c r="C31" s="786" t="s">
        <v>470</v>
      </c>
      <c r="D31" s="667"/>
      <c r="E31" s="667">
        <v>200000</v>
      </c>
      <c r="F31" s="787" t="s">
        <v>269</v>
      </c>
      <c r="G31" s="787" t="s">
        <v>270</v>
      </c>
      <c r="H31" s="788" t="s">
        <v>271</v>
      </c>
      <c r="I31" s="134"/>
      <c r="J31" s="857" t="s">
        <v>273</v>
      </c>
      <c r="K31" s="857" t="s">
        <v>269</v>
      </c>
      <c r="L31" s="857" t="s">
        <v>270</v>
      </c>
      <c r="M31" s="857" t="s">
        <v>271</v>
      </c>
      <c r="N31" s="858">
        <v>175968</v>
      </c>
      <c r="O31" s="859" t="s">
        <v>284</v>
      </c>
      <c r="P31" s="800"/>
    </row>
    <row r="32" spans="1:16" s="133" customFormat="1" ht="19.5" customHeight="1">
      <c r="A32" s="620"/>
      <c r="B32" s="619"/>
      <c r="C32" s="641"/>
      <c r="D32" s="251"/>
      <c r="E32" s="697"/>
      <c r="F32" s="631"/>
      <c r="G32" s="631"/>
      <c r="H32" s="634"/>
      <c r="I32" s="676"/>
      <c r="J32" s="849"/>
      <c r="K32" s="849"/>
      <c r="L32" s="849"/>
      <c r="M32" s="849"/>
      <c r="N32" s="849"/>
      <c r="O32" s="861"/>
      <c r="P32" s="800"/>
    </row>
    <row r="33" spans="1:16" s="133" customFormat="1" ht="19.5" customHeight="1">
      <c r="A33" s="620"/>
      <c r="B33" s="619"/>
      <c r="C33" s="247"/>
      <c r="D33" s="251"/>
      <c r="E33" s="251"/>
      <c r="F33" s="631"/>
      <c r="G33" s="631"/>
      <c r="H33" s="634"/>
      <c r="I33" s="676"/>
      <c r="J33" s="849"/>
      <c r="K33" s="849"/>
      <c r="L33" s="849"/>
      <c r="M33" s="849"/>
      <c r="N33" s="849"/>
      <c r="O33" s="849"/>
      <c r="P33" s="800"/>
    </row>
    <row r="34" spans="1:16" s="133" customFormat="1" ht="19.5" customHeight="1">
      <c r="A34" s="620"/>
      <c r="B34" s="619"/>
      <c r="C34" s="247"/>
      <c r="D34" s="251"/>
      <c r="E34" s="251"/>
      <c r="F34" s="631"/>
      <c r="G34" s="631"/>
      <c r="H34" s="634"/>
      <c r="J34" s="849"/>
      <c r="K34" s="849"/>
      <c r="L34" s="849"/>
      <c r="M34" s="849"/>
      <c r="N34" s="849"/>
      <c r="O34" s="849"/>
      <c r="P34" s="800"/>
    </row>
    <row r="35" spans="1:16" s="133" customFormat="1" ht="19.5" customHeight="1">
      <c r="A35" s="620"/>
      <c r="B35" s="619"/>
      <c r="C35" s="247"/>
      <c r="D35" s="251"/>
      <c r="E35" s="251"/>
      <c r="F35" s="631"/>
      <c r="G35" s="631"/>
      <c r="H35" s="634"/>
      <c r="J35" s="849"/>
      <c r="K35" s="849"/>
      <c r="L35" s="849"/>
      <c r="M35" s="849"/>
      <c r="N35" s="849"/>
      <c r="O35" s="849"/>
      <c r="P35" s="800"/>
    </row>
    <row r="36" spans="1:16" s="133" customFormat="1" ht="19.5" customHeight="1" thickBot="1">
      <c r="A36" s="621"/>
      <c r="B36" s="622"/>
      <c r="C36" s="371"/>
      <c r="D36" s="372"/>
      <c r="E36" s="372"/>
      <c r="F36" s="635"/>
      <c r="G36" s="635"/>
      <c r="H36" s="259"/>
      <c r="J36" s="849"/>
      <c r="K36" s="849"/>
      <c r="L36" s="849"/>
      <c r="M36" s="849"/>
      <c r="N36" s="849"/>
      <c r="O36" s="849"/>
      <c r="P36" s="800"/>
    </row>
    <row r="37" spans="1:16" s="133" customFormat="1" ht="19.5" customHeight="1" thickBot="1">
      <c r="A37" s="632" t="s">
        <v>120</v>
      </c>
      <c r="B37" s="594"/>
      <c r="C37" s="633"/>
      <c r="D37" s="682">
        <f>SUM(D29:D36)</f>
        <v>30000</v>
      </c>
      <c r="E37" s="683">
        <f>SUM(E29:E36)</f>
        <v>405968</v>
      </c>
      <c r="F37" s="638"/>
      <c r="G37" s="638"/>
      <c r="H37" s="638"/>
      <c r="J37" s="849"/>
      <c r="K37" s="849"/>
      <c r="L37" s="849"/>
      <c r="M37" s="849"/>
      <c r="N37" s="849"/>
      <c r="O37" s="849"/>
      <c r="P37" s="800"/>
    </row>
    <row r="38" spans="1:16" s="133" customFormat="1" ht="19.5" customHeight="1" thickBot="1">
      <c r="A38" s="638"/>
      <c r="B38" s="638"/>
      <c r="C38" s="638"/>
      <c r="D38" s="638"/>
      <c r="E38" s="638"/>
      <c r="F38" s="638"/>
      <c r="G38" s="638"/>
      <c r="H38" s="638"/>
      <c r="J38" s="849"/>
      <c r="K38" s="849"/>
      <c r="L38" s="849"/>
      <c r="M38" s="849"/>
      <c r="N38" s="849"/>
      <c r="O38" s="849"/>
      <c r="P38" s="800"/>
    </row>
    <row r="39" spans="1:16" s="133" customFormat="1" ht="41.25" customHeight="1" thickBot="1">
      <c r="A39" s="616" t="s">
        <v>363</v>
      </c>
      <c r="B39" s="590"/>
      <c r="C39" s="591" t="s">
        <v>451</v>
      </c>
      <c r="D39" s="591">
        <v>2015</v>
      </c>
      <c r="E39" s="591">
        <v>2016</v>
      </c>
      <c r="F39" s="591" t="s">
        <v>121</v>
      </c>
      <c r="G39" s="591" t="s">
        <v>491</v>
      </c>
      <c r="H39" s="592" t="s">
        <v>490</v>
      </c>
      <c r="J39" s="849"/>
      <c r="K39" s="849"/>
      <c r="L39" s="849"/>
      <c r="M39" s="849"/>
      <c r="N39" s="849"/>
      <c r="O39" s="849"/>
      <c r="P39" s="800"/>
    </row>
    <row r="40" spans="1:16" s="133" customFormat="1" ht="19.5" customHeight="1">
      <c r="A40" s="626" t="s">
        <v>762</v>
      </c>
      <c r="B40" s="627"/>
      <c r="C40" s="628" t="s">
        <v>470</v>
      </c>
      <c r="D40" s="629">
        <v>1913775.36</v>
      </c>
      <c r="E40" s="630">
        <f>1913775.36+(63803.04-15596.3-17014.14)+7679.84</f>
        <v>1952647.8000000003</v>
      </c>
      <c r="F40" s="789" t="s">
        <v>269</v>
      </c>
      <c r="G40" s="789" t="s">
        <v>270</v>
      </c>
      <c r="H40" s="790" t="s">
        <v>271</v>
      </c>
      <c r="I40" s="640"/>
      <c r="J40" s="857" t="s">
        <v>273</v>
      </c>
      <c r="K40" s="857" t="s">
        <v>269</v>
      </c>
      <c r="L40" s="857" t="s">
        <v>270</v>
      </c>
      <c r="M40" s="857" t="s">
        <v>271</v>
      </c>
      <c r="N40" s="862">
        <f>+'[1]C.K.26.11'!$H$2338+'[1]C.K.26.11'!$H$2339+'[1]C.K.26.11'!$H$2340</f>
        <v>1952647.8000000003</v>
      </c>
      <c r="O40" s="849"/>
      <c r="P40" s="800"/>
    </row>
    <row r="41" spans="1:16" s="133" customFormat="1" ht="19.5" customHeight="1">
      <c r="A41" s="620"/>
      <c r="B41" s="619"/>
      <c r="C41" s="247"/>
      <c r="D41" s="251"/>
      <c r="E41" s="251"/>
      <c r="F41" s="698"/>
      <c r="G41" s="698"/>
      <c r="H41" s="699"/>
      <c r="I41" s="640"/>
      <c r="J41" s="863"/>
      <c r="K41" s="849"/>
      <c r="L41" s="849"/>
      <c r="M41" s="849"/>
      <c r="N41" s="849"/>
      <c r="O41" s="849"/>
      <c r="P41" s="800"/>
    </row>
    <row r="42" spans="1:16" s="133" customFormat="1" ht="19.5" customHeight="1">
      <c r="A42" s="620"/>
      <c r="B42" s="619"/>
      <c r="C42" s="247"/>
      <c r="D42" s="251"/>
      <c r="E42" s="251"/>
      <c r="F42" s="254"/>
      <c r="G42" s="254"/>
      <c r="H42" s="255"/>
      <c r="J42" s="849"/>
      <c r="K42" s="849"/>
      <c r="L42" s="849"/>
      <c r="M42" s="849"/>
      <c r="N42" s="849"/>
      <c r="O42" s="849"/>
      <c r="P42" s="800"/>
    </row>
    <row r="43" spans="1:15" ht="24.75" customHeight="1">
      <c r="A43" s="620"/>
      <c r="B43" s="619"/>
      <c r="C43" s="247"/>
      <c r="D43" s="251"/>
      <c r="E43" s="251"/>
      <c r="F43" s="254"/>
      <c r="G43" s="254"/>
      <c r="H43" s="255"/>
      <c r="O43" s="854"/>
    </row>
    <row r="44" spans="1:15" ht="19.5" customHeight="1">
      <c r="A44" s="620"/>
      <c r="B44" s="619"/>
      <c r="C44" s="247"/>
      <c r="D44" s="251"/>
      <c r="E44" s="251"/>
      <c r="F44" s="254"/>
      <c r="G44" s="254"/>
      <c r="H44" s="255"/>
      <c r="O44" s="854"/>
    </row>
    <row r="45" spans="1:15" ht="19.5" customHeight="1">
      <c r="A45" s="620"/>
      <c r="B45" s="619"/>
      <c r="C45" s="247"/>
      <c r="D45" s="251"/>
      <c r="E45" s="251"/>
      <c r="F45" s="254"/>
      <c r="G45" s="254"/>
      <c r="H45" s="255"/>
      <c r="O45" s="854"/>
    </row>
    <row r="46" spans="1:15" ht="19.5" customHeight="1">
      <c r="A46" s="620"/>
      <c r="B46" s="619"/>
      <c r="C46" s="247"/>
      <c r="D46" s="251"/>
      <c r="E46" s="507"/>
      <c r="F46" s="254"/>
      <c r="G46" s="254"/>
      <c r="H46" s="255"/>
      <c r="O46" s="854"/>
    </row>
    <row r="47" spans="1:15" ht="19.5" customHeight="1" thickBot="1">
      <c r="A47" s="621"/>
      <c r="B47" s="622"/>
      <c r="C47" s="371"/>
      <c r="D47" s="372"/>
      <c r="E47" s="372"/>
      <c r="F47" s="258"/>
      <c r="G47" s="258"/>
      <c r="H47" s="259"/>
      <c r="O47" s="854"/>
    </row>
    <row r="48" spans="1:15" ht="19.5" customHeight="1" thickBot="1">
      <c r="A48" s="614" t="s">
        <v>120</v>
      </c>
      <c r="B48" s="590"/>
      <c r="C48" s="615"/>
      <c r="D48" s="684">
        <f>SUM(D40:D47)</f>
        <v>1913775.36</v>
      </c>
      <c r="E48" s="680">
        <f>SUM(E40:E47)</f>
        <v>1952647.8000000003</v>
      </c>
      <c r="F48" s="638"/>
      <c r="G48" s="638"/>
      <c r="H48" s="638"/>
      <c r="O48" s="854"/>
    </row>
    <row r="49" spans="1:16" s="133" customFormat="1" ht="19.5" customHeight="1">
      <c r="A49" s="638"/>
      <c r="B49" s="638"/>
      <c r="C49" s="638"/>
      <c r="D49" s="638"/>
      <c r="E49" s="638"/>
      <c r="F49" s="638"/>
      <c r="G49" s="638"/>
      <c r="H49" s="638"/>
      <c r="J49" s="849"/>
      <c r="K49" s="849"/>
      <c r="L49" s="849"/>
      <c r="M49" s="849"/>
      <c r="N49" s="849"/>
      <c r="O49" s="849"/>
      <c r="P49" s="800"/>
    </row>
    <row r="50" spans="1:16" s="133" customFormat="1" ht="19.5" customHeight="1" thickBot="1">
      <c r="A50" s="638"/>
      <c r="B50" s="638"/>
      <c r="C50" s="638"/>
      <c r="D50" s="638"/>
      <c r="E50" s="638"/>
      <c r="F50" s="638"/>
      <c r="G50" s="638"/>
      <c r="H50" s="638"/>
      <c r="J50" s="849"/>
      <c r="K50" s="849"/>
      <c r="L50" s="849"/>
      <c r="M50" s="849"/>
      <c r="N50" s="849"/>
      <c r="O50" s="849"/>
      <c r="P50" s="800"/>
    </row>
    <row r="51" spans="1:16" s="133" customFormat="1" ht="19.5" customHeight="1" thickBot="1">
      <c r="A51" s="616" t="s">
        <v>459</v>
      </c>
      <c r="B51" s="590"/>
      <c r="C51" s="591" t="s">
        <v>451</v>
      </c>
      <c r="D51" s="591">
        <v>2015</v>
      </c>
      <c r="E51" s="591">
        <v>2016</v>
      </c>
      <c r="F51" s="591" t="s">
        <v>121</v>
      </c>
      <c r="G51" s="591" t="s">
        <v>491</v>
      </c>
      <c r="H51" s="592" t="s">
        <v>490</v>
      </c>
      <c r="J51" s="849"/>
      <c r="K51" s="849"/>
      <c r="L51" s="849"/>
      <c r="M51" s="849"/>
      <c r="N51" s="849"/>
      <c r="O51" s="849"/>
      <c r="P51" s="800"/>
    </row>
    <row r="52" spans="1:16" s="133" customFormat="1" ht="19.5" customHeight="1">
      <c r="A52" s="618"/>
      <c r="B52" s="619"/>
      <c r="C52" s="247"/>
      <c r="D52" s="248"/>
      <c r="E52" s="248"/>
      <c r="F52" s="252"/>
      <c r="G52" s="252"/>
      <c r="H52" s="253"/>
      <c r="J52" s="849"/>
      <c r="K52" s="849"/>
      <c r="L52" s="849"/>
      <c r="M52" s="849"/>
      <c r="N52" s="849"/>
      <c r="O52" s="849"/>
      <c r="P52" s="800"/>
    </row>
    <row r="53" spans="1:16" s="133" customFormat="1" ht="19.5" customHeight="1">
      <c r="A53" s="620"/>
      <c r="B53" s="619"/>
      <c r="C53" s="247"/>
      <c r="D53" s="251"/>
      <c r="E53" s="251"/>
      <c r="F53" s="254"/>
      <c r="G53" s="254"/>
      <c r="H53" s="255"/>
      <c r="J53" s="849"/>
      <c r="K53" s="849"/>
      <c r="L53" s="849"/>
      <c r="M53" s="849"/>
      <c r="N53" s="849"/>
      <c r="O53" s="849"/>
      <c r="P53" s="800"/>
    </row>
    <row r="54" spans="1:16" s="133" customFormat="1" ht="19.5" customHeight="1">
      <c r="A54" s="620"/>
      <c r="B54" s="619"/>
      <c r="C54" s="247"/>
      <c r="D54" s="251"/>
      <c r="E54" s="251"/>
      <c r="F54" s="254"/>
      <c r="G54" s="254"/>
      <c r="H54" s="255"/>
      <c r="J54" s="849"/>
      <c r="K54" s="849"/>
      <c r="L54" s="849"/>
      <c r="M54" s="849"/>
      <c r="N54" s="849"/>
      <c r="O54" s="849"/>
      <c r="P54" s="800"/>
    </row>
    <row r="55" spans="1:16" s="133" customFormat="1" ht="19.5" customHeight="1">
      <c r="A55" s="620"/>
      <c r="B55" s="619"/>
      <c r="C55" s="247"/>
      <c r="D55" s="251"/>
      <c r="E55" s="251"/>
      <c r="F55" s="254"/>
      <c r="G55" s="254"/>
      <c r="H55" s="255"/>
      <c r="J55" s="849"/>
      <c r="K55" s="849"/>
      <c r="L55" s="849"/>
      <c r="M55" s="849"/>
      <c r="N55" s="849"/>
      <c r="O55" s="849"/>
      <c r="P55" s="800"/>
    </row>
    <row r="56" spans="1:16" s="133" customFormat="1" ht="19.5" customHeight="1">
      <c r="A56" s="620"/>
      <c r="B56" s="619"/>
      <c r="C56" s="247"/>
      <c r="D56" s="251"/>
      <c r="E56" s="251"/>
      <c r="F56" s="254"/>
      <c r="G56" s="254"/>
      <c r="H56" s="255"/>
      <c r="J56" s="849"/>
      <c r="K56" s="849"/>
      <c r="L56" s="849"/>
      <c r="M56" s="849"/>
      <c r="N56" s="849"/>
      <c r="O56" s="849"/>
      <c r="P56" s="800"/>
    </row>
    <row r="57" spans="1:16" s="133" customFormat="1" ht="19.5" customHeight="1">
      <c r="A57" s="620"/>
      <c r="B57" s="619"/>
      <c r="C57" s="247"/>
      <c r="D57" s="251"/>
      <c r="E57" s="251"/>
      <c r="F57" s="254"/>
      <c r="G57" s="254"/>
      <c r="H57" s="255"/>
      <c r="J57" s="849"/>
      <c r="K57" s="849"/>
      <c r="L57" s="849"/>
      <c r="M57" s="849"/>
      <c r="N57" s="849"/>
      <c r="O57" s="849"/>
      <c r="P57" s="800"/>
    </row>
    <row r="58" spans="1:16" s="133" customFormat="1" ht="19.5" customHeight="1">
      <c r="A58" s="620"/>
      <c r="B58" s="619"/>
      <c r="C58" s="247"/>
      <c r="D58" s="251"/>
      <c r="E58" s="251"/>
      <c r="F58" s="254"/>
      <c r="G58" s="254"/>
      <c r="H58" s="255"/>
      <c r="J58" s="849"/>
      <c r="K58" s="849"/>
      <c r="L58" s="849"/>
      <c r="M58" s="849"/>
      <c r="N58" s="849"/>
      <c r="O58" s="849"/>
      <c r="P58" s="800"/>
    </row>
    <row r="59" spans="1:16" s="133" customFormat="1" ht="19.5" customHeight="1" thickBot="1">
      <c r="A59" s="620"/>
      <c r="B59" s="623"/>
      <c r="C59" s="256"/>
      <c r="D59" s="257"/>
      <c r="E59" s="257"/>
      <c r="F59" s="258"/>
      <c r="G59" s="258"/>
      <c r="H59" s="259"/>
      <c r="J59" s="849"/>
      <c r="K59" s="849"/>
      <c r="L59" s="849"/>
      <c r="M59" s="849"/>
      <c r="N59" s="849"/>
      <c r="O59" s="849"/>
      <c r="P59" s="800"/>
    </row>
    <row r="60" spans="1:16" s="133" customFormat="1" ht="19.5" customHeight="1" thickBot="1">
      <c r="A60" s="614" t="s">
        <v>468</v>
      </c>
      <c r="B60" s="590"/>
      <c r="C60" s="615"/>
      <c r="D60" s="617">
        <f>SUM(D52:D59)</f>
        <v>0</v>
      </c>
      <c r="E60" s="617">
        <f>SUM(E52:E59)</f>
        <v>0</v>
      </c>
      <c r="F60" s="638"/>
      <c r="G60" s="638"/>
      <c r="H60" s="638"/>
      <c r="J60" s="849"/>
      <c r="K60" s="849"/>
      <c r="L60" s="849"/>
      <c r="M60" s="849"/>
      <c r="N60" s="849"/>
      <c r="O60" s="849"/>
      <c r="P60" s="800"/>
    </row>
    <row r="61" spans="1:16" s="133" customFormat="1" ht="19.5" customHeight="1">
      <c r="A61" s="264"/>
      <c r="B61" s="265"/>
      <c r="C61" s="266"/>
      <c r="D61" s="266"/>
      <c r="E61" s="266"/>
      <c r="J61" s="849"/>
      <c r="K61" s="849"/>
      <c r="L61" s="849"/>
      <c r="M61" s="849"/>
      <c r="N61" s="849"/>
      <c r="O61" s="849"/>
      <c r="P61" s="800"/>
    </row>
    <row r="62" spans="1:16" s="133" customFormat="1" ht="45.75" customHeight="1">
      <c r="A62" s="1032"/>
      <c r="B62" s="1032"/>
      <c r="C62" s="1032"/>
      <c r="D62" s="1032"/>
      <c r="E62" s="1032"/>
      <c r="F62" s="1032"/>
      <c r="G62" s="1032"/>
      <c r="H62" s="1032"/>
      <c r="J62" s="849"/>
      <c r="K62" s="849"/>
      <c r="L62" s="849"/>
      <c r="M62" s="849"/>
      <c r="N62" s="849"/>
      <c r="O62" s="849"/>
      <c r="P62" s="800"/>
    </row>
    <row r="63" spans="1:16" s="133" customFormat="1" ht="19.5" customHeight="1">
      <c r="A63" s="1028"/>
      <c r="B63" s="1028"/>
      <c r="C63" s="1028"/>
      <c r="D63" s="1028"/>
      <c r="E63" s="1028"/>
      <c r="F63" s="1028"/>
      <c r="G63" s="1028"/>
      <c r="H63" s="1028"/>
      <c r="J63" s="849"/>
      <c r="K63" s="849"/>
      <c r="L63" s="849"/>
      <c r="M63" s="849"/>
      <c r="N63" s="849"/>
      <c r="O63" s="849"/>
      <c r="P63" s="800"/>
    </row>
    <row r="64" spans="1:16" s="133" customFormat="1" ht="18.75" customHeight="1">
      <c r="A64" s="1028"/>
      <c r="B64" s="1028"/>
      <c r="C64" s="1028"/>
      <c r="D64" s="1028"/>
      <c r="E64" s="1028"/>
      <c r="F64" s="1028"/>
      <c r="G64" s="1028"/>
      <c r="H64" s="1028"/>
      <c r="J64" s="849"/>
      <c r="K64" s="849"/>
      <c r="L64" s="849"/>
      <c r="M64" s="849"/>
      <c r="N64" s="849"/>
      <c r="O64" s="849"/>
      <c r="P64" s="800"/>
    </row>
    <row r="65" spans="1:16" s="133" customFormat="1" ht="19.5" customHeight="1">
      <c r="A65" s="800"/>
      <c r="B65" s="800"/>
      <c r="C65" s="800"/>
      <c r="D65" s="800"/>
      <c r="E65" s="801">
        <f>+E48+E37</f>
        <v>2358615.8000000003</v>
      </c>
      <c r="F65" s="800"/>
      <c r="G65" s="800"/>
      <c r="H65" s="800"/>
      <c r="J65" s="849"/>
      <c r="K65" s="849"/>
      <c r="L65" s="849"/>
      <c r="M65" s="849"/>
      <c r="N65" s="849"/>
      <c r="O65" s="849"/>
      <c r="P65" s="800"/>
    </row>
    <row r="66" spans="10:16" s="133" customFormat="1" ht="19.5" customHeight="1">
      <c r="J66" s="849"/>
      <c r="K66" s="849"/>
      <c r="L66" s="849"/>
      <c r="M66" s="849"/>
      <c r="N66" s="849"/>
      <c r="O66" s="849"/>
      <c r="P66" s="800"/>
    </row>
    <row r="67" spans="10:16" s="133" customFormat="1" ht="19.5" customHeight="1">
      <c r="J67" s="849"/>
      <c r="K67" s="849"/>
      <c r="L67" s="849"/>
      <c r="M67" s="849"/>
      <c r="N67" s="849"/>
      <c r="O67" s="849"/>
      <c r="P67" s="800"/>
    </row>
    <row r="68" spans="10:16" s="133" customFormat="1" ht="19.5" customHeight="1">
      <c r="J68" s="849"/>
      <c r="K68" s="849"/>
      <c r="L68" s="849"/>
      <c r="M68" s="849"/>
      <c r="N68" s="849"/>
      <c r="O68" s="849"/>
      <c r="P68" s="800"/>
    </row>
    <row r="69" spans="10:16" s="133" customFormat="1" ht="19.5" customHeight="1">
      <c r="J69" s="849"/>
      <c r="K69" s="849"/>
      <c r="L69" s="849"/>
      <c r="M69" s="849"/>
      <c r="N69" s="849"/>
      <c r="O69" s="849"/>
      <c r="P69" s="800"/>
    </row>
    <row r="70" spans="10:16" s="133" customFormat="1" ht="19.5" customHeight="1">
      <c r="J70" s="849"/>
      <c r="K70" s="849"/>
      <c r="L70" s="849"/>
      <c r="M70" s="849"/>
      <c r="N70" s="849"/>
      <c r="O70" s="849"/>
      <c r="P70" s="800"/>
    </row>
    <row r="71" spans="10:16" s="133" customFormat="1" ht="19.5" customHeight="1">
      <c r="J71" s="849"/>
      <c r="K71" s="849"/>
      <c r="L71" s="849"/>
      <c r="M71" s="849"/>
      <c r="N71" s="849"/>
      <c r="O71" s="849"/>
      <c r="P71" s="800"/>
    </row>
    <row r="72" spans="10:16" s="133" customFormat="1" ht="19.5" customHeight="1">
      <c r="J72" s="849"/>
      <c r="K72" s="849"/>
      <c r="L72" s="849"/>
      <c r="M72" s="849"/>
      <c r="N72" s="849"/>
      <c r="O72" s="849"/>
      <c r="P72" s="800"/>
    </row>
    <row r="73" spans="10:16" s="133" customFormat="1" ht="19.5" customHeight="1">
      <c r="J73" s="849"/>
      <c r="K73" s="849"/>
      <c r="L73" s="849"/>
      <c r="M73" s="849"/>
      <c r="N73" s="849"/>
      <c r="O73" s="849"/>
      <c r="P73" s="800"/>
    </row>
    <row r="74" spans="10:16" s="133" customFormat="1" ht="19.5" customHeight="1">
      <c r="J74" s="849"/>
      <c r="K74" s="849"/>
      <c r="L74" s="849"/>
      <c r="M74" s="849"/>
      <c r="N74" s="849"/>
      <c r="O74" s="849"/>
      <c r="P74" s="800"/>
    </row>
    <row r="75" spans="10:16" s="133" customFormat="1" ht="19.5" customHeight="1">
      <c r="J75" s="849"/>
      <c r="K75" s="849"/>
      <c r="L75" s="849"/>
      <c r="M75" s="849"/>
      <c r="N75" s="849"/>
      <c r="O75" s="849"/>
      <c r="P75" s="800"/>
    </row>
    <row r="76" spans="10:16" s="133" customFormat="1" ht="19.5" customHeight="1">
      <c r="J76" s="849"/>
      <c r="K76" s="849"/>
      <c r="L76" s="849"/>
      <c r="M76" s="849"/>
      <c r="N76" s="849"/>
      <c r="O76" s="849"/>
      <c r="P76" s="800"/>
    </row>
    <row r="77" spans="10:16" s="133" customFormat="1" ht="12.75">
      <c r="J77" s="849"/>
      <c r="K77" s="849"/>
      <c r="L77" s="849"/>
      <c r="M77" s="849"/>
      <c r="N77" s="849"/>
      <c r="O77" s="849"/>
      <c r="P77" s="800"/>
    </row>
    <row r="78" spans="10:16" s="133" customFormat="1" ht="12.75">
      <c r="J78" s="849"/>
      <c r="K78" s="849"/>
      <c r="L78" s="849"/>
      <c r="M78" s="849"/>
      <c r="N78" s="849"/>
      <c r="O78" s="849"/>
      <c r="P78" s="800"/>
    </row>
    <row r="79" spans="10:16" s="133" customFormat="1" ht="12.75">
      <c r="J79" s="849"/>
      <c r="K79" s="849"/>
      <c r="L79" s="849"/>
      <c r="M79" s="849"/>
      <c r="N79" s="849"/>
      <c r="O79" s="849"/>
      <c r="P79" s="800"/>
    </row>
    <row r="80" spans="10:16" s="133" customFormat="1" ht="12.75">
      <c r="J80" s="849"/>
      <c r="K80" s="849"/>
      <c r="L80" s="849"/>
      <c r="M80" s="849"/>
      <c r="N80" s="849"/>
      <c r="O80" s="849"/>
      <c r="P80" s="800"/>
    </row>
    <row r="81" spans="10:16" s="133" customFormat="1" ht="12.75">
      <c r="J81" s="849"/>
      <c r="K81" s="849"/>
      <c r="L81" s="849"/>
      <c r="M81" s="849"/>
      <c r="N81" s="849"/>
      <c r="O81" s="849"/>
      <c r="P81" s="800"/>
    </row>
    <row r="82" spans="10:16" s="133" customFormat="1" ht="12.75">
      <c r="J82" s="849"/>
      <c r="K82" s="849"/>
      <c r="L82" s="849"/>
      <c r="M82" s="849"/>
      <c r="N82" s="849"/>
      <c r="O82" s="849"/>
      <c r="P82" s="800"/>
    </row>
    <row r="88" ht="12.75">
      <c r="C88" s="245" t="s">
        <v>469</v>
      </c>
    </row>
    <row r="89" ht="12.75">
      <c r="C89" s="245" t="s">
        <v>470</v>
      </c>
    </row>
    <row r="90" ht="12.75">
      <c r="C90" s="245" t="s">
        <v>471</v>
      </c>
    </row>
    <row r="91" ht="12.75">
      <c r="C91" s="245" t="s">
        <v>472</v>
      </c>
    </row>
    <row r="92" ht="12.75">
      <c r="C92" s="245" t="s">
        <v>473</v>
      </c>
    </row>
    <row r="93" ht="12.75">
      <c r="C93" s="245" t="s">
        <v>474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7:H7"/>
    <mergeCell ref="F8:H8"/>
    <mergeCell ref="A8:E8"/>
    <mergeCell ref="A7:E7"/>
    <mergeCell ref="A63:H63"/>
    <mergeCell ref="A64:H64"/>
    <mergeCell ref="A9:H9"/>
    <mergeCell ref="A62:H62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29:C36 C12:C19">
      <formula1>$C$88:$C$93</formula1>
    </dataValidation>
    <dataValidation allowBlank="1" showInputMessage="1" showErrorMessage="1" promptTitle="ENTRADA" prompt="Antes de Estimar esta Celda debes incluir en Celda Naranja el Dato Inicial" sqref="D40:E40 D29:E29 D12:E12"/>
  </dataValidations>
  <printOptions horizontalCentered="1" verticalCentered="1"/>
  <pageMargins left="0.24" right="0.2362204724409449" top="0.41" bottom="0.66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selection activeCell="C4" sqref="C4"/>
    </sheetView>
  </sheetViews>
  <sheetFormatPr defaultColWidth="11.421875" defaultRowHeight="12.75"/>
  <cols>
    <col min="1" max="1" width="25.7109375" style="222" customWidth="1"/>
    <col min="2" max="2" width="32.140625" style="222" customWidth="1"/>
    <col min="3" max="3" width="16.421875" style="222" customWidth="1"/>
    <col min="4" max="4" width="15.8515625" style="222" customWidth="1"/>
    <col min="5" max="5" width="19.00390625" style="222" customWidth="1"/>
    <col min="6" max="6" width="5.00390625" style="836" bestFit="1" customWidth="1"/>
    <col min="7" max="8" width="5.00390625" style="836" hidden="1" customWidth="1"/>
    <col min="9" max="9" width="11.421875" style="836" hidden="1" customWidth="1"/>
    <col min="10" max="10" width="5.00390625" style="836" bestFit="1" customWidth="1"/>
    <col min="11" max="11" width="11.421875" style="835" customWidth="1"/>
    <col min="12" max="16384" width="11.421875" style="222" customWidth="1"/>
  </cols>
  <sheetData>
    <row r="1" ht="13.5">
      <c r="C1" s="750" t="s">
        <v>426</v>
      </c>
    </row>
    <row r="2" ht="13.5">
      <c r="C2" s="751" t="s">
        <v>427</v>
      </c>
    </row>
    <row r="4" spans="1:3" ht="13.5">
      <c r="A4" s="749" t="s">
        <v>260</v>
      </c>
      <c r="C4" s="754">
        <v>42339</v>
      </c>
    </row>
    <row r="5" spans="1:3" ht="13.5">
      <c r="A5" s="749" t="s">
        <v>425</v>
      </c>
      <c r="C5" s="753" t="s">
        <v>428</v>
      </c>
    </row>
    <row r="6" ht="25.5" customHeight="1" thickBot="1"/>
    <row r="7" spans="1:5" ht="44.25" customHeight="1">
      <c r="A7" s="1058" t="s">
        <v>361</v>
      </c>
      <c r="B7" s="1059"/>
      <c r="C7" s="1059"/>
      <c r="D7" s="1060"/>
      <c r="E7" s="232">
        <f>CPYG!D7</f>
        <v>2016</v>
      </c>
    </row>
    <row r="8" spans="1:5" ht="18.75" customHeight="1">
      <c r="A8" s="1064" t="str">
        <f>CPYG!A8</f>
        <v>EMPRESA PÚBLICA: AUDITORIO DE TENERIFE, S.A.U.</v>
      </c>
      <c r="B8" s="1065"/>
      <c r="C8" s="1065"/>
      <c r="D8" s="1066"/>
      <c r="E8" s="233" t="s">
        <v>179</v>
      </c>
    </row>
    <row r="9" spans="1:5" ht="23.25" customHeight="1" thickBot="1">
      <c r="A9" s="1061" t="s">
        <v>362</v>
      </c>
      <c r="B9" s="1062"/>
      <c r="C9" s="1062"/>
      <c r="D9" s="1062"/>
      <c r="E9" s="1063"/>
    </row>
    <row r="10" spans="1:5" ht="28.5" customHeight="1" thickBot="1">
      <c r="A10" s="1044" t="s">
        <v>729</v>
      </c>
      <c r="B10" s="1045"/>
      <c r="C10" s="234" t="s">
        <v>551</v>
      </c>
      <c r="D10" s="234" t="s">
        <v>559</v>
      </c>
      <c r="E10" s="235" t="s">
        <v>450</v>
      </c>
    </row>
    <row r="11" spans="1:5" ht="16.5" customHeight="1">
      <c r="A11" s="1055" t="str">
        <f>+CPYG!A21</f>
        <v>          b.1.1.) A la Entidad Local o a sus unidades dependientes.(1)</v>
      </c>
      <c r="B11" s="1047"/>
      <c r="C11" s="582">
        <f>+CPYG!C21</f>
        <v>661248.98</v>
      </c>
      <c r="D11" s="582">
        <f>+CPYG!D21</f>
        <v>852000</v>
      </c>
      <c r="E11" s="583"/>
    </row>
    <row r="12" spans="1:5" ht="16.5" customHeight="1">
      <c r="A12" s="1056" t="str">
        <f>+CPYG!A22</f>
        <v>          b.1.2.) A otras Administraciones Públicas.(1)</v>
      </c>
      <c r="B12" s="1057"/>
      <c r="C12" s="582">
        <f>+CPYG!C22</f>
        <v>6008</v>
      </c>
      <c r="D12" s="582">
        <f>+CPYG!D22</f>
        <v>6000</v>
      </c>
      <c r="E12" s="539"/>
    </row>
    <row r="13" spans="1:8" ht="16.5" customHeight="1">
      <c r="A13" s="1056" t="str">
        <f>+CPYG!A23</f>
        <v>          b.1.3.) A empresas y Entes Públicos.(1)</v>
      </c>
      <c r="B13" s="1057"/>
      <c r="C13" s="582">
        <f>+CPYG!C23</f>
        <v>135972.57</v>
      </c>
      <c r="D13" s="582">
        <f>+CPYG!D23</f>
        <v>135000</v>
      </c>
      <c r="E13" s="539"/>
      <c r="G13" s="864"/>
      <c r="H13" s="864"/>
    </row>
    <row r="14" spans="1:8" ht="16.5" customHeight="1">
      <c r="A14" s="1056" t="str">
        <f>+CPYG!A24</f>
        <v>          b.2.) Al sector privado</v>
      </c>
      <c r="B14" s="1057"/>
      <c r="C14" s="584">
        <f>+CPYG!C24</f>
        <v>1488329.12</v>
      </c>
      <c r="D14" s="584">
        <f>+CPYG!D24</f>
        <v>1480551.42</v>
      </c>
      <c r="E14" s="539"/>
      <c r="G14" s="864"/>
      <c r="H14" s="864"/>
    </row>
    <row r="15" spans="1:11" s="224" customFormat="1" ht="22.5" customHeight="1" thickBot="1">
      <c r="A15" s="1042" t="s">
        <v>492</v>
      </c>
      <c r="B15" s="1043"/>
      <c r="C15" s="237">
        <f>SUM(C11:C14)</f>
        <v>2291558.67</v>
      </c>
      <c r="D15" s="237">
        <f>SUM(D11:D14)</f>
        <v>2473551.42</v>
      </c>
      <c r="E15" s="238"/>
      <c r="F15" s="865">
        <f>+C15-CPYG!C19</f>
        <v>0</v>
      </c>
      <c r="G15" s="866">
        <f>+C15-CPYG!C12</f>
        <v>0</v>
      </c>
      <c r="H15" s="866">
        <f>+D15-CPYG!D12</f>
        <v>0</v>
      </c>
      <c r="I15" s="836"/>
      <c r="J15" s="865">
        <f>+D15-CPYG!D19</f>
        <v>0</v>
      </c>
      <c r="K15" s="837"/>
    </row>
    <row r="16" spans="1:4" ht="9" customHeight="1" thickBot="1">
      <c r="A16" s="1050"/>
      <c r="B16" s="1050"/>
      <c r="C16" s="1050"/>
      <c r="D16" s="1050"/>
    </row>
    <row r="17" spans="1:5" ht="33.75" customHeight="1" thickBot="1">
      <c r="A17" s="1044" t="s">
        <v>262</v>
      </c>
      <c r="B17" s="1045"/>
      <c r="C17" s="234" t="s">
        <v>551</v>
      </c>
      <c r="D17" s="234" t="s">
        <v>559</v>
      </c>
      <c r="E17" s="235" t="s">
        <v>450</v>
      </c>
    </row>
    <row r="18" spans="1:10" ht="12.75">
      <c r="A18" s="1046" t="s">
        <v>730</v>
      </c>
      <c r="B18" s="1047"/>
      <c r="C18" s="239">
        <f>SUM(C19:C22)</f>
        <v>15000</v>
      </c>
      <c r="D18" s="239">
        <f>SUM(D19:D22)</f>
        <v>10000</v>
      </c>
      <c r="E18" s="240"/>
      <c r="F18" s="865">
        <f>+C18-CPYG!C81</f>
        <v>0</v>
      </c>
      <c r="J18" s="865">
        <f>+D18-CPYG!D81</f>
        <v>0</v>
      </c>
    </row>
    <row r="19" spans="1:5" ht="16.5" customHeight="1">
      <c r="A19" s="1048" t="s">
        <v>689</v>
      </c>
      <c r="B19" s="1049"/>
      <c r="C19" s="585">
        <v>15000</v>
      </c>
      <c r="D19" s="585">
        <v>10000</v>
      </c>
      <c r="E19" s="586"/>
    </row>
    <row r="20" spans="1:5" ht="16.5" customHeight="1">
      <c r="A20" s="1053"/>
      <c r="B20" s="1054"/>
      <c r="C20" s="587"/>
      <c r="D20" s="587"/>
      <c r="E20" s="588"/>
    </row>
    <row r="21" spans="1:5" ht="16.5" customHeight="1">
      <c r="A21" s="1053"/>
      <c r="B21" s="1054"/>
      <c r="C21" s="587"/>
      <c r="D21" s="587"/>
      <c r="E21" s="588"/>
    </row>
    <row r="22" spans="1:5" ht="16.5" customHeight="1">
      <c r="A22" s="1053"/>
      <c r="B22" s="1054"/>
      <c r="C22" s="587"/>
      <c r="D22" s="587"/>
      <c r="E22" s="588"/>
    </row>
    <row r="23" spans="1:10" ht="12.75">
      <c r="A23" s="1051" t="s">
        <v>731</v>
      </c>
      <c r="B23" s="1052"/>
      <c r="C23" s="241">
        <f>SUM(C24:C27)</f>
        <v>-12695.5</v>
      </c>
      <c r="D23" s="241">
        <f>SUM(D24:D27)</f>
        <v>0</v>
      </c>
      <c r="E23" s="242"/>
      <c r="F23" s="865">
        <f>+C23-CPYG!C80</f>
        <v>0</v>
      </c>
      <c r="J23" s="865">
        <f>+D23-CPYG!D80</f>
        <v>0</v>
      </c>
    </row>
    <row r="24" spans="1:5" ht="16.5" customHeight="1">
      <c r="A24" s="1048" t="s">
        <v>178</v>
      </c>
      <c r="B24" s="1049"/>
      <c r="C24" s="585">
        <v>-12695.5</v>
      </c>
      <c r="D24" s="585"/>
      <c r="E24" s="586"/>
    </row>
    <row r="25" spans="1:5" ht="16.5" customHeight="1">
      <c r="A25" s="1053"/>
      <c r="B25" s="1054"/>
      <c r="C25" s="587"/>
      <c r="D25" s="587"/>
      <c r="E25" s="588"/>
    </row>
    <row r="26" spans="1:5" ht="16.5" customHeight="1">
      <c r="A26" s="1053"/>
      <c r="B26" s="1054"/>
      <c r="C26" s="587"/>
      <c r="D26" s="587"/>
      <c r="E26" s="588"/>
    </row>
    <row r="27" spans="1:5" ht="16.5" customHeight="1">
      <c r="A27" s="1046"/>
      <c r="B27" s="1047"/>
      <c r="C27" s="582"/>
      <c r="D27" s="582"/>
      <c r="E27" s="583"/>
    </row>
    <row r="28" spans="1:11" s="224" customFormat="1" ht="22.5" customHeight="1" thickBot="1">
      <c r="A28" s="1042" t="s">
        <v>492</v>
      </c>
      <c r="B28" s="1043"/>
      <c r="C28" s="237">
        <f>C18+C23</f>
        <v>2304.5</v>
      </c>
      <c r="D28" s="237">
        <f>D18+D23</f>
        <v>10000</v>
      </c>
      <c r="E28" s="238"/>
      <c r="F28" s="844"/>
      <c r="G28" s="844"/>
      <c r="H28" s="844"/>
      <c r="I28" s="844"/>
      <c r="J28" s="844"/>
      <c r="K28" s="837"/>
    </row>
    <row r="29" spans="1:4" ht="21" customHeight="1">
      <c r="A29" s="1050"/>
      <c r="B29" s="1050"/>
      <c r="C29" s="1050"/>
      <c r="D29" s="1050"/>
    </row>
    <row r="30" spans="1:11" s="224" customFormat="1" ht="22.5" customHeight="1">
      <c r="A30" s="236"/>
      <c r="B30" s="236"/>
      <c r="C30" s="243"/>
      <c r="D30" s="243"/>
      <c r="E30" s="244"/>
      <c r="F30" s="844"/>
      <c r="G30" s="844"/>
      <c r="H30" s="844"/>
      <c r="I30" s="844"/>
      <c r="J30" s="844"/>
      <c r="K30" s="837"/>
    </row>
    <row r="31" spans="1:10" s="835" customFormat="1" ht="12.75" hidden="1">
      <c r="A31" s="867" t="s">
        <v>399</v>
      </c>
      <c r="F31" s="836"/>
      <c r="G31" s="836"/>
      <c r="H31" s="836"/>
      <c r="I31" s="836"/>
      <c r="J31" s="836"/>
    </row>
    <row r="32" spans="1:10" s="835" customFormat="1" ht="42" customHeight="1" hidden="1">
      <c r="A32" s="1067" t="s">
        <v>357</v>
      </c>
      <c r="B32" s="1067"/>
      <c r="C32" s="1067"/>
      <c r="D32" s="1067"/>
      <c r="E32" s="1067"/>
      <c r="F32" s="836"/>
      <c r="G32" s="836"/>
      <c r="H32" s="836"/>
      <c r="I32" s="836"/>
      <c r="J32" s="836"/>
    </row>
    <row r="33" spans="1:5" ht="27" customHeight="1" hidden="1">
      <c r="A33" s="1067" t="s">
        <v>360</v>
      </c>
      <c r="B33" s="1067"/>
      <c r="C33" s="1067"/>
      <c r="D33" s="1067"/>
      <c r="E33" s="1067"/>
    </row>
  </sheetData>
  <sheetProtection/>
  <mergeCells count="25"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  <mergeCell ref="A7:D7"/>
    <mergeCell ref="A9:E9"/>
    <mergeCell ref="A10:B10"/>
    <mergeCell ref="A8:D8"/>
    <mergeCell ref="A11:B11"/>
    <mergeCell ref="A14:B14"/>
    <mergeCell ref="A12:B12"/>
    <mergeCell ref="A13:B13"/>
    <mergeCell ref="A15:B15"/>
    <mergeCell ref="A17:B17"/>
    <mergeCell ref="A18:B18"/>
    <mergeCell ref="A24:B24"/>
    <mergeCell ref="A16:D16"/>
    <mergeCell ref="A23:B23"/>
    <mergeCell ref="A21:B2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55" zoomScaleNormal="55" zoomScalePageLayoutView="0" workbookViewId="0" topLeftCell="A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3.5">
      <c r="B1" s="222"/>
      <c r="C1" s="750" t="s">
        <v>426</v>
      </c>
      <c r="E1" s="245"/>
    </row>
    <row r="2" spans="2:5" ht="13.5">
      <c r="B2" s="222"/>
      <c r="C2" s="751" t="s">
        <v>427</v>
      </c>
      <c r="E2" s="245"/>
    </row>
    <row r="3" spans="2:5" ht="12.75">
      <c r="B3" s="222"/>
      <c r="C3" s="222"/>
      <c r="D3" s="222"/>
      <c r="E3" s="245"/>
    </row>
    <row r="4" spans="2:5" ht="13.5">
      <c r="B4" s="749" t="s">
        <v>260</v>
      </c>
      <c r="C4" s="754">
        <v>42339</v>
      </c>
      <c r="E4" s="245"/>
    </row>
    <row r="5" spans="2:5" ht="13.5">
      <c r="B5" s="749" t="s">
        <v>425</v>
      </c>
      <c r="C5" s="753" t="s">
        <v>428</v>
      </c>
      <c r="E5" s="245"/>
    </row>
    <row r="6" ht="26.25" customHeight="1" thickBot="1"/>
    <row r="7" spans="1:10" ht="21.75" customHeight="1">
      <c r="A7" s="948" t="s">
        <v>227</v>
      </c>
      <c r="B7" s="949"/>
      <c r="C7" s="949"/>
      <c r="D7" s="949"/>
      <c r="E7" s="949"/>
      <c r="F7" s="949"/>
      <c r="G7" s="949"/>
      <c r="H7" s="949"/>
      <c r="I7" s="1099">
        <v>2016</v>
      </c>
      <c r="J7" s="1100"/>
    </row>
    <row r="8" spans="1:10" ht="19.5" customHeight="1">
      <c r="A8" s="1095" t="s">
        <v>228</v>
      </c>
      <c r="B8" s="1096"/>
      <c r="C8" s="1096"/>
      <c r="D8" s="1096"/>
      <c r="E8" s="1096"/>
      <c r="F8" s="1096"/>
      <c r="G8" s="1096"/>
      <c r="H8" s="1096"/>
      <c r="I8" s="1101"/>
      <c r="J8" s="1102"/>
    </row>
    <row r="9" spans="1:10" ht="27.75" customHeight="1" thickBot="1">
      <c r="A9" s="1092" t="str">
        <f>CPYG!A8</f>
        <v>EMPRESA PÚBLICA: AUDITORIO DE TENERIFE, S.A.U.</v>
      </c>
      <c r="B9" s="1093"/>
      <c r="C9" s="1093"/>
      <c r="D9" s="1093"/>
      <c r="E9" s="1093"/>
      <c r="F9" s="1093"/>
      <c r="G9" s="1093"/>
      <c r="H9" s="1094"/>
      <c r="I9" s="1097" t="s">
        <v>242</v>
      </c>
      <c r="J9" s="1098"/>
    </row>
    <row r="10" spans="1:15" ht="18" customHeight="1">
      <c r="A10" s="1070" t="s">
        <v>476</v>
      </c>
      <c r="B10" s="1071"/>
      <c r="C10" s="1083" t="s">
        <v>560</v>
      </c>
      <c r="D10" s="1085"/>
      <c r="E10" s="1083" t="s">
        <v>561</v>
      </c>
      <c r="F10" s="1084"/>
      <c r="G10" s="1084"/>
      <c r="H10" s="1085"/>
      <c r="I10" s="1083" t="s">
        <v>562</v>
      </c>
      <c r="J10" s="1085"/>
      <c r="K10" s="267"/>
      <c r="L10" s="267"/>
      <c r="M10" s="267"/>
      <c r="N10" s="267"/>
      <c r="O10" s="267"/>
    </row>
    <row r="11" spans="1:15" ht="21" customHeight="1">
      <c r="A11" s="1070"/>
      <c r="B11" s="1071"/>
      <c r="C11" s="268"/>
      <c r="D11" s="269"/>
      <c r="E11" s="1086" t="s">
        <v>243</v>
      </c>
      <c r="F11" s="1088" t="s">
        <v>113</v>
      </c>
      <c r="G11" s="1089"/>
      <c r="H11" s="1081" t="s">
        <v>244</v>
      </c>
      <c r="I11" s="268"/>
      <c r="J11" s="269"/>
      <c r="K11" s="267"/>
      <c r="L11" s="267"/>
      <c r="M11" s="267"/>
      <c r="N11" s="267"/>
      <c r="O11" s="267"/>
    </row>
    <row r="12" spans="1:15" ht="27" customHeight="1">
      <c r="A12" s="1072"/>
      <c r="B12" s="1073"/>
      <c r="C12" s="270" t="s">
        <v>245</v>
      </c>
      <c r="D12" s="271" t="s">
        <v>246</v>
      </c>
      <c r="E12" s="1087"/>
      <c r="F12" s="272" t="s">
        <v>247</v>
      </c>
      <c r="G12" s="272" t="s">
        <v>248</v>
      </c>
      <c r="H12" s="1082"/>
      <c r="I12" s="270" t="s">
        <v>249</v>
      </c>
      <c r="J12" s="271" t="s">
        <v>246</v>
      </c>
      <c r="K12" s="267"/>
      <c r="L12" s="267"/>
      <c r="M12" s="267"/>
      <c r="N12" s="267"/>
      <c r="O12" s="267"/>
    </row>
    <row r="13" spans="1:10" ht="12.75">
      <c r="A13" s="1076" t="s">
        <v>250</v>
      </c>
      <c r="B13" s="1080"/>
      <c r="C13" s="273"/>
      <c r="D13" s="274"/>
      <c r="E13" s="273"/>
      <c r="F13" s="275"/>
      <c r="G13" s="275"/>
      <c r="H13" s="274"/>
      <c r="I13" s="273"/>
      <c r="J13" s="274"/>
    </row>
    <row r="14" spans="1:10" ht="12.75">
      <c r="A14" s="227"/>
      <c r="B14" s="158" t="s">
        <v>251</v>
      </c>
      <c r="C14" s="218"/>
      <c r="D14" s="217"/>
      <c r="E14" s="218"/>
      <c r="F14" s="216"/>
      <c r="G14" s="216"/>
      <c r="H14" s="217"/>
      <c r="I14" s="218">
        <f>C14+E14+F14+G14</f>
        <v>0</v>
      </c>
      <c r="J14" s="217"/>
    </row>
    <row r="15" spans="1:10" ht="12.75">
      <c r="A15" s="227"/>
      <c r="B15" s="158" t="s">
        <v>252</v>
      </c>
      <c r="C15" s="218"/>
      <c r="D15" s="217"/>
      <c r="E15" s="218"/>
      <c r="F15" s="216"/>
      <c r="G15" s="216"/>
      <c r="H15" s="217"/>
      <c r="I15" s="218">
        <f>C15+E15+F15+G15</f>
        <v>0</v>
      </c>
      <c r="J15" s="217"/>
    </row>
    <row r="16" spans="1:10" ht="12.75">
      <c r="A16" s="227"/>
      <c r="B16" s="158" t="s">
        <v>253</v>
      </c>
      <c r="C16" s="218"/>
      <c r="D16" s="217"/>
      <c r="E16" s="218"/>
      <c r="F16" s="216"/>
      <c r="G16" s="216"/>
      <c r="H16" s="217"/>
      <c r="I16" s="218">
        <f>C16+E16+F16+G16</f>
        <v>0</v>
      </c>
      <c r="J16" s="217"/>
    </row>
    <row r="17" spans="1:10" ht="12.75">
      <c r="A17" s="227"/>
      <c r="B17" s="158" t="s">
        <v>254</v>
      </c>
      <c r="C17" s="218"/>
      <c r="D17" s="217"/>
      <c r="E17" s="218"/>
      <c r="F17" s="216"/>
      <c r="G17" s="216"/>
      <c r="H17" s="217"/>
      <c r="I17" s="218">
        <f>C17+E17+F17+G17</f>
        <v>0</v>
      </c>
      <c r="J17" s="217"/>
    </row>
    <row r="18" spans="1:10" ht="12.75">
      <c r="A18" s="1076" t="s">
        <v>255</v>
      </c>
      <c r="B18" s="1077"/>
      <c r="C18" s="273"/>
      <c r="D18" s="274"/>
      <c r="E18" s="273"/>
      <c r="F18" s="275"/>
      <c r="G18" s="275"/>
      <c r="H18" s="274"/>
      <c r="I18" s="273"/>
      <c r="J18" s="274"/>
    </row>
    <row r="19" spans="1:10" ht="12.75">
      <c r="A19" s="1078" t="s">
        <v>257</v>
      </c>
      <c r="B19" s="1079"/>
      <c r="C19" s="273"/>
      <c r="D19" s="274"/>
      <c r="E19" s="273"/>
      <c r="F19" s="275"/>
      <c r="G19" s="275"/>
      <c r="H19" s="274"/>
      <c r="I19" s="273"/>
      <c r="J19" s="274"/>
    </row>
    <row r="20" spans="1:10" ht="12.75">
      <c r="A20" s="227"/>
      <c r="B20" s="158" t="s">
        <v>258</v>
      </c>
      <c r="C20" s="218"/>
      <c r="D20" s="217"/>
      <c r="E20" s="218"/>
      <c r="F20" s="216"/>
      <c r="G20" s="216"/>
      <c r="H20" s="217"/>
      <c r="I20" s="218">
        <f aca="true" t="shared" si="0" ref="I20:I25">C20+E20+F20+G20</f>
        <v>0</v>
      </c>
      <c r="J20" s="217"/>
    </row>
    <row r="21" spans="1:10" ht="12.75">
      <c r="A21" s="227"/>
      <c r="B21" s="158" t="s">
        <v>259</v>
      </c>
      <c r="C21" s="218"/>
      <c r="D21" s="217"/>
      <c r="E21" s="218"/>
      <c r="F21" s="216"/>
      <c r="G21" s="216"/>
      <c r="H21" s="217"/>
      <c r="I21" s="218">
        <f t="shared" si="0"/>
        <v>0</v>
      </c>
      <c r="J21" s="217"/>
    </row>
    <row r="22" spans="1:10" ht="12.75">
      <c r="A22" s="227"/>
      <c r="B22" s="158" t="s">
        <v>264</v>
      </c>
      <c r="C22" s="218"/>
      <c r="D22" s="217"/>
      <c r="E22" s="218"/>
      <c r="F22" s="216"/>
      <c r="G22" s="216"/>
      <c r="H22" s="217"/>
      <c r="I22" s="218">
        <f t="shared" si="0"/>
        <v>0</v>
      </c>
      <c r="J22" s="217"/>
    </row>
    <row r="23" spans="1:10" ht="12.75">
      <c r="A23" s="227"/>
      <c r="B23" s="158" t="s">
        <v>266</v>
      </c>
      <c r="C23" s="218"/>
      <c r="D23" s="217"/>
      <c r="E23" s="218"/>
      <c r="F23" s="216"/>
      <c r="G23" s="216"/>
      <c r="H23" s="217"/>
      <c r="I23" s="218">
        <f t="shared" si="0"/>
        <v>0</v>
      </c>
      <c r="J23" s="217"/>
    </row>
    <row r="24" spans="1:10" ht="12.75">
      <c r="A24" s="227"/>
      <c r="B24" s="158" t="s">
        <v>267</v>
      </c>
      <c r="C24" s="218"/>
      <c r="D24" s="217"/>
      <c r="E24" s="218"/>
      <c r="F24" s="216"/>
      <c r="G24" s="216"/>
      <c r="H24" s="217"/>
      <c r="I24" s="218">
        <f t="shared" si="0"/>
        <v>0</v>
      </c>
      <c r="J24" s="217"/>
    </row>
    <row r="25" spans="1:10" ht="12.75">
      <c r="A25" s="227"/>
      <c r="B25" s="158" t="s">
        <v>268</v>
      </c>
      <c r="C25" s="218"/>
      <c r="D25" s="217"/>
      <c r="E25" s="218"/>
      <c r="F25" s="216"/>
      <c r="G25" s="216"/>
      <c r="H25" s="217"/>
      <c r="I25" s="218">
        <f t="shared" si="0"/>
        <v>0</v>
      </c>
      <c r="J25" s="217"/>
    </row>
    <row r="26" spans="1:10" ht="12.75">
      <c r="A26" s="1078" t="s">
        <v>287</v>
      </c>
      <c r="B26" s="1079"/>
      <c r="C26" s="273"/>
      <c r="D26" s="274"/>
      <c r="E26" s="273"/>
      <c r="F26" s="275"/>
      <c r="G26" s="275"/>
      <c r="H26" s="274"/>
      <c r="I26" s="273"/>
      <c r="J26" s="274"/>
    </row>
    <row r="27" spans="1:10" ht="12.75">
      <c r="A27" s="227"/>
      <c r="B27" s="158" t="s">
        <v>258</v>
      </c>
      <c r="C27" s="218"/>
      <c r="D27" s="217"/>
      <c r="E27" s="218"/>
      <c r="F27" s="216"/>
      <c r="G27" s="216"/>
      <c r="H27" s="217"/>
      <c r="I27" s="218">
        <f aca="true" t="shared" si="1" ref="I27:I32">C27+E27+F27+G27</f>
        <v>0</v>
      </c>
      <c r="J27" s="217"/>
    </row>
    <row r="28" spans="1:10" ht="12.75">
      <c r="A28" s="227"/>
      <c r="B28" s="158" t="s">
        <v>259</v>
      </c>
      <c r="C28" s="218"/>
      <c r="D28" s="217"/>
      <c r="E28" s="218"/>
      <c r="F28" s="216"/>
      <c r="G28" s="216"/>
      <c r="H28" s="217"/>
      <c r="I28" s="218">
        <f t="shared" si="1"/>
        <v>0</v>
      </c>
      <c r="J28" s="217"/>
    </row>
    <row r="29" spans="1:10" ht="12.75">
      <c r="A29" s="227"/>
      <c r="B29" s="158" t="s">
        <v>264</v>
      </c>
      <c r="C29" s="218"/>
      <c r="D29" s="217"/>
      <c r="E29" s="218"/>
      <c r="F29" s="216"/>
      <c r="G29" s="216"/>
      <c r="H29" s="217"/>
      <c r="I29" s="218">
        <f t="shared" si="1"/>
        <v>0</v>
      </c>
      <c r="J29" s="217"/>
    </row>
    <row r="30" spans="1:10" ht="12.75">
      <c r="A30" s="227"/>
      <c r="B30" s="158" t="s">
        <v>266</v>
      </c>
      <c r="C30" s="218"/>
      <c r="D30" s="217"/>
      <c r="E30" s="218"/>
      <c r="F30" s="216"/>
      <c r="G30" s="216"/>
      <c r="H30" s="217"/>
      <c r="I30" s="218">
        <f t="shared" si="1"/>
        <v>0</v>
      </c>
      <c r="J30" s="217"/>
    </row>
    <row r="31" spans="1:10" ht="12.75">
      <c r="A31" s="227"/>
      <c r="B31" s="158" t="s">
        <v>267</v>
      </c>
      <c r="C31" s="218"/>
      <c r="D31" s="217"/>
      <c r="E31" s="218"/>
      <c r="F31" s="216"/>
      <c r="G31" s="216"/>
      <c r="H31" s="217"/>
      <c r="I31" s="218">
        <f t="shared" si="1"/>
        <v>0</v>
      </c>
      <c r="J31" s="217"/>
    </row>
    <row r="32" spans="1:10" ht="12.75">
      <c r="A32" s="227"/>
      <c r="B32" s="158" t="s">
        <v>268</v>
      </c>
      <c r="C32" s="218"/>
      <c r="D32" s="217"/>
      <c r="E32" s="218"/>
      <c r="F32" s="216"/>
      <c r="G32" s="216"/>
      <c r="H32" s="217"/>
      <c r="I32" s="218">
        <f t="shared" si="1"/>
        <v>0</v>
      </c>
      <c r="J32" s="217"/>
    </row>
    <row r="33" spans="1:10" ht="12.75">
      <c r="A33" s="1078" t="s">
        <v>288</v>
      </c>
      <c r="B33" s="1079"/>
      <c r="C33" s="273"/>
      <c r="D33" s="274"/>
      <c r="E33" s="273"/>
      <c r="F33" s="275"/>
      <c r="G33" s="275"/>
      <c r="H33" s="274"/>
      <c r="I33" s="273"/>
      <c r="J33" s="274"/>
    </row>
    <row r="34" spans="1:10" ht="12.75">
      <c r="A34" s="227"/>
      <c r="B34" s="158" t="s">
        <v>258</v>
      </c>
      <c r="C34" s="218"/>
      <c r="D34" s="217"/>
      <c r="E34" s="218"/>
      <c r="F34" s="216"/>
      <c r="G34" s="216"/>
      <c r="H34" s="217"/>
      <c r="I34" s="218">
        <f aca="true" t="shared" si="2" ref="I34:I39">C34+E34+F34+G34</f>
        <v>0</v>
      </c>
      <c r="J34" s="217"/>
    </row>
    <row r="35" spans="1:10" ht="12.75">
      <c r="A35" s="227"/>
      <c r="B35" s="158" t="s">
        <v>259</v>
      </c>
      <c r="C35" s="218"/>
      <c r="D35" s="217"/>
      <c r="E35" s="218"/>
      <c r="F35" s="216"/>
      <c r="G35" s="216"/>
      <c r="H35" s="217"/>
      <c r="I35" s="218">
        <f t="shared" si="2"/>
        <v>0</v>
      </c>
      <c r="J35" s="217"/>
    </row>
    <row r="36" spans="1:10" ht="12.75">
      <c r="A36" s="227"/>
      <c r="B36" s="158" t="s">
        <v>264</v>
      </c>
      <c r="C36" s="218"/>
      <c r="D36" s="217"/>
      <c r="E36" s="218"/>
      <c r="F36" s="216"/>
      <c r="G36" s="216"/>
      <c r="H36" s="217"/>
      <c r="I36" s="218">
        <f t="shared" si="2"/>
        <v>0</v>
      </c>
      <c r="J36" s="217"/>
    </row>
    <row r="37" spans="1:10" ht="12.75">
      <c r="A37" s="227"/>
      <c r="B37" s="158" t="s">
        <v>266</v>
      </c>
      <c r="C37" s="218"/>
      <c r="D37" s="217"/>
      <c r="E37" s="218"/>
      <c r="F37" s="216"/>
      <c r="G37" s="216"/>
      <c r="H37" s="217"/>
      <c r="I37" s="218">
        <f t="shared" si="2"/>
        <v>0</v>
      </c>
      <c r="J37" s="217"/>
    </row>
    <row r="38" spans="1:10" ht="12.75">
      <c r="A38" s="227"/>
      <c r="B38" s="158" t="s">
        <v>267</v>
      </c>
      <c r="C38" s="218"/>
      <c r="D38" s="217"/>
      <c r="E38" s="218"/>
      <c r="F38" s="216"/>
      <c r="G38" s="216"/>
      <c r="H38" s="217"/>
      <c r="I38" s="218">
        <f t="shared" si="2"/>
        <v>0</v>
      </c>
      <c r="J38" s="217"/>
    </row>
    <row r="39" spans="1:10" ht="12.75">
      <c r="A39" s="227"/>
      <c r="B39" s="158" t="s">
        <v>268</v>
      </c>
      <c r="C39" s="218"/>
      <c r="D39" s="217"/>
      <c r="E39" s="218"/>
      <c r="F39" s="216"/>
      <c r="G39" s="216"/>
      <c r="H39" s="217"/>
      <c r="I39" s="218">
        <f t="shared" si="2"/>
        <v>0</v>
      </c>
      <c r="J39" s="217"/>
    </row>
    <row r="40" spans="1:10" ht="12.75">
      <c r="A40" s="1078" t="s">
        <v>289</v>
      </c>
      <c r="B40" s="1079"/>
      <c r="C40" s="508"/>
      <c r="D40" s="508"/>
      <c r="E40" s="273"/>
      <c r="F40" s="275"/>
      <c r="G40" s="275"/>
      <c r="H40" s="274"/>
      <c r="I40" s="273"/>
      <c r="J40" s="274"/>
    </row>
    <row r="41" spans="1:10" ht="12.75">
      <c r="A41" s="1076" t="s">
        <v>290</v>
      </c>
      <c r="B41" s="1077"/>
      <c r="C41" s="273"/>
      <c r="D41" s="274"/>
      <c r="E41" s="273"/>
      <c r="F41" s="275"/>
      <c r="G41" s="275"/>
      <c r="H41" s="274"/>
      <c r="I41" s="273"/>
      <c r="J41" s="274"/>
    </row>
    <row r="42" spans="1:10" ht="12.75">
      <c r="A42" s="227"/>
      <c r="B42" s="158" t="s">
        <v>291</v>
      </c>
      <c r="C42" s="218"/>
      <c r="D42" s="217"/>
      <c r="E42" s="218"/>
      <c r="F42" s="216"/>
      <c r="G42" s="216"/>
      <c r="H42" s="217"/>
      <c r="I42" s="218">
        <f>C42+E42+F42+G42</f>
        <v>0</v>
      </c>
      <c r="J42" s="217"/>
    </row>
    <row r="43" spans="1:10" ht="12.75">
      <c r="A43" s="227"/>
      <c r="B43" s="158" t="s">
        <v>292</v>
      </c>
      <c r="C43" s="218"/>
      <c r="D43" s="217"/>
      <c r="E43" s="218"/>
      <c r="F43" s="216"/>
      <c r="G43" s="216"/>
      <c r="H43" s="217"/>
      <c r="I43" s="218">
        <f>C43+E43+F43+G43</f>
        <v>0</v>
      </c>
      <c r="J43" s="217"/>
    </row>
    <row r="44" spans="1:10" ht="12.75">
      <c r="A44" s="227"/>
      <c r="B44" s="158" t="s">
        <v>293</v>
      </c>
      <c r="C44" s="218"/>
      <c r="D44" s="217"/>
      <c r="E44" s="218"/>
      <c r="F44" s="216"/>
      <c r="G44" s="216"/>
      <c r="H44" s="217"/>
      <c r="I44" s="218">
        <f>C44+E44+F44+G44</f>
        <v>0</v>
      </c>
      <c r="J44" s="217"/>
    </row>
    <row r="45" spans="1:10" ht="12.75">
      <c r="A45" s="1076" t="s">
        <v>294</v>
      </c>
      <c r="B45" s="1077"/>
      <c r="C45" s="273"/>
      <c r="D45" s="274"/>
      <c r="E45" s="273"/>
      <c r="F45" s="275"/>
      <c r="G45" s="275"/>
      <c r="H45" s="274"/>
      <c r="I45" s="273"/>
      <c r="J45" s="274"/>
    </row>
    <row r="46" spans="1:10" ht="12.75">
      <c r="A46" s="1074" t="s">
        <v>295</v>
      </c>
      <c r="B46" s="1075"/>
      <c r="C46" s="218"/>
      <c r="D46" s="217"/>
      <c r="E46" s="218"/>
      <c r="F46" s="216"/>
      <c r="G46" s="216"/>
      <c r="H46" s="217"/>
      <c r="I46" s="218">
        <f aca="true" t="shared" si="3" ref="I46:I51">C46+E46+F46+G46</f>
        <v>0</v>
      </c>
      <c r="J46" s="217"/>
    </row>
    <row r="47" spans="1:10" ht="12.75">
      <c r="A47" s="1090" t="s">
        <v>296</v>
      </c>
      <c r="B47" s="1091"/>
      <c r="C47" s="218"/>
      <c r="D47" s="217"/>
      <c r="E47" s="218"/>
      <c r="F47" s="216"/>
      <c r="G47" s="216"/>
      <c r="H47" s="217"/>
      <c r="I47" s="218">
        <f t="shared" si="3"/>
        <v>0</v>
      </c>
      <c r="J47" s="217"/>
    </row>
    <row r="48" spans="1:10" ht="12.75">
      <c r="A48" s="1074" t="s">
        <v>297</v>
      </c>
      <c r="B48" s="1075"/>
      <c r="C48" s="218"/>
      <c r="D48" s="217"/>
      <c r="E48" s="218"/>
      <c r="F48" s="216"/>
      <c r="G48" s="216"/>
      <c r="H48" s="217"/>
      <c r="I48" s="218">
        <f t="shared" si="3"/>
        <v>0</v>
      </c>
      <c r="J48" s="217"/>
    </row>
    <row r="49" spans="1:10" ht="12.75">
      <c r="A49" s="1074" t="s">
        <v>298</v>
      </c>
      <c r="B49" s="1075"/>
      <c r="C49" s="218">
        <v>18502.05</v>
      </c>
      <c r="D49" s="217"/>
      <c r="E49" s="218">
        <v>236744.24</v>
      </c>
      <c r="F49" s="216">
        <v>-235611.96</v>
      </c>
      <c r="G49" s="216"/>
      <c r="H49" s="217"/>
      <c r="I49" s="218">
        <f t="shared" si="3"/>
        <v>19634.329999999987</v>
      </c>
      <c r="J49" s="217"/>
    </row>
    <row r="50" spans="1:10" ht="12.75">
      <c r="A50" s="1074" t="s">
        <v>299</v>
      </c>
      <c r="B50" s="1075"/>
      <c r="C50" s="218">
        <v>82531</v>
      </c>
      <c r="D50" s="217"/>
      <c r="E50" s="218">
        <v>229441.96</v>
      </c>
      <c r="F50" s="216">
        <v>-231556.96</v>
      </c>
      <c r="G50" s="216"/>
      <c r="H50" s="217"/>
      <c r="I50" s="218">
        <f t="shared" si="3"/>
        <v>80415.99999999997</v>
      </c>
      <c r="J50" s="217"/>
    </row>
    <row r="51" spans="1:10" ht="12.75">
      <c r="A51" s="1074" t="s">
        <v>300</v>
      </c>
      <c r="B51" s="1075"/>
      <c r="C51" s="218"/>
      <c r="D51" s="217"/>
      <c r="E51" s="218"/>
      <c r="F51" s="216"/>
      <c r="G51" s="216"/>
      <c r="H51" s="217"/>
      <c r="I51" s="218">
        <f t="shared" si="3"/>
        <v>0</v>
      </c>
      <c r="J51" s="217"/>
    </row>
    <row r="52" spans="1:10" ht="12.75">
      <c r="A52" s="1076" t="s">
        <v>301</v>
      </c>
      <c r="B52" s="1077"/>
      <c r="C52" s="273"/>
      <c r="D52" s="274"/>
      <c r="E52" s="273"/>
      <c r="F52" s="275"/>
      <c r="G52" s="275"/>
      <c r="H52" s="274"/>
      <c r="I52" s="273"/>
      <c r="J52" s="274"/>
    </row>
    <row r="53" spans="1:10" ht="12.75">
      <c r="A53" s="1074" t="s">
        <v>302</v>
      </c>
      <c r="B53" s="1075"/>
      <c r="C53" s="218"/>
      <c r="D53" s="217"/>
      <c r="E53" s="218"/>
      <c r="F53" s="216"/>
      <c r="G53" s="216"/>
      <c r="H53" s="217"/>
      <c r="I53" s="218">
        <f>C53+E53+F53+G53</f>
        <v>0</v>
      </c>
      <c r="J53" s="217"/>
    </row>
    <row r="54" spans="1:10" ht="12.75">
      <c r="A54" s="1074" t="s">
        <v>303</v>
      </c>
      <c r="B54" s="1075"/>
      <c r="C54" s="218"/>
      <c r="D54" s="217"/>
      <c r="E54" s="218"/>
      <c r="F54" s="216"/>
      <c r="G54" s="216"/>
      <c r="H54" s="217"/>
      <c r="I54" s="218">
        <f>C54+E54+F54+G54</f>
        <v>0</v>
      </c>
      <c r="J54" s="217"/>
    </row>
    <row r="55" spans="1:10" ht="12.75">
      <c r="A55" s="1074" t="s">
        <v>304</v>
      </c>
      <c r="B55" s="1075"/>
      <c r="C55" s="218"/>
      <c r="D55" s="217"/>
      <c r="E55" s="218"/>
      <c r="F55" s="216"/>
      <c r="G55" s="216"/>
      <c r="H55" s="217"/>
      <c r="I55" s="218">
        <f>C55+E55+F55+G55</f>
        <v>0</v>
      </c>
      <c r="J55" s="217"/>
    </row>
    <row r="56" spans="1:10" ht="12.75">
      <c r="A56" s="227" t="s">
        <v>305</v>
      </c>
      <c r="B56" s="158"/>
      <c r="C56" s="218"/>
      <c r="D56" s="217"/>
      <c r="E56" s="218"/>
      <c r="F56" s="216"/>
      <c r="G56" s="216"/>
      <c r="H56" s="217"/>
      <c r="I56" s="218">
        <f>C56+E56+F56+G56</f>
        <v>0</v>
      </c>
      <c r="J56" s="217"/>
    </row>
    <row r="57" spans="1:10" ht="13.5" thickBot="1">
      <c r="A57" s="1068" t="s">
        <v>306</v>
      </c>
      <c r="B57" s="1069"/>
      <c r="C57" s="221"/>
      <c r="D57" s="220"/>
      <c r="E57" s="221"/>
      <c r="F57" s="219"/>
      <c r="G57" s="219"/>
      <c r="H57" s="220"/>
      <c r="I57" s="221">
        <f>C57+E57+F57+G57</f>
        <v>0</v>
      </c>
      <c r="J57" s="220"/>
    </row>
  </sheetData>
  <sheetProtection/>
  <mergeCells count="31">
    <mergeCell ref="I10:J10"/>
    <mergeCell ref="A7:H7"/>
    <mergeCell ref="A9:H9"/>
    <mergeCell ref="A8:H8"/>
    <mergeCell ref="I9:J9"/>
    <mergeCell ref="I7:J8"/>
    <mergeCell ref="C10:D10"/>
    <mergeCell ref="A54:B54"/>
    <mergeCell ref="A55:B55"/>
    <mergeCell ref="A33:B33"/>
    <mergeCell ref="A40:B40"/>
    <mergeCell ref="A41:B41"/>
    <mergeCell ref="A45:B45"/>
    <mergeCell ref="A46:B46"/>
    <mergeCell ref="A47:B47"/>
    <mergeCell ref="A48:B48"/>
    <mergeCell ref="A49:B49"/>
    <mergeCell ref="H11:H12"/>
    <mergeCell ref="E10:H10"/>
    <mergeCell ref="E11:E12"/>
    <mergeCell ref="F11:G11"/>
    <mergeCell ref="A57:B57"/>
    <mergeCell ref="A10:B12"/>
    <mergeCell ref="A50:B50"/>
    <mergeCell ref="A51:B51"/>
    <mergeCell ref="A52:B52"/>
    <mergeCell ref="A53:B53"/>
    <mergeCell ref="A19:B19"/>
    <mergeCell ref="A26:B26"/>
    <mergeCell ref="A13:B13"/>
    <mergeCell ref="A18:B18"/>
  </mergeCells>
  <printOptions horizontalCentered="1" verticalCentered="1"/>
  <pageMargins left="0.7480314960629921" right="0.2362204724409449" top="0.79" bottom="0.61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10.28125" style="276" customWidth="1"/>
    <col min="2" max="2" width="19.8515625" style="276" hidden="1" customWidth="1"/>
    <col min="3" max="3" width="12.140625" style="276" customWidth="1"/>
    <col min="4" max="4" width="16.421875" style="276" customWidth="1"/>
    <col min="5" max="5" width="10.57421875" style="276" customWidth="1"/>
    <col min="6" max="6" width="11.28125" style="276" customWidth="1"/>
    <col min="7" max="8" width="13.57421875" style="276" customWidth="1"/>
    <col min="9" max="9" width="16.57421875" style="276" customWidth="1"/>
    <col min="10" max="10" width="17.28125" style="276" customWidth="1"/>
    <col min="11" max="11" width="13.28125" style="276" customWidth="1"/>
    <col min="12" max="12" width="15.421875" style="276" customWidth="1"/>
    <col min="13" max="13" width="15.57421875" style="276" customWidth="1"/>
    <col min="14" max="14" width="16.7109375" style="276" customWidth="1"/>
    <col min="15" max="15" width="12.57421875" style="276" customWidth="1"/>
    <col min="16" max="16" width="0" style="276" hidden="1" customWidth="1"/>
    <col min="17" max="17" width="17.140625" style="277" hidden="1" customWidth="1"/>
    <col min="18" max="18" width="17.421875" style="277" hidden="1" customWidth="1"/>
    <col min="19" max="19" width="0.9921875" style="277" hidden="1" customWidth="1"/>
    <col min="20" max="16384" width="11.57421875" style="276" customWidth="1"/>
  </cols>
  <sheetData>
    <row r="1" ht="13.5">
      <c r="G1" s="750" t="s">
        <v>426</v>
      </c>
    </row>
    <row r="2" ht="13.5">
      <c r="G2" s="751" t="s">
        <v>427</v>
      </c>
    </row>
    <row r="4" spans="1:7" ht="13.5">
      <c r="A4" s="749" t="s">
        <v>260</v>
      </c>
      <c r="G4" s="754">
        <v>42339</v>
      </c>
    </row>
    <row r="5" spans="1:7" ht="13.5">
      <c r="A5" s="749" t="s">
        <v>425</v>
      </c>
      <c r="G5" s="753" t="s">
        <v>428</v>
      </c>
    </row>
    <row r="6" spans="1:14" ht="24.75" customHeight="1" thickBot="1">
      <c r="A6" s="315"/>
      <c r="N6" s="316"/>
    </row>
    <row r="7" spans="1:19" s="293" customFormat="1" ht="36" customHeight="1" thickBot="1">
      <c r="A7" s="1124" t="s">
        <v>461</v>
      </c>
      <c r="B7" s="1125"/>
      <c r="C7" s="1125"/>
      <c r="D7" s="1125"/>
      <c r="E7" s="1125"/>
      <c r="F7" s="1125"/>
      <c r="G7" s="1125"/>
      <c r="H7" s="1125"/>
      <c r="I7" s="1125"/>
      <c r="J7" s="1125"/>
      <c r="K7" s="1125"/>
      <c r="L7" s="1125"/>
      <c r="M7" s="1126"/>
      <c r="N7" s="1113">
        <f>CPYG!D7</f>
        <v>2016</v>
      </c>
      <c r="O7" s="1114"/>
      <c r="Q7" s="295"/>
      <c r="R7" s="295"/>
      <c r="S7" s="295"/>
    </row>
    <row r="8" spans="1:15" ht="25.5" customHeight="1" thickBot="1">
      <c r="A8" s="1121" t="str">
        <f>CPYG!A8</f>
        <v>EMPRESA PÚBLICA: AUDITORIO DE TENERIFE, S.A.U.</v>
      </c>
      <c r="B8" s="1122"/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3"/>
      <c r="N8" s="1121" t="s">
        <v>175</v>
      </c>
      <c r="O8" s="1123"/>
    </row>
    <row r="9" spans="1:15" ht="24.75" customHeight="1">
      <c r="A9" s="1115" t="s">
        <v>119</v>
      </c>
      <c r="B9" s="1116"/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7"/>
    </row>
    <row r="10" spans="1:16" ht="48" customHeight="1">
      <c r="A10" s="1103" t="s">
        <v>371</v>
      </c>
      <c r="B10" s="1104"/>
      <c r="C10" s="1105"/>
      <c r="D10" s="1119" t="s">
        <v>732</v>
      </c>
      <c r="E10" s="1105"/>
      <c r="F10" s="279" t="s">
        <v>733</v>
      </c>
      <c r="G10" s="1118" t="s">
        <v>734</v>
      </c>
      <c r="H10" s="1118"/>
      <c r="I10" s="1118"/>
      <c r="J10" s="1119" t="s">
        <v>735</v>
      </c>
      <c r="K10" s="1105"/>
      <c r="L10" s="1119" t="s">
        <v>563</v>
      </c>
      <c r="M10" s="1105"/>
      <c r="N10" s="1119" t="s">
        <v>564</v>
      </c>
      <c r="O10" s="1120"/>
      <c r="P10" s="280"/>
    </row>
    <row r="11" spans="1:15" ht="19.5" customHeight="1">
      <c r="A11" s="1106"/>
      <c r="B11" s="1107"/>
      <c r="C11" s="1108"/>
      <c r="D11" s="1110"/>
      <c r="E11" s="1112"/>
      <c r="F11" s="281"/>
      <c r="G11" s="1127"/>
      <c r="H11" s="1128"/>
      <c r="I11" s="1129"/>
      <c r="J11" s="1110"/>
      <c r="K11" s="1112"/>
      <c r="L11" s="1110"/>
      <c r="M11" s="1112"/>
      <c r="N11" s="1110"/>
      <c r="O11" s="1136"/>
    </row>
    <row r="12" spans="1:15" ht="19.5" customHeight="1">
      <c r="A12" s="1106"/>
      <c r="B12" s="1107"/>
      <c r="C12" s="1108"/>
      <c r="D12" s="1110"/>
      <c r="E12" s="1112"/>
      <c r="F12" s="281"/>
      <c r="G12" s="1109"/>
      <c r="H12" s="1109"/>
      <c r="I12" s="1109"/>
      <c r="J12" s="1110"/>
      <c r="K12" s="1112"/>
      <c r="L12" s="1110"/>
      <c r="M12" s="1111"/>
      <c r="N12" s="1110"/>
      <c r="O12" s="1136"/>
    </row>
    <row r="13" spans="1:15" ht="19.5" customHeight="1">
      <c r="A13" s="1106"/>
      <c r="B13" s="1107"/>
      <c r="C13" s="1108"/>
      <c r="D13" s="1110"/>
      <c r="E13" s="1112"/>
      <c r="F13" s="281"/>
      <c r="G13" s="1109"/>
      <c r="H13" s="1109"/>
      <c r="I13" s="1109"/>
      <c r="J13" s="1110"/>
      <c r="K13" s="1112"/>
      <c r="L13" s="1110"/>
      <c r="M13" s="1111"/>
      <c r="N13" s="1110"/>
      <c r="O13" s="1136"/>
    </row>
    <row r="14" spans="1:15" ht="19.5" customHeight="1">
      <c r="A14" s="1106"/>
      <c r="B14" s="1107"/>
      <c r="C14" s="1108"/>
      <c r="D14" s="1110"/>
      <c r="E14" s="1112"/>
      <c r="F14" s="281"/>
      <c r="G14" s="1109"/>
      <c r="H14" s="1109"/>
      <c r="I14" s="1109"/>
      <c r="J14" s="1110"/>
      <c r="K14" s="1112"/>
      <c r="L14" s="1110"/>
      <c r="M14" s="1111"/>
      <c r="N14" s="1110"/>
      <c r="O14" s="1136"/>
    </row>
    <row r="15" spans="1:15" ht="19.5" customHeight="1">
      <c r="A15" s="1106"/>
      <c r="B15" s="1107"/>
      <c r="C15" s="1108"/>
      <c r="D15" s="1110"/>
      <c r="E15" s="1112"/>
      <c r="F15" s="283"/>
      <c r="G15" s="1109"/>
      <c r="H15" s="1109"/>
      <c r="I15" s="1109"/>
      <c r="J15" s="1110"/>
      <c r="K15" s="1112"/>
      <c r="L15" s="1110"/>
      <c r="M15" s="1111"/>
      <c r="N15" s="1110"/>
      <c r="O15" s="1136"/>
    </row>
    <row r="16" spans="1:15" ht="24.75" customHeight="1">
      <c r="A16" s="1132" t="s">
        <v>168</v>
      </c>
      <c r="B16" s="1133"/>
      <c r="C16" s="1133"/>
      <c r="D16" s="1133"/>
      <c r="E16" s="1133"/>
      <c r="F16" s="1133"/>
      <c r="G16" s="1133"/>
      <c r="H16" s="1133"/>
      <c r="I16" s="1133"/>
      <c r="J16" s="1133"/>
      <c r="K16" s="1133"/>
      <c r="L16" s="1133"/>
      <c r="M16" s="1133"/>
      <c r="N16" s="1133"/>
      <c r="O16" s="1134"/>
    </row>
    <row r="17" spans="1:15" ht="40.5" customHeight="1">
      <c r="A17" s="1135" t="s">
        <v>736</v>
      </c>
      <c r="B17" s="279"/>
      <c r="C17" s="1118" t="s">
        <v>737</v>
      </c>
      <c r="D17" s="1138" t="s">
        <v>738</v>
      </c>
      <c r="E17" s="1139"/>
      <c r="F17" s="1118" t="s">
        <v>739</v>
      </c>
      <c r="G17" s="1130" t="s">
        <v>368</v>
      </c>
      <c r="H17" s="1130" t="s">
        <v>369</v>
      </c>
      <c r="I17" s="1119" t="s">
        <v>565</v>
      </c>
      <c r="J17" s="1105"/>
      <c r="K17" s="1119" t="s">
        <v>559</v>
      </c>
      <c r="L17" s="1104"/>
      <c r="M17" s="1105"/>
      <c r="N17" s="1118" t="s">
        <v>571</v>
      </c>
      <c r="O17" s="1137"/>
    </row>
    <row r="18" spans="1:19" ht="60" customHeight="1">
      <c r="A18" s="1135"/>
      <c r="B18" s="279"/>
      <c r="C18" s="1118"/>
      <c r="D18" s="1140"/>
      <c r="E18" s="1141"/>
      <c r="F18" s="1118"/>
      <c r="G18" s="1131"/>
      <c r="H18" s="1131"/>
      <c r="I18" s="284" t="s">
        <v>462</v>
      </c>
      <c r="J18" s="279" t="s">
        <v>566</v>
      </c>
      <c r="K18" s="766" t="s">
        <v>567</v>
      </c>
      <c r="L18" s="279" t="s">
        <v>568</v>
      </c>
      <c r="M18" s="278" t="s">
        <v>569</v>
      </c>
      <c r="N18" s="278" t="s">
        <v>570</v>
      </c>
      <c r="O18" s="285" t="s">
        <v>740</v>
      </c>
      <c r="Q18" s="286" t="s">
        <v>114</v>
      </c>
      <c r="R18" s="277" t="s">
        <v>478</v>
      </c>
      <c r="S18" s="277" t="s">
        <v>479</v>
      </c>
    </row>
    <row r="19" spans="1:19" s="293" customFormat="1" ht="19.5" customHeight="1">
      <c r="A19" s="287"/>
      <c r="B19" s="288"/>
      <c r="C19" s="288"/>
      <c r="D19" s="1142"/>
      <c r="E19" s="1143"/>
      <c r="F19" s="282"/>
      <c r="G19" s="289"/>
      <c r="H19" s="289"/>
      <c r="I19" s="290"/>
      <c r="J19" s="765"/>
      <c r="K19" s="690"/>
      <c r="L19" s="642"/>
      <c r="M19" s="642"/>
      <c r="N19" s="643"/>
      <c r="O19" s="292"/>
      <c r="Q19" s="294"/>
      <c r="R19" s="295"/>
      <c r="S19" s="295"/>
    </row>
    <row r="20" spans="1:19" s="293" customFormat="1" ht="19.5" customHeight="1">
      <c r="A20" s="296"/>
      <c r="B20" s="288"/>
      <c r="C20" s="288"/>
      <c r="D20" s="1142"/>
      <c r="E20" s="1143"/>
      <c r="F20" s="282"/>
      <c r="G20" s="289"/>
      <c r="H20" s="289"/>
      <c r="I20" s="290"/>
      <c r="J20" s="290"/>
      <c r="K20" s="290"/>
      <c r="L20" s="290"/>
      <c r="M20" s="290"/>
      <c r="N20" s="291"/>
      <c r="O20" s="292"/>
      <c r="P20" s="293">
        <f aca="true" t="shared" si="0" ref="P20:P28">+P19+1</f>
        <v>1</v>
      </c>
      <c r="Q20" s="294">
        <f aca="true" t="shared" si="1" ref="Q20:Q28">+S20-R20</f>
        <v>-492841.42</v>
      </c>
      <c r="R20" s="295">
        <v>492841.42</v>
      </c>
      <c r="S20" s="295">
        <f aca="true" t="shared" si="2" ref="S20:S28">+R19</f>
        <v>0</v>
      </c>
    </row>
    <row r="21" spans="1:19" s="293" customFormat="1" ht="19.5" customHeight="1">
      <c r="A21" s="296"/>
      <c r="B21" s="288"/>
      <c r="C21" s="288"/>
      <c r="D21" s="1142"/>
      <c r="E21" s="1143"/>
      <c r="F21" s="282"/>
      <c r="G21" s="289"/>
      <c r="H21" s="289"/>
      <c r="I21" s="290"/>
      <c r="J21" s="290"/>
      <c r="K21" s="290"/>
      <c r="L21" s="290"/>
      <c r="M21" s="290"/>
      <c r="N21" s="291"/>
      <c r="O21" s="292"/>
      <c r="P21" s="293">
        <f t="shared" si="0"/>
        <v>2</v>
      </c>
      <c r="Q21" s="294">
        <f t="shared" si="1"/>
        <v>53178.25</v>
      </c>
      <c r="R21" s="295">
        <v>439663.17</v>
      </c>
      <c r="S21" s="295">
        <f t="shared" si="2"/>
        <v>492841.42</v>
      </c>
    </row>
    <row r="22" spans="1:19" s="293" customFormat="1" ht="19.5" customHeight="1">
      <c r="A22" s="296"/>
      <c r="B22" s="288"/>
      <c r="C22" s="288"/>
      <c r="D22" s="1142"/>
      <c r="E22" s="1143"/>
      <c r="F22" s="282"/>
      <c r="G22" s="289"/>
      <c r="H22" s="289"/>
      <c r="I22" s="290"/>
      <c r="J22" s="290"/>
      <c r="K22" s="290"/>
      <c r="L22" s="290"/>
      <c r="M22" s="290"/>
      <c r="N22" s="291"/>
      <c r="O22" s="292"/>
      <c r="P22" s="293">
        <f t="shared" si="0"/>
        <v>3</v>
      </c>
      <c r="Q22" s="294">
        <f t="shared" si="1"/>
        <v>56170.159999999974</v>
      </c>
      <c r="R22" s="295">
        <v>383493.01</v>
      </c>
      <c r="S22" s="295">
        <f t="shared" si="2"/>
        <v>439663.17</v>
      </c>
    </row>
    <row r="23" spans="1:19" s="293" customFormat="1" ht="19.5" customHeight="1">
      <c r="A23" s="296"/>
      <c r="B23" s="288"/>
      <c r="C23" s="288"/>
      <c r="D23" s="1142"/>
      <c r="E23" s="1143"/>
      <c r="F23" s="282"/>
      <c r="G23" s="289"/>
      <c r="H23" s="289"/>
      <c r="I23" s="290"/>
      <c r="J23" s="290"/>
      <c r="K23" s="290"/>
      <c r="L23" s="290"/>
      <c r="M23" s="290"/>
      <c r="N23" s="291"/>
      <c r="O23" s="292"/>
      <c r="P23" s="293">
        <f t="shared" si="0"/>
        <v>4</v>
      </c>
      <c r="Q23" s="294">
        <f t="shared" si="1"/>
        <v>59330.42999999999</v>
      </c>
      <c r="R23" s="295">
        <v>324162.58</v>
      </c>
      <c r="S23" s="295">
        <f t="shared" si="2"/>
        <v>383493.01</v>
      </c>
    </row>
    <row r="24" spans="1:19" s="293" customFormat="1" ht="19.5" customHeight="1">
      <c r="A24" s="296"/>
      <c r="B24" s="288"/>
      <c r="C24" s="288"/>
      <c r="D24" s="1142"/>
      <c r="E24" s="1143"/>
      <c r="F24" s="282"/>
      <c r="G24" s="289"/>
      <c r="H24" s="289"/>
      <c r="I24" s="290"/>
      <c r="J24" s="290"/>
      <c r="K24" s="290"/>
      <c r="L24" s="290"/>
      <c r="M24" s="290"/>
      <c r="N24" s="291"/>
      <c r="O24" s="292"/>
      <c r="P24" s="293">
        <f t="shared" si="0"/>
        <v>5</v>
      </c>
      <c r="Q24" s="294">
        <f t="shared" si="1"/>
        <v>62668.49000000002</v>
      </c>
      <c r="R24" s="295">
        <v>261494.09</v>
      </c>
      <c r="S24" s="295">
        <f t="shared" si="2"/>
        <v>324162.58</v>
      </c>
    </row>
    <row r="25" spans="1:19" s="293" customFormat="1" ht="19.5" customHeight="1">
      <c r="A25" s="296"/>
      <c r="B25" s="288"/>
      <c r="C25" s="288"/>
      <c r="D25" s="1142"/>
      <c r="E25" s="1143"/>
      <c r="F25" s="282"/>
      <c r="G25" s="282"/>
      <c r="H25" s="282"/>
      <c r="I25" s="297"/>
      <c r="J25" s="297"/>
      <c r="K25" s="297"/>
      <c r="L25" s="297"/>
      <c r="M25" s="297"/>
      <c r="N25" s="298"/>
      <c r="O25" s="292"/>
      <c r="P25" s="293">
        <f t="shared" si="0"/>
        <v>6</v>
      </c>
      <c r="Q25" s="294">
        <f t="shared" si="1"/>
        <v>66194.34</v>
      </c>
      <c r="R25" s="295">
        <v>195299.75</v>
      </c>
      <c r="S25" s="295">
        <f t="shared" si="2"/>
        <v>261494.09</v>
      </c>
    </row>
    <row r="26" spans="1:19" s="293" customFormat="1" ht="19.5" customHeight="1">
      <c r="A26" s="296"/>
      <c r="B26" s="288"/>
      <c r="C26" s="288"/>
      <c r="D26" s="1142"/>
      <c r="E26" s="1143"/>
      <c r="F26" s="282"/>
      <c r="G26" s="282"/>
      <c r="H26" s="282"/>
      <c r="I26" s="297"/>
      <c r="J26" s="297"/>
      <c r="K26" s="297"/>
      <c r="L26" s="297"/>
      <c r="M26" s="297"/>
      <c r="N26" s="298"/>
      <c r="O26" s="292"/>
      <c r="P26" s="293">
        <f t="shared" si="0"/>
        <v>7</v>
      </c>
      <c r="Q26" s="294">
        <f t="shared" si="1"/>
        <v>69918.59</v>
      </c>
      <c r="R26" s="295">
        <v>125381.16</v>
      </c>
      <c r="S26" s="295">
        <f t="shared" si="2"/>
        <v>195299.75</v>
      </c>
    </row>
    <row r="27" spans="1:19" s="293" customFormat="1" ht="19.5" customHeight="1">
      <c r="A27" s="296"/>
      <c r="B27" s="288"/>
      <c r="C27" s="288"/>
      <c r="D27" s="1142"/>
      <c r="E27" s="1143"/>
      <c r="F27" s="282"/>
      <c r="G27" s="282"/>
      <c r="H27" s="282"/>
      <c r="I27" s="297" t="s">
        <v>743</v>
      </c>
      <c r="J27" s="297"/>
      <c r="K27" s="297"/>
      <c r="L27" s="297"/>
      <c r="M27" s="297"/>
      <c r="N27" s="298"/>
      <c r="O27" s="292"/>
      <c r="P27" s="293">
        <f t="shared" si="0"/>
        <v>8</v>
      </c>
      <c r="Q27" s="294">
        <f t="shared" si="1"/>
        <v>73852.37</v>
      </c>
      <c r="R27" s="295">
        <v>51528.79</v>
      </c>
      <c r="S27" s="295">
        <f t="shared" si="2"/>
        <v>125381.16</v>
      </c>
    </row>
    <row r="28" spans="1:19" s="293" customFormat="1" ht="19.5" customHeight="1" thickBot="1">
      <c r="A28" s="299"/>
      <c r="B28" s="288"/>
      <c r="C28" s="300"/>
      <c r="D28" s="1146"/>
      <c r="E28" s="1147"/>
      <c r="F28" s="301"/>
      <c r="G28" s="301"/>
      <c r="H28" s="301"/>
      <c r="I28" s="302"/>
      <c r="J28" s="302"/>
      <c r="K28" s="302"/>
      <c r="L28" s="302"/>
      <c r="M28" s="302"/>
      <c r="N28" s="303"/>
      <c r="O28" s="304"/>
      <c r="P28" s="293">
        <f t="shared" si="0"/>
        <v>9</v>
      </c>
      <c r="Q28" s="294">
        <f t="shared" si="1"/>
        <v>51528.79</v>
      </c>
      <c r="R28" s="295">
        <v>0</v>
      </c>
      <c r="S28" s="295">
        <f t="shared" si="2"/>
        <v>51528.79</v>
      </c>
    </row>
    <row r="29" spans="1:19" s="293" customFormat="1" ht="19.5" customHeight="1" thickBot="1">
      <c r="A29" s="305" t="s">
        <v>120</v>
      </c>
      <c r="B29" s="306"/>
      <c r="C29" s="307"/>
      <c r="D29" s="1144"/>
      <c r="E29" s="1145"/>
      <c r="F29" s="308"/>
      <c r="G29" s="308"/>
      <c r="H29" s="308"/>
      <c r="I29" s="745">
        <f aca="true" t="shared" si="3" ref="I29:N29">SUM(I19:I28)</f>
        <v>0</v>
      </c>
      <c r="J29" s="745">
        <f t="shared" si="3"/>
        <v>0</v>
      </c>
      <c r="K29" s="745">
        <f>SUM(K20:K28)</f>
        <v>0</v>
      </c>
      <c r="L29" s="745">
        <f t="shared" si="3"/>
        <v>0</v>
      </c>
      <c r="M29" s="745">
        <f t="shared" si="3"/>
        <v>0</v>
      </c>
      <c r="N29" s="745">
        <f t="shared" si="3"/>
        <v>0</v>
      </c>
      <c r="O29" s="309"/>
      <c r="Q29" s="295"/>
      <c r="R29" s="295"/>
      <c r="S29" s="295"/>
    </row>
    <row r="30" spans="1:15" ht="12.75">
      <c r="A30" s="310"/>
      <c r="B30" s="311"/>
      <c r="C30" s="311"/>
      <c r="D30" s="312"/>
      <c r="E30" s="310"/>
      <c r="F30" s="310"/>
      <c r="G30" s="310"/>
      <c r="H30" s="310"/>
      <c r="I30" s="310"/>
      <c r="J30" s="310"/>
      <c r="K30" s="310"/>
      <c r="L30" s="310"/>
      <c r="M30" s="310"/>
      <c r="N30" s="313"/>
      <c r="O30" s="314"/>
    </row>
    <row r="31" ht="12.75" hidden="1">
      <c r="A31" s="276" t="s">
        <v>116</v>
      </c>
    </row>
    <row r="32" ht="12.75" hidden="1">
      <c r="A32" s="276" t="s">
        <v>370</v>
      </c>
    </row>
    <row r="33" ht="12.75" hidden="1">
      <c r="A33" s="276" t="s">
        <v>169</v>
      </c>
    </row>
    <row r="34" ht="12.75" hidden="1">
      <c r="A34" s="276" t="s">
        <v>463</v>
      </c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D14:E14"/>
    <mergeCell ref="D15:E15"/>
    <mergeCell ref="D21:E21"/>
    <mergeCell ref="D22:E22"/>
    <mergeCell ref="D20:E20"/>
    <mergeCell ref="D19:E19"/>
    <mergeCell ref="D29:E29"/>
    <mergeCell ref="D25:E25"/>
    <mergeCell ref="D26:E26"/>
    <mergeCell ref="D27:E27"/>
    <mergeCell ref="D28:E28"/>
    <mergeCell ref="N17:O17"/>
    <mergeCell ref="D17:E18"/>
    <mergeCell ref="D23:E23"/>
    <mergeCell ref="D24:E24"/>
    <mergeCell ref="K17:M17"/>
    <mergeCell ref="I17:J17"/>
    <mergeCell ref="N15:O15"/>
    <mergeCell ref="N14:O14"/>
    <mergeCell ref="J15:K15"/>
    <mergeCell ref="J14:K14"/>
    <mergeCell ref="L15:M15"/>
    <mergeCell ref="G15:I15"/>
    <mergeCell ref="G14:I14"/>
    <mergeCell ref="L14:M14"/>
    <mergeCell ref="H17:H18"/>
    <mergeCell ref="N12:O12"/>
    <mergeCell ref="D12:E12"/>
    <mergeCell ref="D13:E13"/>
    <mergeCell ref="L12:M12"/>
    <mergeCell ref="G12:I12"/>
    <mergeCell ref="J12:K12"/>
    <mergeCell ref="C17:C18"/>
    <mergeCell ref="G11:I11"/>
    <mergeCell ref="G17:G18"/>
    <mergeCell ref="A16:O16"/>
    <mergeCell ref="A17:A18"/>
    <mergeCell ref="F17:F18"/>
    <mergeCell ref="N11:O11"/>
    <mergeCell ref="A15:C15"/>
    <mergeCell ref="A14:C14"/>
    <mergeCell ref="N13:O13"/>
    <mergeCell ref="N7:O7"/>
    <mergeCell ref="A9:O9"/>
    <mergeCell ref="G10:I10"/>
    <mergeCell ref="N10:O10"/>
    <mergeCell ref="L10:M10"/>
    <mergeCell ref="J10:K10"/>
    <mergeCell ref="D10:E10"/>
    <mergeCell ref="A8:M8"/>
    <mergeCell ref="A7:M7"/>
    <mergeCell ref="N8:O8"/>
    <mergeCell ref="A10:C10"/>
    <mergeCell ref="A12:C12"/>
    <mergeCell ref="G13:I13"/>
    <mergeCell ref="L13:M13"/>
    <mergeCell ref="D11:E11"/>
    <mergeCell ref="J11:K11"/>
    <mergeCell ref="J13:K13"/>
    <mergeCell ref="A13:C13"/>
    <mergeCell ref="L11:M11"/>
    <mergeCell ref="A11:C11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151" t="s">
        <v>72</v>
      </c>
      <c r="B1" s="1152"/>
      <c r="C1" s="1152"/>
      <c r="D1" s="1152"/>
      <c r="E1" s="1152"/>
      <c r="F1" s="1152"/>
      <c r="G1" s="1153"/>
      <c r="H1" s="108">
        <v>2011</v>
      </c>
      <c r="I1"/>
      <c r="J1"/>
    </row>
    <row r="2" spans="1:10" s="110" customFormat="1" ht="17.25" thickBot="1">
      <c r="A2" s="1154" t="s">
        <v>73</v>
      </c>
      <c r="B2" s="1155"/>
      <c r="C2" s="1155"/>
      <c r="D2" s="1155"/>
      <c r="E2" s="1155"/>
      <c r="F2" s="1155"/>
      <c r="G2" s="1156"/>
      <c r="H2" s="120" t="s">
        <v>475</v>
      </c>
      <c r="I2"/>
      <c r="J2"/>
    </row>
    <row r="3" spans="1:8" ht="13.5" customHeight="1" thickBot="1">
      <c r="A3" s="1157" t="s">
        <v>74</v>
      </c>
      <c r="B3" s="1158"/>
      <c r="C3" s="1158"/>
      <c r="D3" s="1158"/>
      <c r="E3" s="1158"/>
      <c r="F3" s="1158"/>
      <c r="G3" s="1158"/>
      <c r="H3" s="1159"/>
    </row>
    <row r="4" spans="3:8" ht="20.25" customHeight="1">
      <c r="C4" s="1160">
        <v>2009</v>
      </c>
      <c r="D4" s="1160"/>
      <c r="E4" s="1160" t="s">
        <v>595</v>
      </c>
      <c r="F4" s="1160"/>
      <c r="G4" s="1160" t="s">
        <v>594</v>
      </c>
      <c r="H4" s="1160"/>
    </row>
    <row r="5" spans="1:8" ht="23.25">
      <c r="A5" s="111" t="s">
        <v>75</v>
      </c>
      <c r="B5" s="111" t="s">
        <v>476</v>
      </c>
      <c r="C5" s="112" t="s">
        <v>76</v>
      </c>
      <c r="D5" s="112" t="s">
        <v>77</v>
      </c>
      <c r="E5" s="112" t="s">
        <v>76</v>
      </c>
      <c r="F5" s="112" t="s">
        <v>77</v>
      </c>
      <c r="G5" s="112" t="s">
        <v>76</v>
      </c>
      <c r="H5" s="112" t="s">
        <v>77</v>
      </c>
    </row>
    <row r="6" spans="1:8" ht="15">
      <c r="A6" s="111" t="s">
        <v>78</v>
      </c>
      <c r="B6" s="111" t="s">
        <v>79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">
      <c r="A7" s="111" t="s">
        <v>78</v>
      </c>
      <c r="B7" s="111" t="s">
        <v>80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5">
      <c r="A8" s="111"/>
      <c r="B8" s="111"/>
      <c r="C8" s="124"/>
      <c r="D8" s="124"/>
      <c r="E8" s="124"/>
      <c r="F8" s="124"/>
      <c r="G8" s="124"/>
      <c r="H8" s="124"/>
    </row>
    <row r="9" spans="1:8" ht="15">
      <c r="A9" s="111"/>
      <c r="B9" s="111"/>
      <c r="C9" s="124"/>
      <c r="D9" s="124"/>
      <c r="E9" s="124"/>
      <c r="F9" s="124"/>
      <c r="G9" s="124"/>
      <c r="H9" s="124"/>
    </row>
    <row r="10" spans="1:8" ht="15">
      <c r="A10" s="111"/>
      <c r="B10" s="111"/>
      <c r="C10" s="124"/>
      <c r="D10" s="124"/>
      <c r="E10" s="124"/>
      <c r="F10" s="124"/>
      <c r="G10" s="124"/>
      <c r="H10" s="124"/>
    </row>
    <row r="11" spans="1:8" ht="15">
      <c r="A11" s="111"/>
      <c r="B11" s="111"/>
      <c r="C11" s="124"/>
      <c r="D11" s="124"/>
      <c r="E11" s="124"/>
      <c r="F11" s="124"/>
      <c r="G11" s="124"/>
      <c r="H11" s="124"/>
    </row>
    <row r="12" spans="1:8" ht="15">
      <c r="A12" s="113"/>
      <c r="B12" s="114"/>
      <c r="C12" s="125"/>
      <c r="D12" s="125"/>
      <c r="E12" s="125"/>
      <c r="F12" s="125"/>
      <c r="G12" s="125"/>
      <c r="H12" s="125"/>
    </row>
    <row r="13" spans="1:8" ht="15">
      <c r="A13" s="113"/>
      <c r="B13" s="114"/>
      <c r="C13" s="125"/>
      <c r="D13" s="125"/>
      <c r="E13" s="125"/>
      <c r="F13" s="125"/>
      <c r="G13" s="125"/>
      <c r="H13" s="125"/>
    </row>
    <row r="14" spans="1:8" ht="15">
      <c r="A14" s="113"/>
      <c r="B14" s="114"/>
      <c r="C14" s="125"/>
      <c r="D14" s="125"/>
      <c r="E14" s="125"/>
      <c r="F14" s="125"/>
      <c r="G14" s="125"/>
      <c r="H14" s="125"/>
    </row>
    <row r="15" spans="1:8" ht="15.75" thickBot="1">
      <c r="A15" s="1149" t="s">
        <v>120</v>
      </c>
      <c r="B15" s="1150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148">
        <v>2009</v>
      </c>
      <c r="D17" s="1148"/>
      <c r="E17" s="1148" t="s">
        <v>595</v>
      </c>
      <c r="F17" s="1148"/>
      <c r="G17" s="1148" t="s">
        <v>594</v>
      </c>
      <c r="H17" s="1148"/>
    </row>
    <row r="18" spans="1:8" ht="23.25">
      <c r="A18" s="111" t="s">
        <v>81</v>
      </c>
      <c r="B18" s="111" t="s">
        <v>476</v>
      </c>
      <c r="C18" s="112" t="s">
        <v>82</v>
      </c>
      <c r="D18" s="112" t="s">
        <v>77</v>
      </c>
      <c r="E18" s="112" t="s">
        <v>82</v>
      </c>
      <c r="F18" s="112" t="s">
        <v>77</v>
      </c>
      <c r="G18" s="112" t="s">
        <v>82</v>
      </c>
      <c r="H18" s="112" t="s">
        <v>77</v>
      </c>
    </row>
    <row r="19" spans="1:8" ht="15">
      <c r="A19" s="111" t="s">
        <v>83</v>
      </c>
      <c r="B19" s="111" t="s">
        <v>84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">
      <c r="A20" s="111" t="s">
        <v>85</v>
      </c>
      <c r="B20" s="111" t="s">
        <v>84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">
      <c r="A21" s="111" t="s">
        <v>86</v>
      </c>
      <c r="B21" s="111" t="s">
        <v>87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">
      <c r="A22" s="111" t="s">
        <v>88</v>
      </c>
      <c r="B22" s="111" t="s">
        <v>89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">
      <c r="A23" s="111" t="s">
        <v>90</v>
      </c>
      <c r="B23" s="111" t="s">
        <v>91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">
      <c r="A24" s="111" t="s">
        <v>78</v>
      </c>
      <c r="B24" s="111" t="s">
        <v>79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">
      <c r="A25" s="111" t="s">
        <v>78</v>
      </c>
      <c r="B25" s="111" t="s">
        <v>92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">
      <c r="A27" s="113"/>
      <c r="B27" s="114"/>
      <c r="C27" s="128"/>
      <c r="D27" s="128"/>
      <c r="E27" s="128"/>
      <c r="F27" s="128"/>
      <c r="G27" s="128"/>
      <c r="H27" s="128"/>
    </row>
    <row r="28" spans="1:8" ht="15.75" thickBot="1">
      <c r="A28" s="1149" t="s">
        <v>120</v>
      </c>
      <c r="B28" s="1150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477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421875" defaultRowHeight="12.75"/>
  <cols>
    <col min="1" max="1" width="10.28125" style="276" customWidth="1"/>
    <col min="2" max="2" width="19.8515625" style="276" hidden="1" customWidth="1"/>
    <col min="3" max="3" width="26.28125" style="276" customWidth="1"/>
    <col min="4" max="4" width="13.28125" style="276" customWidth="1"/>
    <col min="5" max="5" width="10.57421875" style="276" customWidth="1"/>
    <col min="6" max="6" width="13.8515625" style="276" customWidth="1"/>
    <col min="7" max="8" width="15.7109375" style="276" customWidth="1"/>
    <col min="9" max="9" width="16.7109375" style="276" customWidth="1"/>
    <col min="10" max="10" width="16.28125" style="276" customWidth="1"/>
    <col min="11" max="11" width="14.28125" style="276" customWidth="1"/>
    <col min="12" max="12" width="13.00390625" style="276" bestFit="1" customWidth="1"/>
    <col min="13" max="13" width="14.7109375" style="276" bestFit="1" customWidth="1"/>
    <col min="14" max="14" width="13.00390625" style="276" bestFit="1" customWidth="1"/>
    <col min="15" max="15" width="12.57421875" style="276" customWidth="1"/>
    <col min="16" max="16" width="0" style="276" hidden="1" customWidth="1"/>
    <col min="17" max="17" width="17.140625" style="277" hidden="1" customWidth="1"/>
    <col min="18" max="18" width="17.421875" style="277" hidden="1" customWidth="1"/>
    <col min="19" max="19" width="0.9921875" style="277" hidden="1" customWidth="1"/>
    <col min="20" max="16384" width="11.57421875" style="276" customWidth="1"/>
  </cols>
  <sheetData>
    <row r="1" ht="13.5">
      <c r="F1" s="750" t="s">
        <v>426</v>
      </c>
    </row>
    <row r="2" ht="13.5">
      <c r="F2" s="751" t="s">
        <v>427</v>
      </c>
    </row>
    <row r="4" spans="1:7" ht="13.5">
      <c r="A4" s="749" t="s">
        <v>260</v>
      </c>
      <c r="F4" s="754">
        <v>42339</v>
      </c>
      <c r="G4" s="761"/>
    </row>
    <row r="5" spans="1:7" ht="13.5">
      <c r="A5" s="749" t="s">
        <v>425</v>
      </c>
      <c r="F5" s="753" t="s">
        <v>428</v>
      </c>
      <c r="G5" s="762"/>
    </row>
    <row r="6" spans="1:14" ht="13.5" thickBot="1">
      <c r="A6" s="315"/>
      <c r="N6" s="316"/>
    </row>
    <row r="7" spans="1:19" s="293" customFormat="1" ht="36" customHeight="1" thickBot="1">
      <c r="A7" s="1124" t="s">
        <v>461</v>
      </c>
      <c r="B7" s="1125"/>
      <c r="C7" s="1125"/>
      <c r="D7" s="1125"/>
      <c r="E7" s="1125"/>
      <c r="F7" s="1125"/>
      <c r="G7" s="1125"/>
      <c r="H7" s="1125"/>
      <c r="I7" s="1125"/>
      <c r="J7" s="1125"/>
      <c r="K7" s="1125"/>
      <c r="L7" s="1125"/>
      <c r="M7" s="1126"/>
      <c r="N7" s="1113">
        <f>CPYG!D7</f>
        <v>2016</v>
      </c>
      <c r="O7" s="1114"/>
      <c r="Q7" s="295"/>
      <c r="R7" s="295"/>
      <c r="S7" s="295"/>
    </row>
    <row r="8" spans="1:15" ht="34.5" customHeight="1" thickBot="1">
      <c r="A8" s="1121" t="str">
        <f>CPYG!A8</f>
        <v>EMPRESA PÚBLICA: AUDITORIO DE TENERIFE, S.A.U.</v>
      </c>
      <c r="B8" s="1122"/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3"/>
      <c r="N8" s="1121" t="s">
        <v>174</v>
      </c>
      <c r="O8" s="1123"/>
    </row>
    <row r="9" spans="1:15" ht="24.75" customHeight="1">
      <c r="A9" s="1161" t="s">
        <v>170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62"/>
    </row>
    <row r="10" spans="1:15" ht="40.5" customHeight="1">
      <c r="A10" s="1163" t="s">
        <v>736</v>
      </c>
      <c r="B10" s="279"/>
      <c r="C10" s="1118" t="s">
        <v>737</v>
      </c>
      <c r="D10" s="1138" t="s">
        <v>738</v>
      </c>
      <c r="E10" s="1139"/>
      <c r="F10" s="1118" t="s">
        <v>739</v>
      </c>
      <c r="G10" s="1130" t="s">
        <v>368</v>
      </c>
      <c r="H10" s="1130" t="s">
        <v>369</v>
      </c>
      <c r="I10" s="1119" t="s">
        <v>574</v>
      </c>
      <c r="J10" s="1104"/>
      <c r="K10" s="1105"/>
      <c r="L10" s="1119" t="s">
        <v>561</v>
      </c>
      <c r="M10" s="1104"/>
      <c r="N10" s="1104"/>
      <c r="O10" s="1120"/>
    </row>
    <row r="11" spans="1:19" ht="73.5" customHeight="1">
      <c r="A11" s="1161"/>
      <c r="B11" s="279"/>
      <c r="C11" s="1118"/>
      <c r="D11" s="1140"/>
      <c r="E11" s="1141"/>
      <c r="F11" s="1118"/>
      <c r="G11" s="1131"/>
      <c r="H11" s="1131"/>
      <c r="I11" s="284" t="s">
        <v>462</v>
      </c>
      <c r="J11" s="284" t="s">
        <v>572</v>
      </c>
      <c r="K11" s="278" t="s">
        <v>171</v>
      </c>
      <c r="L11" s="284" t="s">
        <v>573</v>
      </c>
      <c r="M11" s="279" t="s">
        <v>568</v>
      </c>
      <c r="N11" s="278" t="s">
        <v>570</v>
      </c>
      <c r="O11" s="285" t="s">
        <v>171</v>
      </c>
      <c r="Q11" s="286" t="s">
        <v>114</v>
      </c>
      <c r="R11" s="277" t="s">
        <v>478</v>
      </c>
      <c r="S11" s="277" t="s">
        <v>479</v>
      </c>
    </row>
    <row r="12" spans="1:19" s="293" customFormat="1" ht="19.5" customHeight="1">
      <c r="A12" s="287"/>
      <c r="B12" s="288"/>
      <c r="C12" s="288"/>
      <c r="D12" s="1142"/>
      <c r="E12" s="1143"/>
      <c r="F12" s="282"/>
      <c r="G12" s="289"/>
      <c r="H12" s="289"/>
      <c r="I12" s="290"/>
      <c r="J12" s="290"/>
      <c r="K12" s="624"/>
      <c r="L12" s="290"/>
      <c r="M12" s="290"/>
      <c r="N12" s="644"/>
      <c r="O12" s="292"/>
      <c r="Q12" s="294"/>
      <c r="R12" s="295"/>
      <c r="S12" s="295"/>
    </row>
    <row r="13" spans="1:19" s="293" customFormat="1" ht="19.5" customHeight="1">
      <c r="A13" s="296"/>
      <c r="B13" s="288"/>
      <c r="C13" s="288"/>
      <c r="D13" s="1142"/>
      <c r="E13" s="1143"/>
      <c r="F13" s="282"/>
      <c r="G13" s="289"/>
      <c r="H13" s="289"/>
      <c r="I13" s="290"/>
      <c r="J13" s="290"/>
      <c r="K13" s="624"/>
      <c r="L13" s="290"/>
      <c r="M13" s="290"/>
      <c r="N13" s="644"/>
      <c r="O13" s="292"/>
      <c r="Q13" s="294"/>
      <c r="R13" s="295"/>
      <c r="S13" s="295"/>
    </row>
    <row r="14" spans="1:19" s="293" customFormat="1" ht="19.5" customHeight="1">
      <c r="A14" s="296"/>
      <c r="B14" s="288"/>
      <c r="C14" s="288"/>
      <c r="D14" s="1142"/>
      <c r="E14" s="1143"/>
      <c r="F14" s="282"/>
      <c r="G14" s="289"/>
      <c r="H14" s="289"/>
      <c r="I14" s="290"/>
      <c r="J14" s="290"/>
      <c r="K14" s="565"/>
      <c r="L14" s="290"/>
      <c r="M14" s="290"/>
      <c r="N14" s="291"/>
      <c r="O14" s="292"/>
      <c r="P14" s="293">
        <f aca="true" t="shared" si="0" ref="P14:P21">+P13+1</f>
        <v>1</v>
      </c>
      <c r="Q14" s="294">
        <f aca="true" t="shared" si="1" ref="Q14:Q21">+S14-R14</f>
        <v>-439663.17</v>
      </c>
      <c r="R14" s="295">
        <v>439663.17</v>
      </c>
      <c r="S14" s="295">
        <f aca="true" t="shared" si="2" ref="S14:S21">+R13</f>
        <v>0</v>
      </c>
    </row>
    <row r="15" spans="1:19" s="293" customFormat="1" ht="19.5" customHeight="1">
      <c r="A15" s="296"/>
      <c r="B15" s="288"/>
      <c r="C15" s="288"/>
      <c r="D15" s="1142"/>
      <c r="E15" s="1143"/>
      <c r="F15" s="282"/>
      <c r="G15" s="289"/>
      <c r="H15" s="289"/>
      <c r="I15" s="290"/>
      <c r="J15" s="290"/>
      <c r="K15" s="565"/>
      <c r="L15" s="290"/>
      <c r="M15" s="290"/>
      <c r="N15" s="291"/>
      <c r="O15" s="292"/>
      <c r="P15" s="293">
        <f t="shared" si="0"/>
        <v>2</v>
      </c>
      <c r="Q15" s="294">
        <f t="shared" si="1"/>
        <v>56170.159999999974</v>
      </c>
      <c r="R15" s="295">
        <v>383493.01</v>
      </c>
      <c r="S15" s="295">
        <f t="shared" si="2"/>
        <v>439663.17</v>
      </c>
    </row>
    <row r="16" spans="1:19" s="293" customFormat="1" ht="19.5" customHeight="1">
      <c r="A16" s="296"/>
      <c r="B16" s="288"/>
      <c r="C16" s="288"/>
      <c r="D16" s="1142"/>
      <c r="E16" s="1143"/>
      <c r="F16" s="282"/>
      <c r="G16" s="289"/>
      <c r="H16" s="289"/>
      <c r="I16" s="290"/>
      <c r="J16" s="290"/>
      <c r="K16" s="565"/>
      <c r="L16" s="290"/>
      <c r="M16" s="290"/>
      <c r="N16" s="291"/>
      <c r="O16" s="292"/>
      <c r="P16" s="293">
        <f t="shared" si="0"/>
        <v>3</v>
      </c>
      <c r="Q16" s="294">
        <f t="shared" si="1"/>
        <v>59330.42999999999</v>
      </c>
      <c r="R16" s="295">
        <v>324162.58</v>
      </c>
      <c r="S16" s="295">
        <f t="shared" si="2"/>
        <v>383493.01</v>
      </c>
    </row>
    <row r="17" spans="1:19" s="293" customFormat="1" ht="19.5" customHeight="1">
      <c r="A17" s="296"/>
      <c r="B17" s="288"/>
      <c r="C17" s="288"/>
      <c r="D17" s="1142"/>
      <c r="E17" s="1143"/>
      <c r="F17" s="282"/>
      <c r="G17" s="289"/>
      <c r="H17" s="289"/>
      <c r="I17" s="290"/>
      <c r="J17" s="290"/>
      <c r="K17" s="565"/>
      <c r="L17" s="290"/>
      <c r="M17" s="290"/>
      <c r="N17" s="291"/>
      <c r="O17" s="292"/>
      <c r="P17" s="293">
        <f t="shared" si="0"/>
        <v>4</v>
      </c>
      <c r="Q17" s="294">
        <f t="shared" si="1"/>
        <v>62668.49000000002</v>
      </c>
      <c r="R17" s="295">
        <v>261494.09</v>
      </c>
      <c r="S17" s="295">
        <f t="shared" si="2"/>
        <v>324162.58</v>
      </c>
    </row>
    <row r="18" spans="1:19" s="293" customFormat="1" ht="19.5" customHeight="1">
      <c r="A18" s="296"/>
      <c r="B18" s="288"/>
      <c r="C18" s="288"/>
      <c r="D18" s="1142"/>
      <c r="E18" s="1143"/>
      <c r="F18" s="282"/>
      <c r="G18" s="282"/>
      <c r="H18" s="282"/>
      <c r="I18" s="297"/>
      <c r="J18" s="297"/>
      <c r="K18" s="565"/>
      <c r="L18" s="297"/>
      <c r="M18" s="297"/>
      <c r="N18" s="298"/>
      <c r="O18" s="292"/>
      <c r="P18" s="293">
        <f t="shared" si="0"/>
        <v>5</v>
      </c>
      <c r="Q18" s="294">
        <f t="shared" si="1"/>
        <v>66194.34</v>
      </c>
      <c r="R18" s="295">
        <v>195299.75</v>
      </c>
      <c r="S18" s="295">
        <f t="shared" si="2"/>
        <v>261494.09</v>
      </c>
    </row>
    <row r="19" spans="1:19" s="293" customFormat="1" ht="19.5" customHeight="1">
      <c r="A19" s="296"/>
      <c r="B19" s="288"/>
      <c r="C19" s="288"/>
      <c r="D19" s="1142"/>
      <c r="E19" s="1143"/>
      <c r="F19" s="282"/>
      <c r="G19" s="282"/>
      <c r="H19" s="282"/>
      <c r="I19" s="297"/>
      <c r="J19" s="297"/>
      <c r="K19" s="565"/>
      <c r="L19" s="297"/>
      <c r="M19" s="297"/>
      <c r="N19" s="298"/>
      <c r="O19" s="292"/>
      <c r="P19" s="293">
        <f t="shared" si="0"/>
        <v>6</v>
      </c>
      <c r="Q19" s="294">
        <f t="shared" si="1"/>
        <v>69918.59</v>
      </c>
      <c r="R19" s="295">
        <v>125381.16</v>
      </c>
      <c r="S19" s="295">
        <f t="shared" si="2"/>
        <v>195299.75</v>
      </c>
    </row>
    <row r="20" spans="1:19" s="293" customFormat="1" ht="19.5" customHeight="1">
      <c r="A20" s="296"/>
      <c r="B20" s="288"/>
      <c r="C20" s="288"/>
      <c r="D20" s="1142"/>
      <c r="E20" s="1143"/>
      <c r="F20" s="282"/>
      <c r="G20" s="282"/>
      <c r="H20" s="282"/>
      <c r="I20" s="297"/>
      <c r="J20" s="297"/>
      <c r="K20" s="565"/>
      <c r="L20" s="297"/>
      <c r="M20" s="297"/>
      <c r="N20" s="298"/>
      <c r="O20" s="292"/>
      <c r="P20" s="293">
        <f t="shared" si="0"/>
        <v>7</v>
      </c>
      <c r="Q20" s="294">
        <f t="shared" si="1"/>
        <v>73852.37</v>
      </c>
      <c r="R20" s="295">
        <v>51528.79</v>
      </c>
      <c r="S20" s="295">
        <f t="shared" si="2"/>
        <v>125381.16</v>
      </c>
    </row>
    <row r="21" spans="1:19" s="293" customFormat="1" ht="19.5" customHeight="1" thickBot="1">
      <c r="A21" s="299"/>
      <c r="B21" s="288"/>
      <c r="C21" s="300"/>
      <c r="D21" s="1146"/>
      <c r="E21" s="1147"/>
      <c r="F21" s="301"/>
      <c r="G21" s="301"/>
      <c r="H21" s="301"/>
      <c r="I21" s="302"/>
      <c r="J21" s="302"/>
      <c r="K21" s="566"/>
      <c r="L21" s="302"/>
      <c r="M21" s="302"/>
      <c r="N21" s="303"/>
      <c r="O21" s="304"/>
      <c r="P21" s="293">
        <f t="shared" si="0"/>
        <v>8</v>
      </c>
      <c r="Q21" s="294">
        <f t="shared" si="1"/>
        <v>51528.79</v>
      </c>
      <c r="R21" s="295">
        <v>0</v>
      </c>
      <c r="S21" s="295">
        <f t="shared" si="2"/>
        <v>51528.79</v>
      </c>
    </row>
    <row r="22" spans="1:19" s="293" customFormat="1" ht="19.5" customHeight="1" thickBot="1">
      <c r="A22" s="305" t="s">
        <v>120</v>
      </c>
      <c r="B22" s="306"/>
      <c r="C22" s="307"/>
      <c r="D22" s="1144"/>
      <c r="E22" s="1145"/>
      <c r="F22" s="308"/>
      <c r="G22" s="308"/>
      <c r="H22" s="308"/>
      <c r="I22" s="745">
        <f aca="true" t="shared" si="3" ref="I22:N22">SUM(I12:I21)</f>
        <v>0</v>
      </c>
      <c r="J22" s="745">
        <f t="shared" si="3"/>
        <v>0</v>
      </c>
      <c r="K22" s="506"/>
      <c r="L22" s="745">
        <f t="shared" si="3"/>
        <v>0</v>
      </c>
      <c r="M22" s="745">
        <f t="shared" si="3"/>
        <v>0</v>
      </c>
      <c r="N22" s="745">
        <f t="shared" si="3"/>
        <v>0</v>
      </c>
      <c r="O22" s="309"/>
      <c r="Q22" s="295"/>
      <c r="R22" s="295"/>
      <c r="S22" s="295"/>
    </row>
    <row r="23" spans="1:15" ht="12.75">
      <c r="A23" s="310"/>
      <c r="B23" s="311"/>
      <c r="C23" s="311"/>
      <c r="D23" s="312"/>
      <c r="E23" s="310"/>
      <c r="F23" s="310"/>
      <c r="G23" s="310"/>
      <c r="H23" s="310"/>
      <c r="I23" s="310"/>
      <c r="J23" s="310"/>
      <c r="K23" s="310"/>
      <c r="L23" s="310"/>
      <c r="M23" s="310"/>
      <c r="N23" s="313"/>
      <c r="O23" s="314"/>
    </row>
    <row r="24" spans="1:19" s="868" customFormat="1" ht="12.75" hidden="1">
      <c r="A24" s="868" t="s">
        <v>116</v>
      </c>
      <c r="Q24" s="869"/>
      <c r="R24" s="869"/>
      <c r="S24" s="869"/>
    </row>
    <row r="25" spans="1:19" s="868" customFormat="1" ht="12.75" hidden="1">
      <c r="A25" s="868" t="s">
        <v>370</v>
      </c>
      <c r="Q25" s="869"/>
      <c r="R25" s="869"/>
      <c r="S25" s="869"/>
    </row>
    <row r="26" spans="1:19" s="868" customFormat="1" ht="12.75" hidden="1">
      <c r="A26" s="868" t="s">
        <v>182</v>
      </c>
      <c r="Q26" s="869"/>
      <c r="R26" s="869"/>
      <c r="S26" s="869"/>
    </row>
    <row r="27" spans="1:19" s="868" customFormat="1" ht="12.75" hidden="1">
      <c r="A27" s="868" t="s">
        <v>463</v>
      </c>
      <c r="Q27" s="869"/>
      <c r="R27" s="869"/>
      <c r="S27" s="869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  <mergeCell ref="D17:E17"/>
    <mergeCell ref="D22:E22"/>
    <mergeCell ref="D18:E18"/>
    <mergeCell ref="D19:E19"/>
    <mergeCell ref="D20:E20"/>
    <mergeCell ref="D21:E21"/>
    <mergeCell ref="A7:M7"/>
    <mergeCell ref="N7:O7"/>
    <mergeCell ref="A8:M8"/>
    <mergeCell ref="N8:O8"/>
    <mergeCell ref="D15:E15"/>
    <mergeCell ref="H10:H11"/>
    <mergeCell ref="D13:E13"/>
    <mergeCell ref="D12:E12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9" width="11.57421875" style="133" customWidth="1"/>
    <col min="10" max="10" width="4.57421875" style="849" hidden="1" customWidth="1"/>
    <col min="11" max="16384" width="11.57421875" style="133" customWidth="1"/>
  </cols>
  <sheetData>
    <row r="1" spans="2:8" ht="13.5">
      <c r="B1" s="276"/>
      <c r="C1" s="276"/>
      <c r="D1" s="276"/>
      <c r="E1" s="750" t="s">
        <v>426</v>
      </c>
      <c r="F1" s="276"/>
      <c r="H1" s="276"/>
    </row>
    <row r="2" spans="2:8" ht="13.5">
      <c r="B2" s="276"/>
      <c r="C2" s="276"/>
      <c r="D2" s="276"/>
      <c r="E2" s="751" t="s">
        <v>427</v>
      </c>
      <c r="F2" s="276"/>
      <c r="H2" s="276"/>
    </row>
    <row r="3" spans="2:8" ht="12.75">
      <c r="B3" s="276"/>
      <c r="C3" s="276"/>
      <c r="D3" s="276"/>
      <c r="E3" s="276"/>
      <c r="F3" s="276"/>
      <c r="G3" s="276"/>
      <c r="H3" s="276"/>
    </row>
    <row r="4" spans="2:8" ht="13.5">
      <c r="B4" s="749" t="s">
        <v>260</v>
      </c>
      <c r="C4" s="276"/>
      <c r="D4" s="276"/>
      <c r="E4" s="754">
        <v>42339</v>
      </c>
      <c r="F4" s="276"/>
      <c r="H4" s="761"/>
    </row>
    <row r="5" spans="2:8" ht="13.5">
      <c r="B5" s="749" t="s">
        <v>425</v>
      </c>
      <c r="C5" s="276"/>
      <c r="D5" s="276"/>
      <c r="E5" s="753" t="s">
        <v>428</v>
      </c>
      <c r="F5" s="276"/>
      <c r="H5" s="762"/>
    </row>
    <row r="6" ht="13.5" thickBot="1"/>
    <row r="7" spans="1:8" ht="13.5">
      <c r="A7" s="1195" t="s">
        <v>227</v>
      </c>
      <c r="B7" s="1196"/>
      <c r="C7" s="1196"/>
      <c r="D7" s="1196"/>
      <c r="E7" s="1196"/>
      <c r="F7" s="1196"/>
      <c r="G7" s="1196"/>
      <c r="H7" s="1193">
        <v>2016</v>
      </c>
    </row>
    <row r="8" spans="1:8" ht="24.75" customHeight="1" thickBot="1">
      <c r="A8" s="1197" t="s">
        <v>312</v>
      </c>
      <c r="B8" s="1198"/>
      <c r="C8" s="1198"/>
      <c r="D8" s="1198"/>
      <c r="E8" s="1198"/>
      <c r="F8" s="1198"/>
      <c r="G8" s="1198"/>
      <c r="H8" s="1194"/>
    </row>
    <row r="9" spans="1:8" ht="33" customHeight="1" thickBot="1">
      <c r="A9" s="1199" t="str">
        <f>CPYG!A8</f>
        <v>EMPRESA PÚBLICA: AUDITORIO DE TENERIFE, S.A.U.</v>
      </c>
      <c r="B9" s="1200"/>
      <c r="C9" s="1200"/>
      <c r="D9" s="1200"/>
      <c r="E9" s="1200"/>
      <c r="F9" s="1200"/>
      <c r="G9" s="1201"/>
      <c r="H9" s="317" t="s">
        <v>173</v>
      </c>
    </row>
    <row r="10" spans="1:8" ht="12.75">
      <c r="A10" s="227"/>
      <c r="B10" s="158"/>
      <c r="C10" s="158"/>
      <c r="D10" s="158"/>
      <c r="E10" s="158"/>
      <c r="F10" s="158"/>
      <c r="G10" s="158"/>
      <c r="H10" s="228"/>
    </row>
    <row r="11" spans="1:8" ht="12.75">
      <c r="A11" s="227"/>
      <c r="B11" s="1202" t="s">
        <v>313</v>
      </c>
      <c r="C11" s="1202"/>
      <c r="D11" s="1202"/>
      <c r="E11" s="1202"/>
      <c r="F11" s="1202"/>
      <c r="G11" s="1202"/>
      <c r="H11" s="1203"/>
    </row>
    <row r="12" spans="1:8" ht="12.75">
      <c r="A12" s="227"/>
      <c r="B12" s="158"/>
      <c r="C12" s="158"/>
      <c r="D12" s="158"/>
      <c r="E12" s="158"/>
      <c r="F12" s="158"/>
      <c r="G12" s="158"/>
      <c r="H12" s="228"/>
    </row>
    <row r="13" spans="1:8" ht="12.75">
      <c r="A13" s="1076" t="s">
        <v>314</v>
      </c>
      <c r="B13" s="1077"/>
      <c r="C13" s="158"/>
      <c r="D13" s="158"/>
      <c r="E13" s="158"/>
      <c r="F13" s="158"/>
      <c r="G13" s="158"/>
      <c r="H13" s="228"/>
    </row>
    <row r="14" spans="1:8" ht="12.75">
      <c r="A14" s="227"/>
      <c r="B14" s="158"/>
      <c r="C14" s="158"/>
      <c r="D14" s="158"/>
      <c r="E14" s="158"/>
      <c r="F14" s="158"/>
      <c r="G14" s="158"/>
      <c r="H14" s="228"/>
    </row>
    <row r="15" spans="1:8" ht="12.75">
      <c r="A15" s="318" t="s">
        <v>358</v>
      </c>
      <c r="B15" s="319" t="s">
        <v>315</v>
      </c>
      <c r="C15" s="319"/>
      <c r="D15" s="319"/>
      <c r="E15" s="158"/>
      <c r="F15" s="158"/>
      <c r="G15" s="158"/>
      <c r="H15" s="228"/>
    </row>
    <row r="16" spans="1:8" ht="12.75">
      <c r="A16" s="318"/>
      <c r="B16" s="319" t="s">
        <v>316</v>
      </c>
      <c r="C16" s="319"/>
      <c r="D16" s="319"/>
      <c r="E16" s="158"/>
      <c r="F16" s="158"/>
      <c r="G16" s="158"/>
      <c r="H16" s="228"/>
    </row>
    <row r="17" spans="1:8" ht="12.75">
      <c r="A17" s="318"/>
      <c r="B17" s="319" t="s">
        <v>319</v>
      </c>
      <c r="C17" s="319"/>
      <c r="D17" s="319"/>
      <c r="E17" s="158"/>
      <c r="F17" s="158"/>
      <c r="G17" s="158"/>
      <c r="H17" s="228"/>
    </row>
    <row r="18" spans="1:8" ht="12.75">
      <c r="A18" s="318"/>
      <c r="B18" s="319" t="s">
        <v>320</v>
      </c>
      <c r="C18" s="319"/>
      <c r="D18" s="319"/>
      <c r="E18" s="158"/>
      <c r="F18" s="158"/>
      <c r="G18" s="158"/>
      <c r="H18" s="228"/>
    </row>
    <row r="19" spans="1:8" ht="12.75">
      <c r="A19" s="318"/>
      <c r="B19" s="319" t="s">
        <v>321</v>
      </c>
      <c r="C19" s="319"/>
      <c r="D19" s="319"/>
      <c r="E19" s="158"/>
      <c r="F19" s="158"/>
      <c r="G19" s="158"/>
      <c r="H19" s="228"/>
    </row>
    <row r="20" spans="1:8" ht="12.75">
      <c r="A20" s="227"/>
      <c r="B20" s="158"/>
      <c r="C20" s="158"/>
      <c r="D20" s="158"/>
      <c r="E20" s="158"/>
      <c r="F20" s="158"/>
      <c r="G20" s="158"/>
      <c r="H20" s="228"/>
    </row>
    <row r="21" spans="1:8" ht="12.75">
      <c r="A21" s="1076" t="s">
        <v>322</v>
      </c>
      <c r="B21" s="1077"/>
      <c r="C21" s="1077"/>
      <c r="D21" s="1077"/>
      <c r="E21" s="158"/>
      <c r="F21" s="158"/>
      <c r="G21" s="158"/>
      <c r="H21" s="228"/>
    </row>
    <row r="22" spans="1:8" ht="12.75">
      <c r="A22" s="227"/>
      <c r="B22" s="158"/>
      <c r="C22" s="158"/>
      <c r="D22" s="158"/>
      <c r="E22" s="158"/>
      <c r="F22" s="158"/>
      <c r="G22" s="158"/>
      <c r="H22" s="228"/>
    </row>
    <row r="23" spans="1:8" ht="12.75">
      <c r="A23" s="1204" t="s">
        <v>323</v>
      </c>
      <c r="B23" s="1205"/>
      <c r="C23" s="1205"/>
      <c r="D23" s="1205"/>
      <c r="E23" s="1206"/>
      <c r="F23" s="158"/>
      <c r="G23" s="158"/>
      <c r="H23" s="228"/>
    </row>
    <row r="24" spans="1:8" ht="12.75">
      <c r="A24" s="227"/>
      <c r="B24" s="158"/>
      <c r="C24" s="158"/>
      <c r="D24" s="158"/>
      <c r="E24" s="158"/>
      <c r="F24" s="158"/>
      <c r="G24" s="158"/>
      <c r="H24" s="228"/>
    </row>
    <row r="25" spans="1:8" ht="12.75">
      <c r="A25" s="227"/>
      <c r="B25" s="158"/>
      <c r="C25" s="158"/>
      <c r="D25" s="158"/>
      <c r="E25" s="158"/>
      <c r="F25" s="1192" t="s">
        <v>324</v>
      </c>
      <c r="G25" s="1192"/>
      <c r="H25" s="748">
        <f>C41</f>
        <v>28</v>
      </c>
    </row>
    <row r="26" spans="1:11" ht="12.75">
      <c r="A26" s="227"/>
      <c r="B26" s="158"/>
      <c r="C26" s="158"/>
      <c r="D26" s="158"/>
      <c r="E26" s="158"/>
      <c r="F26" s="1192" t="s">
        <v>325</v>
      </c>
      <c r="G26" s="1192"/>
      <c r="H26" s="748">
        <f>H41+H49</f>
        <v>1168687.01</v>
      </c>
      <c r="J26" s="861">
        <f>+H26+CPYG!D46</f>
        <v>0</v>
      </c>
      <c r="K26" s="778"/>
    </row>
    <row r="27" spans="1:8" ht="12.75">
      <c r="A27" s="227"/>
      <c r="B27" s="158"/>
      <c r="C27" s="158"/>
      <c r="D27" s="158"/>
      <c r="E27" s="158"/>
      <c r="F27" s="158"/>
      <c r="G27" s="158"/>
      <c r="H27" s="228"/>
    </row>
    <row r="28" spans="1:8" ht="12.75">
      <c r="A28" s="227"/>
      <c r="B28" s="158"/>
      <c r="C28" s="158"/>
      <c r="D28" s="158"/>
      <c r="E28" s="158"/>
      <c r="F28" s="158"/>
      <c r="G28" s="158"/>
      <c r="H28" s="228"/>
    </row>
    <row r="29" spans="1:8" ht="12.75">
      <c r="A29" s="227"/>
      <c r="B29" s="158"/>
      <c r="C29" s="158"/>
      <c r="D29" s="158"/>
      <c r="E29" s="158"/>
      <c r="F29" s="158"/>
      <c r="G29" s="158"/>
      <c r="H29" s="625"/>
    </row>
    <row r="30" spans="1:8" ht="12.75">
      <c r="A30" s="1076" t="s">
        <v>326</v>
      </c>
      <c r="B30" s="1077"/>
      <c r="C30" s="1077"/>
      <c r="D30" s="158"/>
      <c r="E30" s="158"/>
      <c r="F30" s="158"/>
      <c r="G30" s="158"/>
      <c r="H30" s="228"/>
    </row>
    <row r="31" spans="1:8" ht="13.5" thickBot="1">
      <c r="A31" s="227"/>
      <c r="B31" s="158"/>
      <c r="C31" s="158"/>
      <c r="D31" s="158"/>
      <c r="E31" s="158"/>
      <c r="F31" s="158"/>
      <c r="G31" s="158"/>
      <c r="H31" s="228"/>
    </row>
    <row r="32" spans="1:8" ht="13.5" thickBot="1">
      <c r="A32" s="1183" t="s">
        <v>327</v>
      </c>
      <c r="B32" s="1184"/>
      <c r="C32" s="1182" t="s">
        <v>328</v>
      </c>
      <c r="D32" s="1182" t="s">
        <v>329</v>
      </c>
      <c r="E32" s="1182"/>
      <c r="F32" s="1182"/>
      <c r="G32" s="1182"/>
      <c r="H32" s="1182"/>
    </row>
    <row r="33" spans="1:8" ht="13.5" thickBot="1">
      <c r="A33" s="1185"/>
      <c r="B33" s="1186"/>
      <c r="C33" s="1182"/>
      <c r="D33" s="1182" t="s">
        <v>330</v>
      </c>
      <c r="E33" s="1182" t="s">
        <v>331</v>
      </c>
      <c r="F33" s="1182" t="s">
        <v>332</v>
      </c>
      <c r="G33" s="1182" t="s">
        <v>333</v>
      </c>
      <c r="H33" s="1182" t="s">
        <v>335</v>
      </c>
    </row>
    <row r="34" spans="1:8" ht="13.5" thickBot="1">
      <c r="A34" s="1187"/>
      <c r="B34" s="1188"/>
      <c r="C34" s="1182"/>
      <c r="D34" s="1182"/>
      <c r="E34" s="1182"/>
      <c r="F34" s="1182"/>
      <c r="G34" s="1182"/>
      <c r="H34" s="1182"/>
    </row>
    <row r="35" spans="1:8" ht="15" customHeight="1">
      <c r="A35" s="1173" t="s">
        <v>336</v>
      </c>
      <c r="B35" s="1174"/>
      <c r="C35" s="321"/>
      <c r="D35" s="321"/>
      <c r="E35" s="321"/>
      <c r="F35" s="321"/>
      <c r="G35" s="321"/>
      <c r="H35" s="322">
        <f aca="true" t="shared" si="0" ref="H35:H40">D35+E35+F35+G35</f>
        <v>0</v>
      </c>
    </row>
    <row r="36" spans="1:8" ht="15" customHeight="1">
      <c r="A36" s="1173" t="s">
        <v>337</v>
      </c>
      <c r="B36" s="1174"/>
      <c r="C36" s="323">
        <v>1</v>
      </c>
      <c r="D36" s="323">
        <v>72921.11</v>
      </c>
      <c r="E36" s="323"/>
      <c r="F36" s="323"/>
      <c r="G36" s="323"/>
      <c r="H36" s="324">
        <f t="shared" si="0"/>
        <v>72921.11</v>
      </c>
    </row>
    <row r="37" spans="1:8" ht="15" customHeight="1">
      <c r="A37" s="1173" t="s">
        <v>338</v>
      </c>
      <c r="B37" s="1174"/>
      <c r="C37" s="323">
        <v>1</v>
      </c>
      <c r="D37" s="323">
        <f>43695.57+1510.77</f>
        <v>45206.34</v>
      </c>
      <c r="E37" s="323"/>
      <c r="F37" s="323"/>
      <c r="G37" s="323"/>
      <c r="H37" s="324">
        <f t="shared" si="0"/>
        <v>45206.34</v>
      </c>
    </row>
    <row r="38" spans="1:8" ht="15" customHeight="1">
      <c r="A38" s="1173" t="s">
        <v>339</v>
      </c>
      <c r="B38" s="1174"/>
      <c r="C38" s="323">
        <v>25</v>
      </c>
      <c r="D38" s="323">
        <f>732617.43-3101.85+28884.84</f>
        <v>758400.42</v>
      </c>
      <c r="E38" s="323"/>
      <c r="F38" s="323"/>
      <c r="G38" s="323"/>
      <c r="H38" s="324">
        <f t="shared" si="0"/>
        <v>758400.42</v>
      </c>
    </row>
    <row r="39" spans="1:8" ht="15" customHeight="1">
      <c r="A39" s="1173" t="s">
        <v>340</v>
      </c>
      <c r="B39" s="1174"/>
      <c r="C39" s="323">
        <v>1</v>
      </c>
      <c r="D39" s="323">
        <f>22822.8+796.99</f>
        <v>23619.79</v>
      </c>
      <c r="E39" s="323"/>
      <c r="F39" s="323"/>
      <c r="G39" s="323"/>
      <c r="H39" s="324">
        <f t="shared" si="0"/>
        <v>23619.79</v>
      </c>
    </row>
    <row r="40" spans="1:8" ht="15" customHeight="1">
      <c r="A40" s="1173" t="s">
        <v>17</v>
      </c>
      <c r="B40" s="1174"/>
      <c r="C40" s="323"/>
      <c r="D40" s="323"/>
      <c r="E40" s="323"/>
      <c r="F40" s="323"/>
      <c r="G40" s="323"/>
      <c r="H40" s="324">
        <f t="shared" si="0"/>
        <v>0</v>
      </c>
    </row>
    <row r="41" spans="1:10" ht="15" customHeight="1" thickBot="1">
      <c r="A41" s="1175" t="s">
        <v>492</v>
      </c>
      <c r="B41" s="1176"/>
      <c r="C41" s="325">
        <f aca="true" t="shared" si="1" ref="C41:H41">C35+C36+C37+C38+C39+C40</f>
        <v>28</v>
      </c>
      <c r="D41" s="325">
        <f t="shared" si="1"/>
        <v>900147.66</v>
      </c>
      <c r="E41" s="325">
        <f t="shared" si="1"/>
        <v>0</v>
      </c>
      <c r="F41" s="325">
        <f t="shared" si="1"/>
        <v>0</v>
      </c>
      <c r="G41" s="325">
        <f t="shared" si="1"/>
        <v>0</v>
      </c>
      <c r="H41" s="326">
        <f t="shared" si="1"/>
        <v>900147.66</v>
      </c>
      <c r="J41" s="861">
        <f>+H41+CPYG!D47</f>
        <v>0</v>
      </c>
    </row>
    <row r="42" spans="1:8" ht="12.75">
      <c r="A42" s="227"/>
      <c r="B42" s="158"/>
      <c r="C42" s="158"/>
      <c r="D42" s="158"/>
      <c r="E42" s="158"/>
      <c r="F42" s="158"/>
      <c r="G42" s="158"/>
      <c r="H42" s="228"/>
    </row>
    <row r="43" spans="1:8" ht="12.75">
      <c r="A43" s="227"/>
      <c r="B43" s="158"/>
      <c r="C43" s="158"/>
      <c r="D43" s="158"/>
      <c r="E43" s="158"/>
      <c r="F43" s="158"/>
      <c r="G43" s="158"/>
      <c r="H43" s="228"/>
    </row>
    <row r="44" spans="1:8" ht="12.75">
      <c r="A44" s="1076" t="s">
        <v>341</v>
      </c>
      <c r="B44" s="1077"/>
      <c r="C44" s="1077"/>
      <c r="D44" s="158"/>
      <c r="E44" s="158"/>
      <c r="F44" s="158"/>
      <c r="G44" s="158"/>
      <c r="H44" s="228"/>
    </row>
    <row r="45" spans="1:8" ht="13.5" thickBot="1">
      <c r="A45" s="227"/>
      <c r="B45" s="158"/>
      <c r="C45" s="158"/>
      <c r="D45" s="158"/>
      <c r="E45" s="158"/>
      <c r="F45" s="158"/>
      <c r="G45" s="158"/>
      <c r="H45" s="228"/>
    </row>
    <row r="46" spans="1:8" ht="15" customHeight="1" thickBot="1">
      <c r="A46" s="1189" t="s">
        <v>476</v>
      </c>
      <c r="B46" s="1190"/>
      <c r="C46" s="1190"/>
      <c r="D46" s="1191"/>
      <c r="E46" s="1179" t="s">
        <v>95</v>
      </c>
      <c r="F46" s="1180"/>
      <c r="G46" s="1180"/>
      <c r="H46" s="1181"/>
    </row>
    <row r="47" spans="1:10" ht="15" customHeight="1">
      <c r="A47" s="1173" t="s">
        <v>359</v>
      </c>
      <c r="B47" s="1177"/>
      <c r="C47" s="320"/>
      <c r="D47" s="158"/>
      <c r="E47" s="158"/>
      <c r="F47" s="158"/>
      <c r="G47" s="158"/>
      <c r="H47" s="327">
        <f>7500+75</f>
        <v>7575</v>
      </c>
      <c r="J47" s="861">
        <f>+H47+CPYG!D50</f>
        <v>0</v>
      </c>
    </row>
    <row r="48" spans="1:10" ht="15" customHeight="1">
      <c r="A48" s="1173" t="s">
        <v>342</v>
      </c>
      <c r="B48" s="1177"/>
      <c r="C48" s="320"/>
      <c r="D48" s="158"/>
      <c r="E48" s="158"/>
      <c r="F48" s="158"/>
      <c r="G48" s="158"/>
      <c r="H48" s="327">
        <f>259607.76+(2356.59-1000)</f>
        <v>260964.35</v>
      </c>
      <c r="J48" s="861">
        <f>+H48+CPYG!D49</f>
        <v>0</v>
      </c>
    </row>
    <row r="49" spans="1:8" ht="15" customHeight="1" thickBot="1">
      <c r="A49" s="1175" t="s">
        <v>343</v>
      </c>
      <c r="B49" s="1178"/>
      <c r="C49" s="328"/>
      <c r="D49" s="329"/>
      <c r="E49" s="329"/>
      <c r="F49" s="329"/>
      <c r="G49" s="329"/>
      <c r="H49" s="330">
        <f>H47+H48</f>
        <v>268539.35</v>
      </c>
    </row>
    <row r="50" spans="1:8" ht="12.75">
      <c r="A50" s="227"/>
      <c r="B50" s="158"/>
      <c r="C50" s="158"/>
      <c r="D50" s="158"/>
      <c r="E50" s="158"/>
      <c r="F50" s="158"/>
      <c r="G50" s="158"/>
      <c r="H50" s="625"/>
    </row>
    <row r="51" spans="1:8" ht="12.75">
      <c r="A51" s="227"/>
      <c r="B51" s="158"/>
      <c r="C51" s="158"/>
      <c r="D51" s="158"/>
      <c r="E51" s="158"/>
      <c r="F51" s="158"/>
      <c r="G51" s="158"/>
      <c r="H51" s="228"/>
    </row>
    <row r="52" spans="1:8" ht="12.75">
      <c r="A52" s="227"/>
      <c r="B52" s="331" t="s">
        <v>344</v>
      </c>
      <c r="C52" s="158"/>
      <c r="D52" s="158"/>
      <c r="E52" s="158"/>
      <c r="F52" s="158"/>
      <c r="G52" s="158"/>
      <c r="H52" s="228"/>
    </row>
    <row r="53" spans="1:8" ht="12.75">
      <c r="A53" s="227"/>
      <c r="B53" s="158"/>
      <c r="C53" s="158"/>
      <c r="D53" s="158"/>
      <c r="E53" s="158"/>
      <c r="F53" s="158"/>
      <c r="G53" s="158"/>
      <c r="H53" s="228"/>
    </row>
    <row r="54" spans="1:8" ht="12.75" customHeight="1">
      <c r="A54" s="1164"/>
      <c r="B54" s="1165"/>
      <c r="C54" s="1165"/>
      <c r="D54" s="1165"/>
      <c r="E54" s="1165"/>
      <c r="F54" s="1165"/>
      <c r="G54" s="1165"/>
      <c r="H54" s="1166"/>
    </row>
    <row r="55" spans="1:8" ht="12.75">
      <c r="A55" s="1167"/>
      <c r="B55" s="1168"/>
      <c r="C55" s="1168"/>
      <c r="D55" s="1168"/>
      <c r="E55" s="1168"/>
      <c r="F55" s="1168"/>
      <c r="G55" s="1168"/>
      <c r="H55" s="1169"/>
    </row>
    <row r="56" spans="1:8" ht="12.75">
      <c r="A56" s="1167"/>
      <c r="B56" s="1168"/>
      <c r="C56" s="1168"/>
      <c r="D56" s="1168"/>
      <c r="E56" s="1168"/>
      <c r="F56" s="1168"/>
      <c r="G56" s="1168"/>
      <c r="H56" s="1169"/>
    </row>
    <row r="57" spans="1:8" ht="12.75">
      <c r="A57" s="1167"/>
      <c r="B57" s="1168"/>
      <c r="C57" s="1168"/>
      <c r="D57" s="1168"/>
      <c r="E57" s="1168"/>
      <c r="F57" s="1168"/>
      <c r="G57" s="1168"/>
      <c r="H57" s="1169"/>
    </row>
    <row r="58" spans="1:8" ht="12.75">
      <c r="A58" s="1170"/>
      <c r="B58" s="1171"/>
      <c r="C58" s="1171"/>
      <c r="D58" s="1171"/>
      <c r="E58" s="1171"/>
      <c r="F58" s="1171"/>
      <c r="G58" s="1171"/>
      <c r="H58" s="1172"/>
    </row>
    <row r="59" spans="1:8" ht="13.5" thickBot="1">
      <c r="A59" s="332"/>
      <c r="B59" s="329"/>
      <c r="C59" s="329"/>
      <c r="D59" s="329"/>
      <c r="E59" s="329"/>
      <c r="F59" s="329"/>
      <c r="G59" s="329"/>
      <c r="H59" s="333"/>
    </row>
  </sheetData>
  <sheetProtection/>
  <mergeCells count="33">
    <mergeCell ref="F26:G26"/>
    <mergeCell ref="H7:H8"/>
    <mergeCell ref="A7:G7"/>
    <mergeCell ref="A8:G8"/>
    <mergeCell ref="A9:G9"/>
    <mergeCell ref="B11:H11"/>
    <mergeCell ref="F25:G25"/>
    <mergeCell ref="A13:B13"/>
    <mergeCell ref="A21:D21"/>
    <mergeCell ref="A23:E23"/>
    <mergeCell ref="A47:B47"/>
    <mergeCell ref="A44:C44"/>
    <mergeCell ref="A46:D46"/>
    <mergeCell ref="D32:H32"/>
    <mergeCell ref="G33:G34"/>
    <mergeCell ref="H33:H34"/>
    <mergeCell ref="A39:B39"/>
    <mergeCell ref="A30:C30"/>
    <mergeCell ref="C32:C34"/>
    <mergeCell ref="D33:D34"/>
    <mergeCell ref="F33:F34"/>
    <mergeCell ref="E33:E34"/>
    <mergeCell ref="A32:B34"/>
    <mergeCell ref="A54:H58"/>
    <mergeCell ref="A35:B35"/>
    <mergeCell ref="A36:B36"/>
    <mergeCell ref="A37:B37"/>
    <mergeCell ref="A38:B38"/>
    <mergeCell ref="A40:B40"/>
    <mergeCell ref="A41:B41"/>
    <mergeCell ref="A48:B48"/>
    <mergeCell ref="A49:B49"/>
    <mergeCell ref="E46:H4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55" zoomScaleNormal="55" zoomScalePageLayoutView="0" workbookViewId="0" topLeftCell="A1">
      <selection activeCell="B4" sqref="B4"/>
    </sheetView>
  </sheetViews>
  <sheetFormatPr defaultColWidth="11.421875" defaultRowHeight="12.75"/>
  <cols>
    <col min="1" max="1" width="72.140625" style="208" customWidth="1"/>
    <col min="2" max="2" width="15.7109375" style="208" customWidth="1"/>
    <col min="3" max="3" width="66.8515625" style="208" customWidth="1"/>
    <col min="4" max="4" width="16.00390625" style="208" customWidth="1"/>
    <col min="5" max="5" width="11.57421875" style="208" customWidth="1"/>
    <col min="6" max="6" width="20.8515625" style="870" hidden="1" customWidth="1"/>
    <col min="7" max="16384" width="11.57421875" style="208" customWidth="1"/>
  </cols>
  <sheetData>
    <row r="1" spans="1:7" ht="13.5">
      <c r="A1" s="276"/>
      <c r="B1" s="750" t="s">
        <v>426</v>
      </c>
      <c r="C1" s="276"/>
      <c r="D1" s="276"/>
      <c r="E1" s="276"/>
      <c r="G1" s="276"/>
    </row>
    <row r="2" spans="1:7" ht="13.5">
      <c r="A2" s="276"/>
      <c r="B2" s="751" t="s">
        <v>427</v>
      </c>
      <c r="C2" s="276"/>
      <c r="D2" s="276"/>
      <c r="E2" s="276"/>
      <c r="G2" s="276"/>
    </row>
    <row r="3" spans="1:7" ht="12.75">
      <c r="A3" s="276"/>
      <c r="B3" s="276"/>
      <c r="C3" s="276"/>
      <c r="D3" s="276"/>
      <c r="E3" s="276"/>
      <c r="F3" s="868"/>
      <c r="G3" s="276"/>
    </row>
    <row r="4" spans="1:7" ht="13.5">
      <c r="A4" s="749" t="s">
        <v>260</v>
      </c>
      <c r="B4" s="754">
        <v>42339</v>
      </c>
      <c r="C4" s="276"/>
      <c r="D4" s="276"/>
      <c r="E4" s="276"/>
      <c r="G4" s="761"/>
    </row>
    <row r="5" spans="1:7" ht="13.5">
      <c r="A5" s="749" t="s">
        <v>425</v>
      </c>
      <c r="B5" s="753" t="s">
        <v>428</v>
      </c>
      <c r="C5" s="276"/>
      <c r="D5" s="276"/>
      <c r="E5" s="276"/>
      <c r="G5" s="762"/>
    </row>
    <row r="6" ht="13.5" thickBot="1"/>
    <row r="7" spans="1:4" ht="49.5" customHeight="1" thickTop="1">
      <c r="A7" s="1215" t="s">
        <v>467</v>
      </c>
      <c r="B7" s="1216"/>
      <c r="C7" s="1217"/>
      <c r="D7" s="334">
        <f>CPYG!D7</f>
        <v>2016</v>
      </c>
    </row>
    <row r="8" spans="1:4" ht="42.75" customHeight="1">
      <c r="A8" s="1218" t="str">
        <f>CPYG!A8</f>
        <v>EMPRESA PÚBLICA: AUDITORIO DE TENERIFE, S.A.U.</v>
      </c>
      <c r="B8" s="1219"/>
      <c r="C8" s="1220"/>
      <c r="D8" s="335" t="s">
        <v>181</v>
      </c>
    </row>
    <row r="9" spans="1:6" s="133" customFormat="1" ht="24.75" customHeight="1">
      <c r="A9" s="1221" t="s">
        <v>717</v>
      </c>
      <c r="B9" s="1222"/>
      <c r="C9" s="1222"/>
      <c r="D9" s="1223"/>
      <c r="F9" s="800"/>
    </row>
    <row r="10" spans="1:6" s="133" customFormat="1" ht="16.5" customHeight="1">
      <c r="A10" s="1224" t="s">
        <v>97</v>
      </c>
      <c r="B10" s="1225"/>
      <c r="C10" s="1226" t="s">
        <v>99</v>
      </c>
      <c r="D10" s="1227"/>
      <c r="F10" s="800"/>
    </row>
    <row r="11" spans="1:6" s="133" customFormat="1" ht="19.5" customHeight="1">
      <c r="A11" s="337" t="s">
        <v>98</v>
      </c>
      <c r="B11" s="338" t="s">
        <v>95</v>
      </c>
      <c r="C11" s="338" t="s">
        <v>98</v>
      </c>
      <c r="D11" s="339" t="s">
        <v>95</v>
      </c>
      <c r="F11" s="800"/>
    </row>
    <row r="12" spans="1:6" s="133" customFormat="1" ht="19.5" customHeight="1">
      <c r="A12" s="340" t="s">
        <v>122</v>
      </c>
      <c r="B12" s="341"/>
      <c r="C12" s="342" t="s">
        <v>122</v>
      </c>
      <c r="D12" s="343"/>
      <c r="F12" s="800"/>
    </row>
    <row r="13" spans="1:6" s="133" customFormat="1" ht="19.5" customHeight="1">
      <c r="A13" s="344" t="s">
        <v>123</v>
      </c>
      <c r="B13" s="345"/>
      <c r="C13" s="346" t="s">
        <v>123</v>
      </c>
      <c r="D13" s="347"/>
      <c r="F13" s="800"/>
    </row>
    <row r="14" spans="1:6" s="133" customFormat="1" ht="19.5" customHeight="1">
      <c r="A14" s="344" t="s">
        <v>124</v>
      </c>
      <c r="B14" s="345"/>
      <c r="C14" s="346" t="s">
        <v>124</v>
      </c>
      <c r="D14" s="347"/>
      <c r="F14" s="800"/>
    </row>
    <row r="15" spans="1:6" s="133" customFormat="1" ht="19.5" customHeight="1">
      <c r="A15" s="344" t="s">
        <v>125</v>
      </c>
      <c r="B15" s="345">
        <v>200700</v>
      </c>
      <c r="C15" s="346" t="s">
        <v>125</v>
      </c>
      <c r="D15" s="347"/>
      <c r="F15" s="871">
        <f>+B15/107*100</f>
        <v>187570.09345794393</v>
      </c>
    </row>
    <row r="16" spans="1:6" s="133" customFormat="1" ht="19.5" customHeight="1">
      <c r="A16" s="344" t="s">
        <v>126</v>
      </c>
      <c r="B16" s="345"/>
      <c r="C16" s="346" t="s">
        <v>126</v>
      </c>
      <c r="D16" s="347"/>
      <c r="F16" s="800"/>
    </row>
    <row r="17" spans="1:6" s="133" customFormat="1" ht="19.5" customHeight="1">
      <c r="A17" s="344" t="s">
        <v>466</v>
      </c>
      <c r="B17" s="345"/>
      <c r="C17" s="346" t="s">
        <v>466</v>
      </c>
      <c r="D17" s="347"/>
      <c r="F17" s="800"/>
    </row>
    <row r="18" spans="1:6" s="226" customFormat="1" ht="19.5" customHeight="1">
      <c r="A18" s="348" t="s">
        <v>718</v>
      </c>
      <c r="B18" s="349"/>
      <c r="C18" s="346" t="s">
        <v>718</v>
      </c>
      <c r="D18" s="350"/>
      <c r="F18" s="849"/>
    </row>
    <row r="19" spans="1:6" s="133" customFormat="1" ht="19.5" customHeight="1">
      <c r="A19" s="344" t="s">
        <v>159</v>
      </c>
      <c r="B19" s="345"/>
      <c r="C19" s="346" t="s">
        <v>159</v>
      </c>
      <c r="D19" s="347"/>
      <c r="F19" s="800"/>
    </row>
    <row r="20" spans="1:6" s="133" customFormat="1" ht="19.5" customHeight="1">
      <c r="A20" s="344" t="s">
        <v>127</v>
      </c>
      <c r="B20" s="351"/>
      <c r="C20" s="346" t="s">
        <v>127</v>
      </c>
      <c r="D20" s="352"/>
      <c r="F20" s="872"/>
    </row>
    <row r="21" spans="1:6" s="133" customFormat="1" ht="19.5" customHeight="1">
      <c r="A21" s="344" t="s">
        <v>128</v>
      </c>
      <c r="B21" s="351"/>
      <c r="C21" s="346" t="s">
        <v>128</v>
      </c>
      <c r="D21" s="352"/>
      <c r="F21" s="800"/>
    </row>
    <row r="22" spans="1:6" s="133" customFormat="1" ht="19.5" customHeight="1">
      <c r="A22" s="344" t="s">
        <v>129</v>
      </c>
      <c r="B22" s="351"/>
      <c r="C22" s="346" t="s">
        <v>129</v>
      </c>
      <c r="D22" s="352"/>
      <c r="F22" s="800"/>
    </row>
    <row r="23" spans="1:6" s="133" customFormat="1" ht="19.5" customHeight="1">
      <c r="A23" s="344" t="s">
        <v>131</v>
      </c>
      <c r="B23" s="351"/>
      <c r="C23" s="346" t="s">
        <v>131</v>
      </c>
      <c r="D23" s="347"/>
      <c r="F23" s="800"/>
    </row>
    <row r="24" spans="1:6" s="133" customFormat="1" ht="19.5" customHeight="1">
      <c r="A24" s="344" t="s">
        <v>130</v>
      </c>
      <c r="B24" s="345"/>
      <c r="C24" s="346" t="s">
        <v>130</v>
      </c>
      <c r="D24" s="347"/>
      <c r="F24" s="800"/>
    </row>
    <row r="25" spans="1:6" s="133" customFormat="1" ht="19.5" customHeight="1">
      <c r="A25" s="344" t="s">
        <v>719</v>
      </c>
      <c r="B25" s="345"/>
      <c r="C25" s="346" t="s">
        <v>720</v>
      </c>
      <c r="D25" s="347"/>
      <c r="F25" s="800"/>
    </row>
    <row r="26" spans="1:6" s="226" customFormat="1" ht="19.5" customHeight="1">
      <c r="A26" s="348" t="s">
        <v>132</v>
      </c>
      <c r="B26" s="349"/>
      <c r="C26" s="346" t="s">
        <v>132</v>
      </c>
      <c r="D26" s="350"/>
      <c r="F26" s="849"/>
    </row>
    <row r="27" spans="1:6" s="133" customFormat="1" ht="19.5" customHeight="1">
      <c r="A27" s="344" t="s">
        <v>721</v>
      </c>
      <c r="B27" s="345"/>
      <c r="C27" s="346" t="s">
        <v>721</v>
      </c>
      <c r="D27" s="347"/>
      <c r="F27" s="800"/>
    </row>
    <row r="28" spans="1:6" s="133" customFormat="1" ht="19.5" customHeight="1">
      <c r="A28" s="344" t="s">
        <v>135</v>
      </c>
      <c r="B28" s="345"/>
      <c r="C28" s="346" t="s">
        <v>135</v>
      </c>
      <c r="D28" s="347"/>
      <c r="F28" s="800"/>
    </row>
    <row r="29" spans="1:6" s="133" customFormat="1" ht="19.5" customHeight="1">
      <c r="A29" s="344" t="s">
        <v>722</v>
      </c>
      <c r="B29" s="345"/>
      <c r="C29" s="346" t="s">
        <v>722</v>
      </c>
      <c r="D29" s="347"/>
      <c r="F29" s="800"/>
    </row>
    <row r="30" spans="1:6" s="133" customFormat="1" ht="19.5" customHeight="1">
      <c r="A30" s="344" t="s">
        <v>723</v>
      </c>
      <c r="B30" s="345"/>
      <c r="C30" s="346" t="s">
        <v>723</v>
      </c>
      <c r="D30" s="347"/>
      <c r="F30" s="800"/>
    </row>
    <row r="31" spans="1:6" s="133" customFormat="1" ht="19.5" customHeight="1">
      <c r="A31" s="344" t="s">
        <v>134</v>
      </c>
      <c r="B31" s="345"/>
      <c r="C31" s="346" t="s">
        <v>134</v>
      </c>
      <c r="D31" s="347"/>
      <c r="F31" s="800"/>
    </row>
    <row r="32" spans="1:6" s="133" customFormat="1" ht="19.5" customHeight="1">
      <c r="A32" s="344" t="s">
        <v>724</v>
      </c>
      <c r="B32" s="345"/>
      <c r="C32" s="346" t="s">
        <v>724</v>
      </c>
      <c r="D32" s="347"/>
      <c r="F32" s="800"/>
    </row>
    <row r="33" spans="1:6" s="133" customFormat="1" ht="19.5" customHeight="1">
      <c r="A33" s="344" t="s">
        <v>725</v>
      </c>
      <c r="B33" s="345"/>
      <c r="C33" s="346" t="s">
        <v>725</v>
      </c>
      <c r="D33" s="347"/>
      <c r="F33" s="800"/>
    </row>
    <row r="34" spans="1:6" s="133" customFormat="1" ht="19.5" customHeight="1">
      <c r="A34" s="344" t="s">
        <v>726</v>
      </c>
      <c r="B34" s="345"/>
      <c r="C34" s="346" t="s">
        <v>726</v>
      </c>
      <c r="D34" s="347"/>
      <c r="F34" s="800"/>
    </row>
    <row r="35" spans="1:6" s="133" customFormat="1" ht="19.5" customHeight="1">
      <c r="A35" s="344" t="s">
        <v>727</v>
      </c>
      <c r="B35" s="345"/>
      <c r="C35" s="346" t="s">
        <v>727</v>
      </c>
      <c r="D35" s="347"/>
      <c r="F35" s="800"/>
    </row>
    <row r="36" spans="1:6" s="133" customFormat="1" ht="29.25" customHeight="1">
      <c r="A36" s="353" t="s">
        <v>417</v>
      </c>
      <c r="B36" s="345"/>
      <c r="C36" s="346" t="s">
        <v>417</v>
      </c>
      <c r="D36" s="347"/>
      <c r="F36" s="800"/>
    </row>
    <row r="37" spans="1:6" s="133" customFormat="1" ht="29.25" customHeight="1">
      <c r="A37" s="353" t="s">
        <v>160</v>
      </c>
      <c r="B37" s="345"/>
      <c r="C37" s="346" t="s">
        <v>160</v>
      </c>
      <c r="D37" s="347"/>
      <c r="F37" s="800"/>
    </row>
    <row r="38" spans="1:6" s="133" customFormat="1" ht="29.25" customHeight="1">
      <c r="A38" s="353" t="s">
        <v>166</v>
      </c>
      <c r="B38" s="345"/>
      <c r="C38" s="346" t="s">
        <v>166</v>
      </c>
      <c r="D38" s="347"/>
      <c r="F38" s="800"/>
    </row>
    <row r="39" spans="1:6" s="133" customFormat="1" ht="29.25" customHeight="1">
      <c r="A39" s="353" t="s">
        <v>666</v>
      </c>
      <c r="B39" s="345"/>
      <c r="C39" s="346" t="str">
        <f>A39</f>
        <v>FUNDACION TENERIFE RURAL</v>
      </c>
      <c r="D39" s="347"/>
      <c r="F39" s="800"/>
    </row>
    <row r="40" spans="1:6" s="133" customFormat="1" ht="29.25" customHeight="1">
      <c r="A40" s="353" t="s">
        <v>162</v>
      </c>
      <c r="B40" s="345"/>
      <c r="C40" s="346" t="s">
        <v>162</v>
      </c>
      <c r="D40" s="347"/>
      <c r="F40" s="800"/>
    </row>
    <row r="41" spans="1:6" s="133" customFormat="1" ht="22.5" customHeight="1">
      <c r="A41" s="353" t="s">
        <v>161</v>
      </c>
      <c r="B41" s="345"/>
      <c r="C41" s="346" t="s">
        <v>161</v>
      </c>
      <c r="D41" s="347"/>
      <c r="F41" s="800"/>
    </row>
    <row r="42" spans="1:6" s="133" customFormat="1" ht="29.25" customHeight="1">
      <c r="A42" s="353" t="s">
        <v>163</v>
      </c>
      <c r="B42" s="345"/>
      <c r="C42" s="346" t="s">
        <v>163</v>
      </c>
      <c r="D42" s="347"/>
      <c r="F42" s="800"/>
    </row>
    <row r="43" spans="1:6" s="133" customFormat="1" ht="19.5" customHeight="1" thickBot="1">
      <c r="A43" s="354" t="s">
        <v>120</v>
      </c>
      <c r="B43" s="355">
        <f>SUM(B12:B42)</f>
        <v>200700</v>
      </c>
      <c r="C43" s="356" t="s">
        <v>120</v>
      </c>
      <c r="D43" s="357">
        <f>SUM(D12:D42)</f>
        <v>0</v>
      </c>
      <c r="F43" s="800"/>
    </row>
    <row r="44" ht="13.5" thickTop="1">
      <c r="B44" s="358"/>
    </row>
    <row r="45" ht="13.5" thickBot="1"/>
    <row r="46" spans="1:4" ht="13.5" thickBot="1">
      <c r="A46" s="1208" t="s">
        <v>164</v>
      </c>
      <c r="B46" s="1209"/>
      <c r="C46" s="1209"/>
      <c r="D46" s="1210"/>
    </row>
    <row r="47" spans="1:4" ht="13.5" thickBot="1">
      <c r="A47" s="1208" t="s">
        <v>717</v>
      </c>
      <c r="B47" s="1209"/>
      <c r="C47" s="1209"/>
      <c r="D47" s="1210"/>
    </row>
    <row r="48" spans="1:4" ht="12.75">
      <c r="A48" s="1211" t="s">
        <v>97</v>
      </c>
      <c r="B48" s="1212"/>
      <c r="C48" s="1213" t="s">
        <v>99</v>
      </c>
      <c r="D48" s="1214"/>
    </row>
    <row r="49" spans="1:4" ht="12.75">
      <c r="A49" s="686" t="s">
        <v>98</v>
      </c>
      <c r="B49" s="338" t="s">
        <v>95</v>
      </c>
      <c r="C49" s="338" t="s">
        <v>98</v>
      </c>
      <c r="D49" s="687" t="s">
        <v>95</v>
      </c>
    </row>
    <row r="50" spans="1:6" s="133" customFormat="1" ht="29.25" customHeight="1">
      <c r="A50" s="688" t="s">
        <v>165</v>
      </c>
      <c r="B50" s="345"/>
      <c r="C50" s="346" t="s">
        <v>165</v>
      </c>
      <c r="D50" s="365"/>
      <c r="F50" s="800"/>
    </row>
    <row r="51" spans="1:6" s="133" customFormat="1" ht="19.5" customHeight="1" thickBot="1">
      <c r="A51" s="367" t="s">
        <v>120</v>
      </c>
      <c r="B51" s="368">
        <f>SUM(B50:B50)</f>
        <v>0</v>
      </c>
      <c r="C51" s="689" t="s">
        <v>120</v>
      </c>
      <c r="D51" s="330">
        <f>SUM(D50:D50)</f>
        <v>0</v>
      </c>
      <c r="F51" s="800"/>
    </row>
    <row r="52" spans="1:2" ht="12.75">
      <c r="A52" s="359"/>
      <c r="B52" s="358"/>
    </row>
    <row r="53" ht="12.75">
      <c r="B53" s="358"/>
    </row>
    <row r="54" spans="1:4" s="870" customFormat="1" ht="12.75" hidden="1">
      <c r="A54" s="1207" t="s">
        <v>133</v>
      </c>
      <c r="B54" s="1207"/>
      <c r="C54" s="1207"/>
      <c r="D54" s="1207"/>
    </row>
    <row r="55" spans="1:4" s="870" customFormat="1" ht="12.75" hidden="1">
      <c r="A55" s="1207" t="s">
        <v>136</v>
      </c>
      <c r="B55" s="1207"/>
      <c r="C55" s="1207"/>
      <c r="D55" s="1207"/>
    </row>
    <row r="56" s="870" customFormat="1" ht="12.75" hidden="1">
      <c r="B56" s="873"/>
    </row>
    <row r="57" ht="12.75">
      <c r="B57" s="358"/>
    </row>
    <row r="58" ht="12.75">
      <c r="B58" s="358"/>
    </row>
  </sheetData>
  <sheetProtection/>
  <mergeCells count="11">
    <mergeCell ref="A46:D46"/>
    <mergeCell ref="A7:C7"/>
    <mergeCell ref="A8:C8"/>
    <mergeCell ref="A9:D9"/>
    <mergeCell ref="A10:B10"/>
    <mergeCell ref="C10:D10"/>
    <mergeCell ref="A55:D55"/>
    <mergeCell ref="A54:D54"/>
    <mergeCell ref="A47:D47"/>
    <mergeCell ref="A48:B48"/>
    <mergeCell ref="C48:D48"/>
  </mergeCells>
  <printOptions horizontalCentered="1" verticalCentered="1"/>
  <pageMargins left="0.6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52"/>
      <c r="B1" s="752"/>
      <c r="C1" s="752"/>
      <c r="D1" s="755" t="s">
        <v>426</v>
      </c>
      <c r="E1" s="752"/>
      <c r="F1" s="752"/>
      <c r="G1" s="752"/>
      <c r="H1" s="752"/>
    </row>
    <row r="2" spans="1:8" ht="12.75">
      <c r="A2" s="752"/>
      <c r="B2" s="752"/>
      <c r="C2" s="752"/>
      <c r="D2" s="756" t="s">
        <v>427</v>
      </c>
      <c r="E2" s="752"/>
      <c r="F2" s="752"/>
      <c r="G2" s="752"/>
      <c r="H2" s="752"/>
    </row>
    <row r="3" spans="1:8" ht="12.75">
      <c r="A3" s="752"/>
      <c r="B3" s="756"/>
      <c r="C3" s="752"/>
      <c r="D3" s="752"/>
      <c r="E3" s="752"/>
      <c r="F3" s="752"/>
      <c r="G3" s="752"/>
      <c r="H3" s="752"/>
    </row>
    <row r="4" spans="1:9" ht="12.75">
      <c r="A4" s="752" t="s">
        <v>260</v>
      </c>
      <c r="B4" s="752"/>
      <c r="C4" s="752"/>
      <c r="D4" s="752"/>
      <c r="E4" s="752"/>
      <c r="F4" s="752"/>
      <c r="G4" s="757">
        <v>42339</v>
      </c>
      <c r="H4" s="752"/>
      <c r="I4" t="s">
        <v>743</v>
      </c>
    </row>
    <row r="5" spans="1:8" ht="12.75">
      <c r="A5" s="752" t="s">
        <v>425</v>
      </c>
      <c r="B5" s="752"/>
      <c r="C5" s="752"/>
      <c r="D5" s="752"/>
      <c r="E5" s="752"/>
      <c r="F5" s="752"/>
      <c r="G5" s="758" t="s">
        <v>428</v>
      </c>
      <c r="H5" s="752"/>
    </row>
    <row r="6" ht="12" customHeight="1" thickBot="1"/>
    <row r="7" ht="13.5" hidden="1" thickBot="1"/>
    <row r="8" spans="1:8" ht="56.25" customHeight="1">
      <c r="A8" s="896" t="s">
        <v>106</v>
      </c>
      <c r="B8" s="897"/>
      <c r="C8" s="897"/>
      <c r="D8" s="897"/>
      <c r="E8" s="897"/>
      <c r="F8" s="897"/>
      <c r="G8" s="897"/>
      <c r="H8" s="759">
        <v>2016</v>
      </c>
    </row>
    <row r="9" spans="1:8" s="700" customFormat="1" ht="27.75" customHeight="1">
      <c r="A9" s="889" t="str">
        <f>CPYG!A8</f>
        <v>EMPRESA PÚBLICA: AUDITORIO DE TENERIFE, S.A.U.</v>
      </c>
      <c r="B9" s="890"/>
      <c r="C9" s="890"/>
      <c r="D9" s="890"/>
      <c r="E9" s="890"/>
      <c r="F9" s="890"/>
      <c r="G9" s="890"/>
      <c r="H9" s="891"/>
    </row>
    <row r="10" spans="1:8" ht="12.75">
      <c r="A10" s="701"/>
      <c r="B10" s="702"/>
      <c r="C10" s="702"/>
      <c r="D10" s="702"/>
      <c r="E10" s="702"/>
      <c r="F10" s="702"/>
      <c r="G10" s="702"/>
      <c r="H10" s="703"/>
    </row>
    <row r="11" spans="1:8" ht="15">
      <c r="A11" s="704" t="s">
        <v>261</v>
      </c>
      <c r="B11" s="705"/>
      <c r="C11" s="705"/>
      <c r="D11" s="702"/>
      <c r="E11" s="702"/>
      <c r="F11" s="702"/>
      <c r="G11" s="702"/>
      <c r="H11" s="703"/>
    </row>
    <row r="12" spans="1:8" ht="12.75">
      <c r="A12" s="701"/>
      <c r="B12" s="702"/>
      <c r="C12" s="702"/>
      <c r="D12" s="702"/>
      <c r="E12" s="702"/>
      <c r="F12" s="702"/>
      <c r="G12" s="702"/>
      <c r="H12" s="703"/>
    </row>
    <row r="13" spans="1:8" ht="12.75">
      <c r="A13" s="706" t="s">
        <v>500</v>
      </c>
      <c r="B13" s="705"/>
      <c r="C13" s="705"/>
      <c r="D13" s="702"/>
      <c r="E13" s="702"/>
      <c r="F13" s="702"/>
      <c r="G13" s="702"/>
      <c r="H13" s="746"/>
    </row>
    <row r="14" spans="1:8" ht="12.75">
      <c r="A14" s="701"/>
      <c r="B14" s="702"/>
      <c r="C14" s="702"/>
      <c r="D14" s="702"/>
      <c r="E14" s="702"/>
      <c r="F14" s="702"/>
      <c r="G14" s="702"/>
      <c r="H14" s="703"/>
    </row>
    <row r="15" spans="1:8" ht="12.75">
      <c r="A15" s="701"/>
      <c r="B15" s="702" t="s">
        <v>501</v>
      </c>
      <c r="C15" s="702"/>
      <c r="D15" s="702"/>
      <c r="E15" s="702"/>
      <c r="F15" s="702"/>
      <c r="G15" s="702"/>
      <c r="H15" s="746"/>
    </row>
    <row r="16" spans="1:8" ht="12.75">
      <c r="A16" s="701"/>
      <c r="B16" s="707" t="s">
        <v>502</v>
      </c>
      <c r="C16" s="702" t="s">
        <v>503</v>
      </c>
      <c r="D16" s="702"/>
      <c r="E16" s="702"/>
      <c r="F16" s="702"/>
      <c r="G16" s="702"/>
      <c r="H16" s="708">
        <v>11</v>
      </c>
    </row>
    <row r="17" spans="1:8" ht="12.75">
      <c r="A17" s="701"/>
      <c r="B17" s="707" t="s">
        <v>504</v>
      </c>
      <c r="C17" s="702" t="s">
        <v>505</v>
      </c>
      <c r="D17" s="702"/>
      <c r="E17" s="702"/>
      <c r="F17" s="702"/>
      <c r="G17" s="702"/>
      <c r="H17" s="708"/>
    </row>
    <row r="18" spans="1:8" ht="7.5" customHeight="1">
      <c r="A18" s="701"/>
      <c r="B18" s="702"/>
      <c r="C18" s="702"/>
      <c r="D18" s="702"/>
      <c r="E18" s="702"/>
      <c r="F18" s="702"/>
      <c r="G18" s="702"/>
      <c r="H18" s="703"/>
    </row>
    <row r="19" spans="1:8" ht="12.75">
      <c r="A19" s="701"/>
      <c r="B19" s="702" t="s">
        <v>506</v>
      </c>
      <c r="C19" s="702"/>
      <c r="D19" s="702"/>
      <c r="E19" s="702"/>
      <c r="F19" s="702"/>
      <c r="G19" s="702"/>
      <c r="H19" s="746"/>
    </row>
    <row r="20" spans="1:8" ht="13.5" thickBot="1">
      <c r="A20" s="709"/>
      <c r="B20" s="710"/>
      <c r="C20" s="710"/>
      <c r="D20" s="710"/>
      <c r="E20" s="710"/>
      <c r="F20" s="710"/>
      <c r="G20" s="710"/>
      <c r="H20" s="711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</sheetPr>
  <dimension ref="A1:M59"/>
  <sheetViews>
    <sheetView tabSelected="1" zoomScale="55" zoomScaleNormal="55" zoomScalePageLayoutView="0" workbookViewId="0" topLeftCell="A1">
      <selection activeCell="Q10" sqref="Q10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6" width="2.28125" style="133" customWidth="1"/>
    <col min="7" max="8" width="5.28125" style="849" hidden="1" customWidth="1"/>
    <col min="9" max="9" width="5.421875" style="849" hidden="1" customWidth="1"/>
    <col min="10" max="10" width="5.7109375" style="849" hidden="1" customWidth="1"/>
    <col min="11" max="11" width="10.57421875" style="849" hidden="1" customWidth="1"/>
    <col min="12" max="12" width="34.7109375" style="849" hidden="1" customWidth="1"/>
    <col min="13" max="13" width="10.8515625" style="849" hidden="1" customWidth="1"/>
    <col min="14" max="14" width="0" style="849" hidden="1" customWidth="1"/>
    <col min="15" max="16384" width="11.57421875" style="133" customWidth="1"/>
  </cols>
  <sheetData>
    <row r="1" spans="1:7" ht="13.5">
      <c r="A1" s="276"/>
      <c r="B1" s="276"/>
      <c r="C1" s="750" t="s">
        <v>426</v>
      </c>
      <c r="D1" s="276"/>
      <c r="E1" s="276"/>
      <c r="G1" s="876"/>
    </row>
    <row r="2" spans="1:7" ht="13.5">
      <c r="A2" s="276"/>
      <c r="B2" s="276"/>
      <c r="C2" s="751" t="s">
        <v>427</v>
      </c>
      <c r="D2" s="276"/>
      <c r="E2" s="276"/>
      <c r="G2" s="876"/>
    </row>
    <row r="3" spans="1:7" ht="12.75">
      <c r="A3" s="276"/>
      <c r="B3" s="276"/>
      <c r="C3" s="276"/>
      <c r="D3" s="276"/>
      <c r="E3" s="276"/>
      <c r="G3" s="876"/>
    </row>
    <row r="4" spans="1:7" ht="13.5">
      <c r="A4" s="749" t="s">
        <v>260</v>
      </c>
      <c r="B4" s="276"/>
      <c r="C4" s="754">
        <v>42339</v>
      </c>
      <c r="D4" s="276"/>
      <c r="E4" s="276"/>
      <c r="G4" s="874"/>
    </row>
    <row r="5" spans="1:7" ht="13.5">
      <c r="A5" s="749" t="s">
        <v>425</v>
      </c>
      <c r="B5" s="276"/>
      <c r="C5" s="753" t="s">
        <v>428</v>
      </c>
      <c r="D5" s="276"/>
      <c r="E5" s="276"/>
      <c r="G5" s="875"/>
    </row>
    <row r="6" ht="13.5" thickBot="1"/>
    <row r="7" spans="1:5" ht="49.5" customHeight="1">
      <c r="A7" s="960" t="s">
        <v>467</v>
      </c>
      <c r="B7" s="961"/>
      <c r="C7" s="961"/>
      <c r="D7" s="961"/>
      <c r="E7" s="232">
        <f>CPYG!D7</f>
        <v>2016</v>
      </c>
    </row>
    <row r="8" spans="1:5" ht="44.25" customHeight="1">
      <c r="A8" s="1228" t="str">
        <f>CPYG!A8</f>
        <v>EMPRESA PÚBLICA: AUDITORIO DE TENERIFE, S.A.U.</v>
      </c>
      <c r="B8" s="1229"/>
      <c r="C8" s="1229"/>
      <c r="D8" s="1230"/>
      <c r="E8" s="360" t="s">
        <v>180</v>
      </c>
    </row>
    <row r="9" spans="1:5" ht="24.75" customHeight="1">
      <c r="A9" s="1231" t="s">
        <v>728</v>
      </c>
      <c r="B9" s="1232"/>
      <c r="C9" s="1232"/>
      <c r="D9" s="1232"/>
      <c r="E9" s="1233"/>
    </row>
    <row r="10" spans="1:13" ht="30" customHeight="1">
      <c r="A10" s="361" t="s">
        <v>93</v>
      </c>
      <c r="B10" s="336" t="s">
        <v>94</v>
      </c>
      <c r="C10" s="692" t="s">
        <v>318</v>
      </c>
      <c r="D10" s="692" t="s">
        <v>576</v>
      </c>
      <c r="E10" s="362" t="s">
        <v>96</v>
      </c>
      <c r="G10" s="1234" t="s">
        <v>281</v>
      </c>
      <c r="H10" s="1234"/>
      <c r="I10" s="1234"/>
      <c r="J10" s="1234"/>
      <c r="K10" s="1234"/>
      <c r="L10" s="1234"/>
      <c r="M10" s="877" t="s">
        <v>282</v>
      </c>
    </row>
    <row r="11" spans="1:5" ht="19.5" customHeight="1" hidden="1">
      <c r="A11" s="798" t="s">
        <v>464</v>
      </c>
      <c r="B11" s="792" t="s">
        <v>465</v>
      </c>
      <c r="C11" s="791">
        <v>30000</v>
      </c>
      <c r="D11" s="791">
        <v>30000</v>
      </c>
      <c r="E11" s="685"/>
    </row>
    <row r="12" spans="1:5" ht="19.5" customHeight="1" hidden="1">
      <c r="A12" s="798" t="s">
        <v>464</v>
      </c>
      <c r="B12" s="793" t="s">
        <v>444</v>
      </c>
      <c r="C12" s="345">
        <v>555000</v>
      </c>
      <c r="D12" s="345">
        <v>555000</v>
      </c>
      <c r="E12" s="685"/>
    </row>
    <row r="13" spans="1:5" ht="19.5" customHeight="1" hidden="1">
      <c r="A13" s="798"/>
      <c r="B13" s="794" t="s">
        <v>434</v>
      </c>
      <c r="C13" s="345"/>
      <c r="D13" s="345"/>
      <c r="E13" s="685"/>
    </row>
    <row r="14" spans="1:5" ht="19.5" customHeight="1" hidden="1">
      <c r="A14" s="798"/>
      <c r="B14" s="794" t="s">
        <v>445</v>
      </c>
      <c r="C14" s="345"/>
      <c r="D14" s="345"/>
      <c r="E14" s="365"/>
    </row>
    <row r="15" spans="1:5" ht="19.5" customHeight="1" hidden="1">
      <c r="A15" s="798"/>
      <c r="B15" s="794" t="s">
        <v>447</v>
      </c>
      <c r="C15" s="345"/>
      <c r="D15" s="345"/>
      <c r="E15" s="365"/>
    </row>
    <row r="16" spans="1:5" ht="19.5" customHeight="1" hidden="1">
      <c r="A16" s="798"/>
      <c r="B16" s="794" t="s">
        <v>446</v>
      </c>
      <c r="C16" s="345"/>
      <c r="D16" s="345"/>
      <c r="E16" s="365"/>
    </row>
    <row r="17" spans="1:5" ht="19.5" customHeight="1" hidden="1">
      <c r="A17" s="798"/>
      <c r="B17" s="794" t="s">
        <v>448</v>
      </c>
      <c r="C17" s="345"/>
      <c r="D17" s="345"/>
      <c r="E17" s="365"/>
    </row>
    <row r="18" spans="1:5" ht="19.5" customHeight="1" hidden="1">
      <c r="A18" s="363"/>
      <c r="B18" s="793"/>
      <c r="C18" s="366"/>
      <c r="D18" s="673"/>
      <c r="E18" s="365"/>
    </row>
    <row r="19" spans="1:5" ht="19.5" customHeight="1" hidden="1">
      <c r="A19" s="798" t="s">
        <v>464</v>
      </c>
      <c r="B19" s="793" t="s">
        <v>575</v>
      </c>
      <c r="C19" s="691">
        <v>100000</v>
      </c>
      <c r="D19" s="691">
        <v>100000</v>
      </c>
      <c r="E19" s="365"/>
    </row>
    <row r="20" spans="1:12" ht="19.5" customHeight="1">
      <c r="A20" s="799" t="s">
        <v>286</v>
      </c>
      <c r="B20" s="796" t="s">
        <v>280</v>
      </c>
      <c r="C20" s="691"/>
      <c r="D20" s="691">
        <f aca="true" t="shared" si="0" ref="D20:D25">K20</f>
        <v>100000</v>
      </c>
      <c r="E20" s="365"/>
      <c r="G20" s="878" t="s">
        <v>273</v>
      </c>
      <c r="H20" s="878" t="s">
        <v>269</v>
      </c>
      <c r="I20" s="878" t="s">
        <v>270</v>
      </c>
      <c r="J20" s="878" t="s">
        <v>274</v>
      </c>
      <c r="K20" s="879">
        <v>100000</v>
      </c>
      <c r="L20" s="880" t="s">
        <v>280</v>
      </c>
    </row>
    <row r="21" spans="1:12" ht="19.5" customHeight="1">
      <c r="A21" s="799" t="s">
        <v>286</v>
      </c>
      <c r="B21" s="796" t="s">
        <v>277</v>
      </c>
      <c r="C21" s="691"/>
      <c r="D21" s="691">
        <f t="shared" si="0"/>
        <v>30000</v>
      </c>
      <c r="E21" s="365"/>
      <c r="G21" s="878" t="s">
        <v>273</v>
      </c>
      <c r="H21" s="878" t="s">
        <v>269</v>
      </c>
      <c r="I21" s="878" t="s">
        <v>270</v>
      </c>
      <c r="J21" s="878" t="s">
        <v>274</v>
      </c>
      <c r="K21" s="879">
        <v>30000</v>
      </c>
      <c r="L21" s="880" t="s">
        <v>277</v>
      </c>
    </row>
    <row r="22" spans="1:12" ht="19.5" customHeight="1">
      <c r="A22" s="799" t="s">
        <v>286</v>
      </c>
      <c r="B22" s="796" t="s">
        <v>279</v>
      </c>
      <c r="C22" s="691"/>
      <c r="D22" s="691">
        <f t="shared" si="0"/>
        <v>100000</v>
      </c>
      <c r="E22" s="365"/>
      <c r="G22" s="878" t="s">
        <v>273</v>
      </c>
      <c r="H22" s="878" t="s">
        <v>269</v>
      </c>
      <c r="I22" s="878" t="s">
        <v>270</v>
      </c>
      <c r="J22" s="878" t="s">
        <v>274</v>
      </c>
      <c r="K22" s="879">
        <v>100000</v>
      </c>
      <c r="L22" s="880" t="s">
        <v>279</v>
      </c>
    </row>
    <row r="23" spans="1:12" ht="19.5" customHeight="1">
      <c r="A23" s="799" t="s">
        <v>286</v>
      </c>
      <c r="B23" s="796" t="s">
        <v>278</v>
      </c>
      <c r="C23" s="691"/>
      <c r="D23" s="691">
        <f t="shared" si="0"/>
        <v>205000</v>
      </c>
      <c r="E23" s="365"/>
      <c r="G23" s="878" t="s">
        <v>273</v>
      </c>
      <c r="H23" s="878" t="s">
        <v>269</v>
      </c>
      <c r="I23" s="878" t="s">
        <v>270</v>
      </c>
      <c r="J23" s="878" t="s">
        <v>274</v>
      </c>
      <c r="K23" s="879">
        <v>205000</v>
      </c>
      <c r="L23" s="880" t="s">
        <v>278</v>
      </c>
    </row>
    <row r="24" spans="1:12" ht="19.5" customHeight="1">
      <c r="A24" s="799" t="s">
        <v>286</v>
      </c>
      <c r="B24" s="796" t="s">
        <v>276</v>
      </c>
      <c r="C24" s="691"/>
      <c r="D24" s="691">
        <f t="shared" si="0"/>
        <v>120000</v>
      </c>
      <c r="E24" s="365"/>
      <c r="G24" s="878" t="s">
        <v>273</v>
      </c>
      <c r="H24" s="878" t="s">
        <v>269</v>
      </c>
      <c r="I24" s="878" t="s">
        <v>270</v>
      </c>
      <c r="J24" s="878" t="s">
        <v>274</v>
      </c>
      <c r="K24" s="879">
        <v>120000</v>
      </c>
      <c r="L24" s="880" t="s">
        <v>276</v>
      </c>
    </row>
    <row r="25" spans="1:12" ht="19.5" customHeight="1">
      <c r="A25" s="799" t="s">
        <v>286</v>
      </c>
      <c r="B25" s="796" t="s">
        <v>275</v>
      </c>
      <c r="C25" s="691"/>
      <c r="D25" s="691">
        <f t="shared" si="0"/>
        <v>100000</v>
      </c>
      <c r="E25" s="365"/>
      <c r="G25" s="878" t="s">
        <v>273</v>
      </c>
      <c r="H25" s="878" t="s">
        <v>269</v>
      </c>
      <c r="I25" s="878" t="s">
        <v>270</v>
      </c>
      <c r="J25" s="878" t="s">
        <v>274</v>
      </c>
      <c r="K25" s="879">
        <v>100000</v>
      </c>
      <c r="L25" s="880" t="s">
        <v>275</v>
      </c>
    </row>
    <row r="26" spans="1:5" ht="19.5" customHeight="1">
      <c r="A26" s="798"/>
      <c r="B26" s="793"/>
      <c r="C26" s="691"/>
      <c r="D26" s="691"/>
      <c r="E26" s="365"/>
    </row>
    <row r="27" spans="1:5" ht="19.5" customHeight="1">
      <c r="A27" s="798"/>
      <c r="B27" s="793"/>
      <c r="C27" s="691"/>
      <c r="D27" s="691"/>
      <c r="E27" s="365"/>
    </row>
    <row r="28" spans="1:5" ht="19.5" customHeight="1">
      <c r="A28" s="363"/>
      <c r="B28" s="793"/>
      <c r="C28" s="691"/>
      <c r="D28" s="364"/>
      <c r="E28" s="365"/>
    </row>
    <row r="29" spans="1:5" ht="19.5" customHeight="1">
      <c r="A29" s="363"/>
      <c r="B29" s="793"/>
      <c r="C29" s="691"/>
      <c r="D29" s="364"/>
      <c r="E29" s="365"/>
    </row>
    <row r="30" spans="1:5" ht="19.5" customHeight="1">
      <c r="A30" s="363"/>
      <c r="B30" s="793"/>
      <c r="C30" s="691"/>
      <c r="D30" s="364"/>
      <c r="E30" s="365"/>
    </row>
    <row r="31" spans="1:5" ht="19.5" customHeight="1">
      <c r="A31" s="363"/>
      <c r="B31" s="793"/>
      <c r="C31" s="691"/>
      <c r="D31" s="364"/>
      <c r="E31" s="365"/>
    </row>
    <row r="32" spans="1:5" ht="19.5" customHeight="1">
      <c r="A32" s="363"/>
      <c r="B32" s="345"/>
      <c r="C32" s="691"/>
      <c r="D32" s="364"/>
      <c r="E32" s="365"/>
    </row>
    <row r="33" spans="1:13" ht="23.25" customHeight="1" thickBot="1">
      <c r="A33" s="367"/>
      <c r="B33" s="368"/>
      <c r="C33" s="368"/>
      <c r="D33" s="795">
        <f>+D20+D21+D22+D23+D24+D25</f>
        <v>655000</v>
      </c>
      <c r="E33" s="330"/>
      <c r="K33" s="881">
        <f>SUM(K17:K32)</f>
        <v>655000</v>
      </c>
      <c r="M33" s="882">
        <f>+D33-K33</f>
        <v>0</v>
      </c>
    </row>
    <row r="34" spans="2:3" ht="12.75">
      <c r="B34" s="640"/>
      <c r="C34" s="640"/>
    </row>
    <row r="35" spans="2:4" ht="12.75">
      <c r="B35" s="640"/>
      <c r="C35" s="640"/>
      <c r="D35" s="169"/>
    </row>
    <row r="36" spans="4:5" ht="12.75">
      <c r="D36" s="169"/>
      <c r="E36" s="169"/>
    </row>
    <row r="37" spans="4:5" ht="12.75">
      <c r="D37" s="169"/>
      <c r="E37" s="169"/>
    </row>
    <row r="38" spans="2:5" ht="12.75">
      <c r="B38" s="640"/>
      <c r="C38" s="640"/>
      <c r="D38" s="169"/>
      <c r="E38" s="169"/>
    </row>
    <row r="39" spans="2:5" ht="12.75">
      <c r="B39" s="640"/>
      <c r="C39" s="640"/>
      <c r="D39" s="169"/>
      <c r="E39" s="169"/>
    </row>
    <row r="40" spans="4:5" ht="12.75">
      <c r="D40" s="169"/>
      <c r="E40" s="169"/>
    </row>
    <row r="41" spans="4:5" ht="12.75">
      <c r="D41" s="169"/>
      <c r="E41" s="169"/>
    </row>
    <row r="42" spans="2:5" ht="12.75">
      <c r="B42" s="674"/>
      <c r="C42" s="674"/>
      <c r="D42" s="675"/>
      <c r="E42" s="675"/>
    </row>
    <row r="43" spans="2:5" ht="12.75">
      <c r="B43" s="640"/>
      <c r="C43" s="640"/>
      <c r="D43" s="169"/>
      <c r="E43" s="169"/>
    </row>
    <row r="44" spans="2:3" ht="12.75">
      <c r="B44" s="640"/>
      <c r="C44" s="640"/>
    </row>
    <row r="45" spans="2:5" ht="12.75">
      <c r="B45" s="674"/>
      <c r="C45" s="674"/>
      <c r="D45" s="675"/>
      <c r="E45" s="675"/>
    </row>
    <row r="46" spans="2:5" ht="12.75">
      <c r="B46" s="674"/>
      <c r="C46" s="674"/>
      <c r="D46" s="675"/>
      <c r="E46" s="675"/>
    </row>
    <row r="47" spans="2:3" ht="12.75">
      <c r="B47" s="640"/>
      <c r="C47" s="640"/>
    </row>
    <row r="48" spans="2:3" ht="12.75">
      <c r="B48" s="640"/>
      <c r="C48" s="640"/>
    </row>
    <row r="49" spans="2:3" ht="12.75">
      <c r="B49" s="640"/>
      <c r="C49" s="640"/>
    </row>
    <row r="50" spans="2:3" ht="12.75">
      <c r="B50" s="640"/>
      <c r="C50" s="640"/>
    </row>
    <row r="51" spans="2:3" ht="12.75">
      <c r="B51" s="640"/>
      <c r="C51" s="640"/>
    </row>
    <row r="52" spans="2:3" ht="12.75">
      <c r="B52" s="640"/>
      <c r="C52" s="640"/>
    </row>
    <row r="53" spans="2:3" ht="12.75">
      <c r="B53" s="640"/>
      <c r="C53" s="640"/>
    </row>
    <row r="54" spans="2:3" ht="12.75">
      <c r="B54" s="640"/>
      <c r="C54" s="640"/>
    </row>
    <row r="55" spans="2:3" ht="12.75">
      <c r="B55" s="640"/>
      <c r="C55" s="640"/>
    </row>
    <row r="56" spans="2:3" ht="12.75">
      <c r="B56" s="640"/>
      <c r="C56" s="640"/>
    </row>
    <row r="57" spans="2:3" ht="12.75">
      <c r="B57" s="640"/>
      <c r="C57" s="640"/>
    </row>
    <row r="58" spans="2:3" ht="12.75">
      <c r="B58" s="640"/>
      <c r="C58" s="640"/>
    </row>
    <row r="59" spans="2:3" ht="12.75">
      <c r="B59" s="640"/>
      <c r="C59" s="640"/>
    </row>
  </sheetData>
  <sheetProtection/>
  <mergeCells count="4">
    <mergeCell ref="A7:D7"/>
    <mergeCell ref="A8:D8"/>
    <mergeCell ref="A9:E9"/>
    <mergeCell ref="G10:L10"/>
  </mergeCells>
  <printOptions horizontalCentered="1" verticalCentered="1"/>
  <pageMargins left="0.7480314960629921" right="0.2362204724409449" top="0.4330708661417323" bottom="0.984251968503937" header="0" footer="0"/>
  <pageSetup horizontalDpi="300" verticalDpi="300" orientation="landscape" paperSize="9" scale="9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A1:H30"/>
  <sheetViews>
    <sheetView zoomScalePageLayoutView="0" workbookViewId="0" topLeftCell="A65536">
      <selection activeCell="D24" sqref="D24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12" bestFit="1" customWidth="1"/>
  </cols>
  <sheetData>
    <row r="1" spans="1:8" ht="12.75" hidden="1">
      <c r="A1" s="752"/>
      <c r="B1" s="752"/>
      <c r="C1" s="752"/>
      <c r="D1" s="755" t="s">
        <v>426</v>
      </c>
      <c r="E1" s="752"/>
      <c r="F1" s="752"/>
      <c r="G1" s="752"/>
      <c r="H1" s="752"/>
    </row>
    <row r="2" spans="1:8" ht="12.75" hidden="1">
      <c r="A2" s="752"/>
      <c r="B2" s="752"/>
      <c r="C2" s="752"/>
      <c r="D2" s="756" t="s">
        <v>427</v>
      </c>
      <c r="E2" s="752"/>
      <c r="F2" s="752"/>
      <c r="G2" s="752"/>
      <c r="H2" s="752"/>
    </row>
    <row r="3" spans="1:8" ht="12.75" hidden="1">
      <c r="A3" s="752"/>
      <c r="B3" s="756"/>
      <c r="C3" s="752"/>
      <c r="D3" s="752"/>
      <c r="E3" s="752"/>
      <c r="F3" s="752"/>
      <c r="G3" s="752"/>
      <c r="H3" s="752"/>
    </row>
    <row r="4" spans="1:8" ht="12.75" hidden="1">
      <c r="A4" s="752" t="s">
        <v>260</v>
      </c>
      <c r="B4" s="752"/>
      <c r="C4" s="752"/>
      <c r="D4" s="752"/>
      <c r="E4" s="752"/>
      <c r="F4" s="752"/>
      <c r="G4" s="757">
        <v>41974</v>
      </c>
      <c r="H4" s="752"/>
    </row>
    <row r="5" spans="1:8" ht="12.75" hidden="1">
      <c r="A5" s="752" t="s">
        <v>425</v>
      </c>
      <c r="B5" s="752"/>
      <c r="C5" s="752"/>
      <c r="D5" s="752"/>
      <c r="E5" s="752"/>
      <c r="F5" s="752"/>
      <c r="G5" s="758" t="s">
        <v>428</v>
      </c>
      <c r="H5" s="752"/>
    </row>
    <row r="6" ht="13.5" hidden="1" thickBot="1"/>
    <row r="7" spans="1:8" ht="51" customHeight="1" hidden="1">
      <c r="A7" s="896" t="s">
        <v>106</v>
      </c>
      <c r="B7" s="897"/>
      <c r="C7" s="897"/>
      <c r="D7" s="897"/>
      <c r="E7" s="897"/>
      <c r="F7" s="897"/>
      <c r="G7" s="897"/>
      <c r="H7" s="759">
        <f>'ORGANOS DE GOBIERNO'!H8</f>
        <v>2016</v>
      </c>
    </row>
    <row r="8" spans="1:8" ht="24" customHeight="1" hidden="1">
      <c r="A8" s="889" t="str">
        <f>'ORGANOS DE GOBIERNO'!A9:H9</f>
        <v>EMPRESA PÚBLICA: AUDITORIO DE TENERIFE, S.A.U.</v>
      </c>
      <c r="B8" s="890"/>
      <c r="C8" s="890"/>
      <c r="D8" s="890"/>
      <c r="E8" s="890"/>
      <c r="F8" s="890"/>
      <c r="G8" s="890"/>
      <c r="H8" s="891"/>
    </row>
    <row r="9" spans="1:8" ht="12.75" hidden="1">
      <c r="A9" s="701"/>
      <c r="B9" s="702"/>
      <c r="C9" s="702"/>
      <c r="D9" s="702"/>
      <c r="E9" s="702"/>
      <c r="F9" s="702"/>
      <c r="G9" s="702"/>
      <c r="H9" s="713"/>
    </row>
    <row r="10" spans="1:8" ht="15" hidden="1">
      <c r="A10" s="704" t="s">
        <v>507</v>
      </c>
      <c r="B10" s="705"/>
      <c r="C10" s="705"/>
      <c r="D10" s="702"/>
      <c r="E10" s="702"/>
      <c r="F10" s="702"/>
      <c r="G10" s="702"/>
      <c r="H10" s="713"/>
    </row>
    <row r="11" spans="1:8" ht="12.75" hidden="1">
      <c r="A11" s="701"/>
      <c r="B11" s="702"/>
      <c r="C11" s="702"/>
      <c r="D11" s="702"/>
      <c r="E11" s="702"/>
      <c r="F11" s="702"/>
      <c r="G11" s="702"/>
      <c r="H11" s="713"/>
    </row>
    <row r="12" spans="1:8" ht="12.75" hidden="1">
      <c r="A12" s="706" t="s">
        <v>508</v>
      </c>
      <c r="B12" s="705" t="s">
        <v>509</v>
      </c>
      <c r="C12" s="705"/>
      <c r="D12" s="702"/>
      <c r="E12" s="702"/>
      <c r="F12" s="702"/>
      <c r="G12" s="702"/>
      <c r="H12" s="769">
        <f>SUM(H14:H16)</f>
        <v>993000</v>
      </c>
    </row>
    <row r="13" spans="1:8" ht="12.75" hidden="1">
      <c r="A13" s="701"/>
      <c r="B13" s="702"/>
      <c r="C13" s="702"/>
      <c r="D13" s="702"/>
      <c r="E13" s="702"/>
      <c r="F13" s="702"/>
      <c r="G13" s="702"/>
      <c r="H13" s="713"/>
    </row>
    <row r="14" spans="1:8" ht="12.75" hidden="1">
      <c r="A14" s="701"/>
      <c r="B14" s="702" t="s">
        <v>510</v>
      </c>
      <c r="C14" s="702" t="s">
        <v>511</v>
      </c>
      <c r="D14" s="702"/>
      <c r="E14" s="702"/>
      <c r="F14" s="702"/>
      <c r="G14" s="702"/>
      <c r="H14" s="714">
        <f>+CPYG!D21</f>
        <v>852000</v>
      </c>
    </row>
    <row r="15" spans="1:8" ht="12.75" hidden="1">
      <c r="A15" s="701"/>
      <c r="B15" s="702" t="s">
        <v>512</v>
      </c>
      <c r="C15" s="702" t="s">
        <v>513</v>
      </c>
      <c r="D15" s="702"/>
      <c r="E15" s="702"/>
      <c r="F15" s="702"/>
      <c r="G15" s="702"/>
      <c r="H15" s="714">
        <f>+CPYG!D22</f>
        <v>6000</v>
      </c>
    </row>
    <row r="16" spans="1:8" ht="12.75" hidden="1">
      <c r="A16" s="701"/>
      <c r="B16" s="702" t="s">
        <v>514</v>
      </c>
      <c r="C16" s="702" t="s">
        <v>515</v>
      </c>
      <c r="D16" s="702"/>
      <c r="E16" s="702"/>
      <c r="F16" s="702"/>
      <c r="G16" s="702"/>
      <c r="H16" s="714">
        <f>+CPYG!D23</f>
        <v>135000</v>
      </c>
    </row>
    <row r="17" spans="1:8" ht="7.5" customHeight="1" hidden="1">
      <c r="A17" s="701"/>
      <c r="B17" s="702"/>
      <c r="C17" s="702"/>
      <c r="D17" s="702"/>
      <c r="E17" s="702"/>
      <c r="F17" s="702"/>
      <c r="G17" s="702"/>
      <c r="H17" s="713"/>
    </row>
    <row r="18" spans="1:8" ht="12.75" hidden="1">
      <c r="A18" s="706" t="s">
        <v>516</v>
      </c>
      <c r="B18" s="705" t="s">
        <v>517</v>
      </c>
      <c r="C18" s="702"/>
      <c r="D18" s="702"/>
      <c r="E18" s="702"/>
      <c r="F18" s="702"/>
      <c r="G18" s="702"/>
      <c r="H18" s="769">
        <v>1480551.42</v>
      </c>
    </row>
    <row r="19" spans="1:8" ht="12.75" hidden="1">
      <c r="A19" s="706" t="s">
        <v>518</v>
      </c>
      <c r="B19" s="705" t="s">
        <v>519</v>
      </c>
      <c r="C19" s="702"/>
      <c r="D19" s="702"/>
      <c r="E19" s="702"/>
      <c r="F19" s="702"/>
      <c r="G19" s="702"/>
      <c r="H19" s="769">
        <f>SUM(H21:H23)</f>
        <v>2358615.8000000003</v>
      </c>
    </row>
    <row r="20" spans="1:8" ht="12.75" hidden="1">
      <c r="A20" s="701"/>
      <c r="B20" s="702"/>
      <c r="C20" s="702"/>
      <c r="D20" s="702"/>
      <c r="E20" s="702"/>
      <c r="F20" s="702"/>
      <c r="G20" s="702"/>
      <c r="H20" s="713"/>
    </row>
    <row r="21" spans="1:8" ht="12.75" hidden="1">
      <c r="A21" s="701"/>
      <c r="B21" s="702" t="s">
        <v>510</v>
      </c>
      <c r="C21" s="702" t="s">
        <v>520</v>
      </c>
      <c r="D21" s="702"/>
      <c r="E21" s="702"/>
      <c r="F21" s="702"/>
      <c r="G21" s="702"/>
      <c r="H21" s="714">
        <f>+PASIVO!D24+CPYG!D43</f>
        <v>2328615.8000000003</v>
      </c>
    </row>
    <row r="22" spans="1:8" ht="12.75" hidden="1">
      <c r="A22" s="701"/>
      <c r="B22" s="702" t="s">
        <v>512</v>
      </c>
      <c r="C22" s="702" t="s">
        <v>521</v>
      </c>
      <c r="D22" s="702"/>
      <c r="E22" s="702"/>
      <c r="F22" s="702"/>
      <c r="G22" s="702"/>
      <c r="H22" s="714">
        <f>+CPYG!D40</f>
        <v>30000</v>
      </c>
    </row>
    <row r="23" spans="1:8" ht="12.75" hidden="1">
      <c r="A23" s="701"/>
      <c r="B23" s="702" t="s">
        <v>514</v>
      </c>
      <c r="C23" s="702" t="s">
        <v>522</v>
      </c>
      <c r="D23" s="702"/>
      <c r="E23" s="702"/>
      <c r="F23" s="702"/>
      <c r="G23" s="702"/>
      <c r="H23" s="714"/>
    </row>
    <row r="24" spans="1:8" ht="12.75" hidden="1">
      <c r="A24" s="701"/>
      <c r="B24" s="702"/>
      <c r="C24" s="702"/>
      <c r="D24" s="702"/>
      <c r="E24" s="702"/>
      <c r="F24" s="702"/>
      <c r="G24" s="702"/>
      <c r="H24" s="713"/>
    </row>
    <row r="25" spans="1:8" ht="12.75" hidden="1">
      <c r="A25" s="706" t="s">
        <v>523</v>
      </c>
      <c r="B25" s="705" t="s">
        <v>524</v>
      </c>
      <c r="C25" s="702"/>
      <c r="D25" s="702"/>
      <c r="E25" s="702"/>
      <c r="F25" s="702"/>
      <c r="G25" s="702"/>
      <c r="H25" s="747"/>
    </row>
    <row r="26" spans="1:8" ht="5.25" customHeight="1" hidden="1">
      <c r="A26" s="701"/>
      <c r="B26" s="702"/>
      <c r="C26" s="702"/>
      <c r="D26" s="702"/>
      <c r="E26" s="702"/>
      <c r="F26" s="702"/>
      <c r="G26" s="702"/>
      <c r="H26" s="713"/>
    </row>
    <row r="27" spans="1:8" ht="21" customHeight="1" hidden="1">
      <c r="A27" s="701"/>
      <c r="B27" s="702"/>
      <c r="C27" s="1235"/>
      <c r="D27" s="1235"/>
      <c r="E27" s="1235"/>
      <c r="F27" s="1235"/>
      <c r="G27" s="1235"/>
      <c r="H27" s="713"/>
    </row>
    <row r="28" spans="1:8" ht="12.75" hidden="1">
      <c r="A28" s="701"/>
      <c r="B28" s="702"/>
      <c r="C28" s="702"/>
      <c r="D28" s="702"/>
      <c r="E28" s="702"/>
      <c r="F28" s="702"/>
      <c r="G28" s="702"/>
      <c r="H28" s="713"/>
    </row>
    <row r="29" spans="1:8" ht="12.75" hidden="1">
      <c r="A29" s="706" t="s">
        <v>525</v>
      </c>
      <c r="B29" s="702"/>
      <c r="C29" s="702"/>
      <c r="D29" s="702"/>
      <c r="E29" s="702"/>
      <c r="F29" s="702"/>
      <c r="G29" s="702"/>
      <c r="H29" s="769">
        <f>+H12+H18+H19+H25</f>
        <v>4832167.220000001</v>
      </c>
    </row>
    <row r="30" spans="1:8" ht="13.5" hidden="1" thickBot="1">
      <c r="A30" s="709"/>
      <c r="B30" s="710"/>
      <c r="C30" s="710"/>
      <c r="D30" s="710"/>
      <c r="E30" s="710"/>
      <c r="F30" s="710"/>
      <c r="G30" s="710"/>
      <c r="H30" s="715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D24" sqref="D24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53" customWidth="1"/>
    <col min="6" max="6" width="13.7109375" style="648" customWidth="1"/>
    <col min="7" max="7" width="16.8515625" style="133" customWidth="1"/>
    <col min="8" max="16384" width="11.57421875" style="133" customWidth="1"/>
  </cols>
  <sheetData>
    <row r="2" spans="2:5" ht="12.75" hidden="1">
      <c r="B2" s="885" t="s">
        <v>544</v>
      </c>
      <c r="C2" s="885"/>
      <c r="D2" s="885"/>
      <c r="E2" s="651"/>
    </row>
    <row r="3" spans="2:5" ht="13.5" hidden="1" thickBot="1">
      <c r="B3" s="183"/>
      <c r="C3" s="183"/>
      <c r="D3" s="183"/>
      <c r="E3" s="651"/>
    </row>
    <row r="4" spans="2:5" ht="15" hidden="1" thickBot="1">
      <c r="B4" s="922" t="str">
        <f>CPYG!A8</f>
        <v>EMPRESA PÚBLICA: AUDITORIO DE TENERIFE, S.A.U.</v>
      </c>
      <c r="C4" s="923"/>
      <c r="D4" s="924"/>
      <c r="E4" s="652"/>
    </row>
    <row r="5" spans="2:3" ht="13.5" hidden="1" thickBot="1">
      <c r="B5" s="184"/>
      <c r="C5" s="184"/>
    </row>
    <row r="6" spans="2:5" ht="15" hidden="1" thickBot="1">
      <c r="B6" s="925" t="s">
        <v>402</v>
      </c>
      <c r="C6" s="923"/>
      <c r="D6" s="924"/>
      <c r="E6" s="652"/>
    </row>
    <row r="7" spans="2:3" ht="13.5" hidden="1" thickBot="1">
      <c r="B7" s="184"/>
      <c r="C7" s="184"/>
    </row>
    <row r="8" spans="2:5" ht="13.5" customHeight="1" hidden="1">
      <c r="B8" s="926" t="s">
        <v>596</v>
      </c>
      <c r="C8" s="927"/>
      <c r="D8" s="888"/>
      <c r="E8" s="654"/>
    </row>
    <row r="9" spans="2:5" ht="12.75" customHeight="1" hidden="1">
      <c r="B9" s="1241"/>
      <c r="C9" s="1242"/>
      <c r="D9" s="1236"/>
      <c r="E9" s="655"/>
    </row>
    <row r="10" spans="2:5" ht="12.75" hidden="1">
      <c r="B10" s="135"/>
      <c r="C10" s="136"/>
      <c r="D10" s="137"/>
      <c r="E10" s="656"/>
    </row>
    <row r="11" spans="2:8" ht="12.75" hidden="1">
      <c r="B11" s="138" t="s">
        <v>598</v>
      </c>
      <c r="C11" s="139" t="s">
        <v>705</v>
      </c>
      <c r="D11" s="140">
        <v>0</v>
      </c>
      <c r="E11" s="657"/>
      <c r="F11" s="649"/>
      <c r="H11" s="649"/>
    </row>
    <row r="12" spans="2:8" ht="12.75" hidden="1">
      <c r="B12" s="138" t="s">
        <v>599</v>
      </c>
      <c r="C12" s="139" t="s">
        <v>706</v>
      </c>
      <c r="D12" s="140">
        <v>0</v>
      </c>
      <c r="E12" s="657"/>
      <c r="F12" s="649"/>
      <c r="H12" s="649"/>
    </row>
    <row r="13" spans="2:8" ht="12.75" hidden="1">
      <c r="B13" s="138" t="s">
        <v>600</v>
      </c>
      <c r="C13" s="139" t="s">
        <v>707</v>
      </c>
      <c r="D13" s="140">
        <f>3!D13</f>
        <v>2483551.42</v>
      </c>
      <c r="E13" s="657"/>
      <c r="F13" s="649"/>
      <c r="H13" s="649"/>
    </row>
    <row r="14" spans="2:8" ht="12.75" hidden="1">
      <c r="B14" s="138" t="s">
        <v>601</v>
      </c>
      <c r="C14" s="139" t="s">
        <v>708</v>
      </c>
      <c r="D14" s="140">
        <f>3!D14+'Transf. y subv.'!E48</f>
        <v>2358615.8000000003</v>
      </c>
      <c r="E14" s="657"/>
      <c r="F14" s="649"/>
      <c r="H14" s="649"/>
    </row>
    <row r="15" spans="2:8" ht="12.75" hidden="1">
      <c r="B15" s="138" t="s">
        <v>602</v>
      </c>
      <c r="C15" s="139" t="s">
        <v>709</v>
      </c>
      <c r="D15" s="140">
        <f>3!D15</f>
        <v>1000</v>
      </c>
      <c r="E15" s="657"/>
      <c r="F15" s="649"/>
      <c r="H15" s="649"/>
    </row>
    <row r="16" spans="2:5" ht="12.75" hidden="1">
      <c r="B16" s="141"/>
      <c r="C16" s="142"/>
      <c r="D16" s="143"/>
      <c r="E16" s="658"/>
    </row>
    <row r="17" spans="2:7" ht="12.75" hidden="1">
      <c r="B17" s="144" t="s">
        <v>603</v>
      </c>
      <c r="C17" s="145"/>
      <c r="D17" s="146">
        <f>SUM(D11:D15)</f>
        <v>4843167.220000001</v>
      </c>
      <c r="E17" s="659"/>
      <c r="F17" s="779"/>
      <c r="G17" s="782"/>
    </row>
    <row r="18" spans="2:5" ht="12.75" hidden="1">
      <c r="B18" s="147"/>
      <c r="C18" s="148"/>
      <c r="D18" s="149"/>
      <c r="E18" s="658"/>
    </row>
    <row r="19" spans="2:5" ht="12.75" hidden="1">
      <c r="B19" s="141"/>
      <c r="C19" s="142"/>
      <c r="D19" s="143"/>
      <c r="E19" s="658"/>
    </row>
    <row r="20" spans="2:5" ht="12.75" hidden="1">
      <c r="B20" s="138" t="s">
        <v>604</v>
      </c>
      <c r="C20" s="139" t="s">
        <v>710</v>
      </c>
      <c r="D20" s="143">
        <f>-'Inv. NO FIN'!H27</f>
        <v>0</v>
      </c>
      <c r="E20" s="658"/>
    </row>
    <row r="21" spans="2:5" ht="12.75" hidden="1">
      <c r="B21" s="138" t="s">
        <v>605</v>
      </c>
      <c r="C21" s="139" t="s">
        <v>711</v>
      </c>
      <c r="D21" s="143">
        <f>'Transf. y subv.'!E20</f>
        <v>400000</v>
      </c>
      <c r="E21" s="658"/>
    </row>
    <row r="22" spans="2:5" ht="12.75" hidden="1">
      <c r="B22" s="141"/>
      <c r="C22" s="142"/>
      <c r="D22" s="143"/>
      <c r="E22" s="658"/>
    </row>
    <row r="23" spans="2:5" ht="12.75" hidden="1">
      <c r="B23" s="144" t="s">
        <v>606</v>
      </c>
      <c r="C23" s="145"/>
      <c r="D23" s="146">
        <f>SUM(D20:D21)</f>
        <v>400000</v>
      </c>
      <c r="E23" s="659"/>
    </row>
    <row r="24" spans="2:5" ht="12.75" hidden="1">
      <c r="B24" s="147"/>
      <c r="C24" s="148"/>
      <c r="D24" s="149"/>
      <c r="E24" s="658"/>
    </row>
    <row r="25" spans="2:5" ht="12.75" hidden="1">
      <c r="B25" s="141"/>
      <c r="C25" s="142"/>
      <c r="D25" s="143"/>
      <c r="E25" s="658"/>
    </row>
    <row r="26" spans="2:5" ht="12.75" hidden="1">
      <c r="B26" s="138" t="s">
        <v>607</v>
      </c>
      <c r="C26" s="139" t="s">
        <v>712</v>
      </c>
      <c r="D26" s="140">
        <f>-'Inv. FIN'!G19-'Inv. FIN'!G26-'Inv. FIN'!G38-'Inv. FIN'!G45</f>
        <v>2750000</v>
      </c>
      <c r="E26" s="657"/>
    </row>
    <row r="27" spans="2:5" ht="12.75" hidden="1">
      <c r="B27" s="138" t="s">
        <v>608</v>
      </c>
      <c r="C27" s="139" t="s">
        <v>713</v>
      </c>
      <c r="D27" s="140">
        <f>'Deuda L.P.'!K29</f>
        <v>0</v>
      </c>
      <c r="E27" s="657"/>
    </row>
    <row r="28" spans="2:5" ht="12.75" hidden="1">
      <c r="B28" s="141"/>
      <c r="C28" s="142"/>
      <c r="D28" s="143"/>
      <c r="E28" s="658"/>
    </row>
    <row r="29" spans="2:5" ht="12.75" hidden="1">
      <c r="B29" s="144" t="s">
        <v>609</v>
      </c>
      <c r="C29" s="145"/>
      <c r="D29" s="150">
        <f>SUM(D26:D27)</f>
        <v>2750000</v>
      </c>
      <c r="E29" s="660"/>
    </row>
    <row r="30" spans="2:5" ht="12.75" hidden="1">
      <c r="B30" s="151"/>
      <c r="C30" s="152"/>
      <c r="D30" s="153"/>
      <c r="E30" s="661"/>
    </row>
    <row r="31" spans="2:5" ht="12.75" hidden="1">
      <c r="B31" s="369"/>
      <c r="C31" s="188"/>
      <c r="D31" s="370"/>
      <c r="E31" s="656"/>
    </row>
    <row r="32" spans="2:5" ht="12.75" hidden="1">
      <c r="B32" s="154"/>
      <c r="C32" s="156" t="s">
        <v>610</v>
      </c>
      <c r="D32" s="157">
        <f>D17+D23+D29</f>
        <v>7993167.220000001</v>
      </c>
      <c r="E32" s="660"/>
    </row>
    <row r="33" spans="2:5" ht="13.5" hidden="1" thickBot="1">
      <c r="B33" s="164"/>
      <c r="C33" s="197"/>
      <c r="D33" s="166"/>
      <c r="E33" s="656"/>
    </row>
    <row r="34" spans="3:5" ht="12.75" hidden="1">
      <c r="C34" s="158"/>
      <c r="D34" s="133"/>
      <c r="E34" s="226"/>
    </row>
    <row r="35" ht="12.75" hidden="1"/>
    <row r="36" ht="13.5" hidden="1" thickBot="1"/>
    <row r="37" spans="2:5" ht="13.5" customHeight="1" hidden="1">
      <c r="B37" s="926" t="s">
        <v>596</v>
      </c>
      <c r="C37" s="1239"/>
      <c r="D37" s="1237"/>
      <c r="E37" s="662"/>
    </row>
    <row r="38" spans="2:5" ht="12.75" customHeight="1" hidden="1" thickBot="1">
      <c r="B38" s="928"/>
      <c r="C38" s="1240"/>
      <c r="D38" s="1238"/>
      <c r="E38" s="663"/>
    </row>
    <row r="39" spans="2:8" ht="12.75" hidden="1">
      <c r="B39" s="151"/>
      <c r="C39" s="159"/>
      <c r="D39" s="153"/>
      <c r="E39" s="661"/>
      <c r="H39" s="158"/>
    </row>
    <row r="40" spans="2:8" ht="12.75" hidden="1">
      <c r="B40" s="138" t="s">
        <v>598</v>
      </c>
      <c r="C40" s="204" t="s">
        <v>612</v>
      </c>
      <c r="D40" s="168">
        <f>3!D45</f>
        <v>1168687.01</v>
      </c>
      <c r="E40" s="647"/>
      <c r="H40" s="649"/>
    </row>
    <row r="41" spans="2:8" ht="12.75" hidden="1">
      <c r="B41" s="138" t="s">
        <v>599</v>
      </c>
      <c r="C41" s="204" t="s">
        <v>613</v>
      </c>
      <c r="D41" s="168">
        <f>3!D46</f>
        <v>3581282.4099999997</v>
      </c>
      <c r="E41" s="647"/>
      <c r="H41" s="649"/>
    </row>
    <row r="42" spans="2:8" ht="12.75" hidden="1">
      <c r="B42" s="138" t="s">
        <v>600</v>
      </c>
      <c r="C42" s="204" t="s">
        <v>112</v>
      </c>
      <c r="D42" s="168">
        <f>3!D47</f>
        <v>0</v>
      </c>
      <c r="E42" s="647"/>
      <c r="H42" s="649"/>
    </row>
    <row r="43" spans="2:8" ht="12.75" hidden="1">
      <c r="B43" s="138" t="s">
        <v>601</v>
      </c>
      <c r="C43" s="204" t="s">
        <v>614</v>
      </c>
      <c r="D43" s="476">
        <f>3!D48</f>
        <v>0</v>
      </c>
      <c r="E43" s="647"/>
      <c r="H43" s="649"/>
    </row>
    <row r="44" spans="2:8" ht="12.75" hidden="1">
      <c r="B44" s="151"/>
      <c r="C44" s="159"/>
      <c r="D44" s="168"/>
      <c r="E44" s="647"/>
      <c r="H44" s="649"/>
    </row>
    <row r="45" spans="2:5" ht="12.75" hidden="1">
      <c r="B45" s="144" t="s">
        <v>615</v>
      </c>
      <c r="C45" s="205"/>
      <c r="D45" s="150">
        <f>SUM(D40:D43)</f>
        <v>4749969.42</v>
      </c>
      <c r="E45" s="660"/>
    </row>
    <row r="46" spans="2:5" ht="12.75" hidden="1">
      <c r="B46" s="147"/>
      <c r="C46" s="206"/>
      <c r="D46" s="170"/>
      <c r="E46" s="661"/>
    </row>
    <row r="47" spans="2:5" ht="12.75" hidden="1">
      <c r="B47" s="151"/>
      <c r="C47" s="159"/>
      <c r="D47" s="153"/>
      <c r="E47" s="661"/>
    </row>
    <row r="48" spans="2:5" ht="12.75" hidden="1">
      <c r="B48" s="138" t="s">
        <v>604</v>
      </c>
      <c r="C48" s="204" t="s">
        <v>629</v>
      </c>
      <c r="D48" s="168">
        <f>'Inv. NO FIN'!C27+'Inv. NO FIN'!E27</f>
        <v>530014.55</v>
      </c>
      <c r="E48" s="647"/>
    </row>
    <row r="49" spans="2:5" ht="12.75" hidden="1">
      <c r="B49" s="138" t="s">
        <v>605</v>
      </c>
      <c r="C49" s="204" t="s">
        <v>630</v>
      </c>
      <c r="D49" s="168">
        <v>0</v>
      </c>
      <c r="E49" s="647"/>
    </row>
    <row r="50" spans="2:5" ht="12.75" hidden="1">
      <c r="B50" s="151"/>
      <c r="C50" s="159"/>
      <c r="D50" s="153"/>
      <c r="E50" s="661"/>
    </row>
    <row r="51" spans="2:5" ht="12.75" hidden="1">
      <c r="B51" s="144" t="s">
        <v>631</v>
      </c>
      <c r="C51" s="205"/>
      <c r="D51" s="150">
        <f>SUM(D48:D49)</f>
        <v>530014.55</v>
      </c>
      <c r="E51" s="660"/>
    </row>
    <row r="52" spans="2:5" ht="12.75" hidden="1">
      <c r="B52" s="147"/>
      <c r="C52" s="206"/>
      <c r="D52" s="170"/>
      <c r="E52" s="661"/>
    </row>
    <row r="53" spans="2:5" ht="12.75" hidden="1">
      <c r="B53" s="151"/>
      <c r="C53" s="159"/>
      <c r="D53" s="153"/>
      <c r="E53" s="661"/>
    </row>
    <row r="54" spans="2:5" ht="12.75" hidden="1">
      <c r="B54" s="138" t="s">
        <v>607</v>
      </c>
      <c r="C54" s="204" t="s">
        <v>633</v>
      </c>
      <c r="D54" s="168">
        <f>'Inv. FIN'!E19+'Inv. FIN'!E26+'Inv. FIN'!E38+'Inv. FIN'!E45</f>
        <v>2750000</v>
      </c>
      <c r="E54" s="647"/>
    </row>
    <row r="55" spans="2:5" ht="12.75" hidden="1">
      <c r="B55" s="138" t="s">
        <v>608</v>
      </c>
      <c r="C55" s="204" t="s">
        <v>634</v>
      </c>
      <c r="D55" s="168">
        <f>'Deuda L.P.'!L29</f>
        <v>0</v>
      </c>
      <c r="E55" s="647"/>
    </row>
    <row r="56" spans="2:5" ht="12.75" hidden="1">
      <c r="B56" s="151"/>
      <c r="C56" s="159"/>
      <c r="D56" s="153"/>
      <c r="E56" s="661"/>
    </row>
    <row r="57" spans="2:5" ht="12.75" hidden="1">
      <c r="B57" s="144" t="s">
        <v>635</v>
      </c>
      <c r="C57" s="205"/>
      <c r="D57" s="150">
        <f>SUM(D54:D55)</f>
        <v>2750000</v>
      </c>
      <c r="E57" s="660"/>
    </row>
    <row r="58" spans="2:5" ht="13.5" hidden="1" thickBot="1">
      <c r="B58" s="171"/>
      <c r="C58" s="207"/>
      <c r="D58" s="173"/>
      <c r="E58" s="660"/>
    </row>
    <row r="59" spans="2:5" ht="13.5" hidden="1" thickTop="1">
      <c r="B59" s="161"/>
      <c r="C59" s="198"/>
      <c r="D59" s="163"/>
      <c r="E59" s="656"/>
    </row>
    <row r="60" spans="2:5" ht="12.75" hidden="1">
      <c r="B60" s="154"/>
      <c r="C60" s="199" t="s">
        <v>167</v>
      </c>
      <c r="D60" s="157">
        <f>D45+D51+D57</f>
        <v>8029983.97</v>
      </c>
      <c r="E60" s="660"/>
    </row>
    <row r="61" spans="2:5" ht="13.5" hidden="1" thickBot="1">
      <c r="B61" s="164"/>
      <c r="C61" s="165"/>
      <c r="D61" s="166"/>
      <c r="E61" s="656"/>
    </row>
    <row r="62" spans="3:5" ht="12.75" hidden="1">
      <c r="C62" s="174"/>
      <c r="D62" s="133"/>
      <c r="E62" s="226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D24" sqref="D24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6" width="12.57421875" style="133" bestFit="1" customWidth="1"/>
    <col min="7" max="16384" width="11.57421875" style="133" customWidth="1"/>
  </cols>
  <sheetData>
    <row r="1" ht="19.5" customHeight="1" hidden="1"/>
    <row r="2" spans="2:6" ht="12.75" hidden="1">
      <c r="B2" s="885" t="s">
        <v>544</v>
      </c>
      <c r="C2" s="885"/>
      <c r="D2" s="885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" hidden="1" thickBot="1">
      <c r="B4" s="922" t="str">
        <f>CPYG!A8</f>
        <v>EMPRESA PÚBLICA: AUDITORIO DE TENERIFE, S.A.U.</v>
      </c>
      <c r="C4" s="923"/>
      <c r="D4" s="924"/>
      <c r="E4" s="132"/>
      <c r="F4" s="132"/>
    </row>
    <row r="5" spans="2:6" ht="13.5" hidden="1" thickBot="1">
      <c r="B5" s="184"/>
      <c r="C5" s="184"/>
      <c r="E5" s="132"/>
      <c r="F5" s="132"/>
    </row>
    <row r="6" spans="2:4" ht="15" hidden="1" thickBot="1">
      <c r="B6" s="925" t="s">
        <v>402</v>
      </c>
      <c r="C6" s="923"/>
      <c r="D6" s="924"/>
    </row>
    <row r="7" ht="15" customHeight="1" hidden="1" thickBot="1"/>
    <row r="8" spans="2:4" ht="12.75" hidden="1">
      <c r="B8" s="926" t="s">
        <v>596</v>
      </c>
      <c r="C8" s="927"/>
      <c r="D8" s="1243"/>
    </row>
    <row r="9" spans="2:4" ht="13.5" customHeight="1" hidden="1" thickBot="1">
      <c r="B9" s="928"/>
      <c r="C9" s="929"/>
      <c r="D9" s="1244"/>
    </row>
    <row r="10" spans="2:4" ht="12.75" customHeight="1" hidden="1">
      <c r="B10" s="151"/>
      <c r="C10" s="152"/>
      <c r="D10" s="160"/>
    </row>
    <row r="11" spans="2:7" ht="12.75" hidden="1">
      <c r="B11" s="138" t="s">
        <v>598</v>
      </c>
      <c r="C11" s="139" t="s">
        <v>705</v>
      </c>
      <c r="D11" s="477">
        <v>0</v>
      </c>
      <c r="F11" s="169"/>
      <c r="G11" s="169"/>
    </row>
    <row r="12" spans="2:7" ht="12.75" hidden="1">
      <c r="B12" s="138" t="s">
        <v>599</v>
      </c>
      <c r="C12" s="139" t="s">
        <v>706</v>
      </c>
      <c r="D12" s="477">
        <v>0</v>
      </c>
      <c r="F12" s="169"/>
      <c r="G12" s="169"/>
    </row>
    <row r="13" spans="2:7" ht="12.75" hidden="1">
      <c r="B13" s="138" t="s">
        <v>600</v>
      </c>
      <c r="C13" s="139" t="s">
        <v>707</v>
      </c>
      <c r="D13" s="477">
        <f>CPYG!D12+CPYG!D38+CPYG!D36+10000</f>
        <v>2483551.42</v>
      </c>
      <c r="F13" s="169"/>
      <c r="G13" s="169"/>
    </row>
    <row r="14" spans="2:7" ht="12.75" hidden="1">
      <c r="B14" s="138" t="s">
        <v>601</v>
      </c>
      <c r="C14" s="139" t="s">
        <v>708</v>
      </c>
      <c r="D14" s="477">
        <f>CPYG!D39</f>
        <v>405968</v>
      </c>
      <c r="F14" s="169"/>
      <c r="G14" s="169"/>
    </row>
    <row r="15" spans="2:7" ht="12.75" hidden="1">
      <c r="B15" s="138" t="s">
        <v>602</v>
      </c>
      <c r="C15" s="139" t="s">
        <v>709</v>
      </c>
      <c r="D15" s="477">
        <f>CPYG!D37+CPYG!D84+CPYG!D87+CPYG!D103</f>
        <v>1000</v>
      </c>
      <c r="F15" s="169"/>
      <c r="G15" s="169"/>
    </row>
    <row r="16" spans="2:7" ht="12.75" hidden="1">
      <c r="B16" s="141"/>
      <c r="C16" s="142"/>
      <c r="D16" s="478"/>
      <c r="F16" s="169"/>
      <c r="G16" s="169"/>
    </row>
    <row r="17" spans="2:6" ht="12.75" hidden="1">
      <c r="B17" s="144" t="s">
        <v>603</v>
      </c>
      <c r="C17" s="145"/>
      <c r="D17" s="479">
        <f>SUM(D11:D15)</f>
        <v>2890519.42</v>
      </c>
      <c r="F17" s="169"/>
    </row>
    <row r="18" spans="2:4" ht="12.75" hidden="1">
      <c r="B18" s="147"/>
      <c r="C18" s="148"/>
      <c r="D18" s="480"/>
    </row>
    <row r="19" spans="2:4" ht="12.75" hidden="1">
      <c r="B19" s="141"/>
      <c r="C19" s="142"/>
      <c r="D19" s="478"/>
    </row>
    <row r="20" spans="2:4" ht="12.75" hidden="1">
      <c r="B20" s="138" t="s">
        <v>604</v>
      </c>
      <c r="C20" s="139" t="s">
        <v>710</v>
      </c>
      <c r="D20" s="478"/>
    </row>
    <row r="21" spans="2:4" ht="12.75" hidden="1">
      <c r="B21" s="138" t="s">
        <v>605</v>
      </c>
      <c r="C21" s="139" t="s">
        <v>711</v>
      </c>
      <c r="D21" s="478"/>
    </row>
    <row r="22" spans="2:4" ht="12.75" hidden="1">
      <c r="B22" s="141"/>
      <c r="C22" s="142"/>
      <c r="D22" s="478"/>
    </row>
    <row r="23" spans="2:4" ht="12.75" hidden="1">
      <c r="B23" s="144" t="s">
        <v>606</v>
      </c>
      <c r="C23" s="145"/>
      <c r="D23" s="479">
        <f>+D20+D21</f>
        <v>0</v>
      </c>
    </row>
    <row r="24" spans="2:4" ht="12.75" hidden="1">
      <c r="B24" s="147"/>
      <c r="C24" s="148"/>
      <c r="D24" s="480"/>
    </row>
    <row r="25" spans="2:4" ht="12.75" hidden="1">
      <c r="B25" s="141"/>
      <c r="C25" s="142"/>
      <c r="D25" s="478"/>
    </row>
    <row r="26" spans="2:4" ht="12.75" hidden="1">
      <c r="B26" s="138" t="s">
        <v>607</v>
      </c>
      <c r="C26" s="139" t="s">
        <v>712</v>
      </c>
      <c r="D26" s="477"/>
    </row>
    <row r="27" spans="2:4" ht="12.75" hidden="1">
      <c r="B27" s="138" t="s">
        <v>608</v>
      </c>
      <c r="C27" s="139" t="s">
        <v>713</v>
      </c>
      <c r="D27" s="477"/>
    </row>
    <row r="28" spans="2:4" ht="12.75" hidden="1">
      <c r="B28" s="141"/>
      <c r="C28" s="142"/>
      <c r="D28" s="478"/>
    </row>
    <row r="29" spans="2:4" ht="13.5" hidden="1" thickBot="1">
      <c r="B29" s="203" t="s">
        <v>609</v>
      </c>
      <c r="C29" s="482"/>
      <c r="D29" s="481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83"/>
    </row>
    <row r="32" spans="2:4" ht="12.75" hidden="1">
      <c r="B32" s="154"/>
      <c r="C32" s="156" t="s">
        <v>610</v>
      </c>
      <c r="D32" s="484">
        <f>+D29+D23+D17</f>
        <v>2890519.42</v>
      </c>
    </row>
    <row r="33" spans="2:4" ht="13.5" hidden="1" thickBot="1">
      <c r="B33" s="164"/>
      <c r="C33" s="197"/>
      <c r="D33" s="485"/>
    </row>
    <row r="34" spans="2:4" ht="12.75" hidden="1">
      <c r="B34" s="200"/>
      <c r="C34" s="488"/>
      <c r="D34" s="486"/>
    </row>
    <row r="35" spans="2:4" ht="12.75" hidden="1">
      <c r="B35" s="194"/>
      <c r="C35" s="195" t="s">
        <v>611</v>
      </c>
      <c r="D35" s="160">
        <f>CPYG!D26+CPYG!D28+CPYG!D70+CPYG!D64+CPYG!D63+CPYG!D95+CPYG!D74+CPYG!D90</f>
        <v>32434.76</v>
      </c>
    </row>
    <row r="36" spans="2:4" ht="13.5" hidden="1" thickBot="1">
      <c r="B36" s="202"/>
      <c r="C36" s="489"/>
      <c r="D36" s="487"/>
    </row>
    <row r="37" spans="2:4" ht="12.75" hidden="1">
      <c r="B37" s="161"/>
      <c r="C37" s="162"/>
      <c r="D37" s="483"/>
    </row>
    <row r="38" spans="2:4" ht="12.75" hidden="1">
      <c r="B38" s="1241" t="s">
        <v>403</v>
      </c>
      <c r="C38" s="1242"/>
      <c r="D38" s="484">
        <f>D32+D35</f>
        <v>2922954.1799999997</v>
      </c>
    </row>
    <row r="39" spans="2:4" ht="13.5" hidden="1" thickBot="1">
      <c r="B39" s="164"/>
      <c r="C39" s="197"/>
      <c r="D39" s="485"/>
    </row>
    <row r="40" ht="12.75" hidden="1"/>
    <row r="41" ht="13.5" hidden="1" thickBot="1"/>
    <row r="42" spans="2:4" ht="12.75" hidden="1">
      <c r="B42" s="926" t="s">
        <v>596</v>
      </c>
      <c r="C42" s="927"/>
      <c r="D42" s="1245"/>
    </row>
    <row r="43" spans="2:4" ht="13.5" customHeight="1" hidden="1" thickBot="1">
      <c r="B43" s="928"/>
      <c r="C43" s="929"/>
      <c r="D43" s="1246"/>
    </row>
    <row r="44" spans="2:4" ht="12.75" customHeight="1" hidden="1">
      <c r="B44" s="151"/>
      <c r="C44" s="152"/>
      <c r="D44" s="490"/>
    </row>
    <row r="45" spans="2:4" ht="12.75" hidden="1">
      <c r="B45" s="138" t="s">
        <v>598</v>
      </c>
      <c r="C45" s="167" t="s">
        <v>612</v>
      </c>
      <c r="D45" s="491">
        <f>-CPYG!D46+CPYG!D52</f>
        <v>1168687.01</v>
      </c>
    </row>
    <row r="46" spans="2:6" ht="12.75" hidden="1">
      <c r="B46" s="138" t="s">
        <v>599</v>
      </c>
      <c r="C46" s="167" t="s">
        <v>613</v>
      </c>
      <c r="D46" s="492">
        <f>-CPYG!D29+CPYG!D33-CPYG!D55-CPYG!D56-CPYG!D107-CPYG!D58</f>
        <v>3581282.4099999997</v>
      </c>
      <c r="F46" s="779"/>
    </row>
    <row r="47" spans="2:4" ht="12.75" hidden="1">
      <c r="B47" s="138" t="s">
        <v>600</v>
      </c>
      <c r="C47" s="167" t="s">
        <v>112</v>
      </c>
      <c r="D47" s="492">
        <f>-CPYG!D92-CPYG!D93-CPYG!D104</f>
        <v>0</v>
      </c>
    </row>
    <row r="48" spans="2:4" ht="12.75" hidden="1">
      <c r="B48" s="138" t="s">
        <v>601</v>
      </c>
      <c r="C48" s="167" t="s">
        <v>614</v>
      </c>
      <c r="D48" s="492">
        <f>CPYG!D75</f>
        <v>0</v>
      </c>
    </row>
    <row r="49" spans="2:4" ht="12.75" hidden="1">
      <c r="B49" s="151"/>
      <c r="C49" s="152"/>
      <c r="D49" s="492"/>
    </row>
    <row r="50" spans="2:4" ht="12.75" hidden="1">
      <c r="B50" s="144" t="s">
        <v>615</v>
      </c>
      <c r="C50" s="145"/>
      <c r="D50" s="493">
        <f>SUM(D45:D48)</f>
        <v>4749969.42</v>
      </c>
    </row>
    <row r="51" spans="2:4" ht="12.75" hidden="1">
      <c r="B51" s="147"/>
      <c r="C51" s="148"/>
      <c r="D51" s="494"/>
    </row>
    <row r="52" spans="2:4" ht="12.75" hidden="1">
      <c r="B52" s="151"/>
      <c r="C52" s="152"/>
      <c r="D52" s="490"/>
    </row>
    <row r="53" spans="2:4" ht="12.75" hidden="1">
      <c r="B53" s="138" t="s">
        <v>604</v>
      </c>
      <c r="C53" s="167" t="s">
        <v>629</v>
      </c>
      <c r="D53" s="492"/>
    </row>
    <row r="54" spans="2:4" ht="12.75" hidden="1">
      <c r="B54" s="138" t="s">
        <v>605</v>
      </c>
      <c r="C54" s="167" t="s">
        <v>630</v>
      </c>
      <c r="D54" s="492"/>
    </row>
    <row r="55" spans="2:4" ht="12.75" hidden="1">
      <c r="B55" s="151"/>
      <c r="C55" s="152"/>
      <c r="D55" s="490"/>
    </row>
    <row r="56" spans="2:4" ht="12.75" hidden="1">
      <c r="B56" s="144" t="s">
        <v>631</v>
      </c>
      <c r="C56" s="145"/>
      <c r="D56" s="493">
        <f>+D54+D53</f>
        <v>0</v>
      </c>
    </row>
    <row r="57" spans="2:4" ht="12.75" hidden="1">
      <c r="B57" s="147"/>
      <c r="C57" s="148"/>
      <c r="D57" s="494"/>
    </row>
    <row r="58" spans="2:4" ht="12.75" hidden="1">
      <c r="B58" s="151"/>
      <c r="C58" s="152"/>
      <c r="D58" s="490"/>
    </row>
    <row r="59" spans="2:4" ht="12.75" hidden="1">
      <c r="B59" s="138" t="s">
        <v>607</v>
      </c>
      <c r="C59" s="167" t="s">
        <v>633</v>
      </c>
      <c r="D59" s="492"/>
    </row>
    <row r="60" spans="2:4" ht="12.75" hidden="1">
      <c r="B60" s="138" t="s">
        <v>608</v>
      </c>
      <c r="C60" s="167" t="s">
        <v>634</v>
      </c>
      <c r="D60" s="492"/>
    </row>
    <row r="61" spans="2:4" ht="12.75" hidden="1">
      <c r="B61" s="151"/>
      <c r="C61" s="152"/>
      <c r="D61" s="490"/>
    </row>
    <row r="62" spans="2:4" ht="13.5" hidden="1" thickBot="1">
      <c r="B62" s="203" t="s">
        <v>635</v>
      </c>
      <c r="C62" s="482"/>
      <c r="D62" s="481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83"/>
    </row>
    <row r="65" spans="2:4" ht="12.75" hidden="1">
      <c r="B65" s="154"/>
      <c r="C65" s="156" t="s">
        <v>638</v>
      </c>
      <c r="D65" s="484">
        <f>+D62+D56+D50</f>
        <v>4749969.42</v>
      </c>
    </row>
    <row r="66" spans="2:4" ht="13.5" hidden="1" thickBot="1">
      <c r="B66" s="164"/>
      <c r="C66" s="197"/>
      <c r="D66" s="485"/>
    </row>
    <row r="67" spans="2:4" ht="12.75" hidden="1">
      <c r="B67" s="201"/>
      <c r="C67" s="499"/>
      <c r="D67" s="495"/>
    </row>
    <row r="68" spans="2:6" ht="12.75" hidden="1">
      <c r="B68" s="194"/>
      <c r="C68" s="195" t="s">
        <v>637</v>
      </c>
      <c r="D68" s="496">
        <f>-CPYG!D27-CPYG!D33-CPYG!D66-CPYG!D52-CPYG!D59-CPYG!D57-CPYG!D94-CPYG!D98-CPYG!D99</f>
        <v>125632.5575</v>
      </c>
      <c r="F68" s="134"/>
    </row>
    <row r="69" spans="2:4" ht="14.25" customHeight="1" hidden="1" thickBot="1">
      <c r="B69" s="202"/>
      <c r="C69" s="489"/>
      <c r="D69" s="497"/>
    </row>
    <row r="70" spans="2:4" ht="14.25" customHeight="1" hidden="1">
      <c r="B70" s="154"/>
      <c r="C70" s="500"/>
      <c r="D70" s="498"/>
    </row>
    <row r="71" spans="2:4" ht="12.75" hidden="1">
      <c r="B71" s="1241" t="s">
        <v>404</v>
      </c>
      <c r="C71" s="1242"/>
      <c r="D71" s="484">
        <f>D65+D68</f>
        <v>4875601.9775</v>
      </c>
    </row>
    <row r="72" spans="2:4" ht="13.5" hidden="1" thickBot="1">
      <c r="B72" s="164"/>
      <c r="C72" s="197"/>
      <c r="D72" s="485"/>
    </row>
    <row r="73" spans="2:3" ht="12.75" hidden="1">
      <c r="B73" s="158"/>
      <c r="C73" s="158"/>
    </row>
    <row r="74" spans="3:4" ht="12.75" hidden="1">
      <c r="C74" s="185" t="s">
        <v>57</v>
      </c>
      <c r="D74" s="186">
        <f>D38-D71</f>
        <v>-1952647.7975000003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704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26.25" hidden="1">
      <c r="C81" s="180" t="s">
        <v>647</v>
      </c>
      <c r="D81" s="133"/>
    </row>
    <row r="82" spans="3:4" ht="12.75" hidden="1">
      <c r="C82" s="181" t="s">
        <v>58</v>
      </c>
      <c r="D82" s="133"/>
    </row>
    <row r="83" spans="3:4" ht="18" customHeight="1" hidden="1">
      <c r="C83" s="181" t="s">
        <v>59</v>
      </c>
      <c r="D83" s="133"/>
    </row>
    <row r="84" spans="3:4" ht="18" customHeight="1" hidden="1">
      <c r="C84" s="181" t="s">
        <v>52</v>
      </c>
      <c r="D84" s="133"/>
    </row>
    <row r="85" spans="3:4" ht="18" customHeight="1" hidden="1">
      <c r="C85" s="181" t="s">
        <v>60</v>
      </c>
      <c r="D85" s="133"/>
    </row>
    <row r="86" spans="3:4" ht="18" customHeight="1" hidden="1">
      <c r="C86" s="181" t="s">
        <v>53</v>
      </c>
      <c r="D86" s="133"/>
    </row>
    <row r="87" spans="3:4" ht="18" customHeight="1" hidden="1">
      <c r="C87" s="132" t="s">
        <v>54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45" t="s">
        <v>587</v>
      </c>
      <c r="D91" s="187">
        <f>SUM(D92:D93)</f>
        <v>10000</v>
      </c>
    </row>
    <row r="92" spans="3:4" ht="12.75" hidden="1">
      <c r="C92" s="646" t="s">
        <v>577</v>
      </c>
      <c r="D92" s="187">
        <f>CPYG!D80</f>
        <v>0</v>
      </c>
    </row>
    <row r="93" spans="3:4" ht="12.75" customHeight="1" hidden="1">
      <c r="C93" s="646" t="s">
        <v>578</v>
      </c>
      <c r="D93" s="187">
        <f>CPYG!$D$81</f>
        <v>10000</v>
      </c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51.8515625" style="716" customWidth="1"/>
    <col min="2" max="2" width="18.28125" style="716" customWidth="1"/>
    <col min="3" max="3" width="19.57421875" style="716" customWidth="1"/>
    <col min="4" max="4" width="19.421875" style="716" customWidth="1"/>
    <col min="5" max="5" width="18.421875" style="716" customWidth="1"/>
    <col min="6" max="16384" width="11.57421875" style="716" customWidth="1"/>
  </cols>
  <sheetData>
    <row r="1" spans="1:5" ht="12.75">
      <c r="A1" s="752"/>
      <c r="B1" s="755" t="s">
        <v>426</v>
      </c>
      <c r="C1" s="752"/>
      <c r="D1" s="752"/>
      <c r="E1" s="752"/>
    </row>
    <row r="2" spans="1:5" ht="12.75">
      <c r="A2" s="752"/>
      <c r="B2" s="756" t="s">
        <v>427</v>
      </c>
      <c r="C2" s="752"/>
      <c r="D2" s="752"/>
      <c r="E2" s="752"/>
    </row>
    <row r="3" spans="1:5" ht="12.75">
      <c r="A3" s="752"/>
      <c r="B3" s="752"/>
      <c r="C3" s="752"/>
      <c r="D3" s="752"/>
      <c r="E3" s="752"/>
    </row>
    <row r="4" spans="1:4" ht="12.75">
      <c r="A4" s="752" t="s">
        <v>260</v>
      </c>
      <c r="B4" s="752"/>
      <c r="C4" s="757">
        <v>42339</v>
      </c>
      <c r="D4" s="752"/>
    </row>
    <row r="5" spans="1:4" ht="12.75">
      <c r="A5" s="752" t="s">
        <v>425</v>
      </c>
      <c r="B5" s="752"/>
      <c r="C5" s="758" t="s">
        <v>428</v>
      </c>
      <c r="D5" s="752"/>
    </row>
    <row r="6" ht="13.5" thickBot="1"/>
    <row r="7" spans="1:5" ht="24.75" customHeight="1">
      <c r="A7" s="892" t="str">
        <f>'ORGANOS DE GOBIERNO'!A9:H9</f>
        <v>EMPRESA PÚBLICA: AUDITORIO DE TENERIFE, S.A.U.</v>
      </c>
      <c r="B7" s="893"/>
      <c r="C7" s="893"/>
      <c r="D7" s="893"/>
      <c r="E7" s="887"/>
    </row>
    <row r="8" spans="1:5" ht="24.75" customHeight="1">
      <c r="A8" s="717"/>
      <c r="B8" s="718"/>
      <c r="C8" s="718"/>
      <c r="D8" s="718"/>
      <c r="E8" s="719"/>
    </row>
    <row r="9" spans="1:5" ht="15" customHeight="1">
      <c r="A9" s="720" t="s">
        <v>526</v>
      </c>
      <c r="B9" s="718"/>
      <c r="C9" s="718"/>
      <c r="D9" s="718"/>
      <c r="E9" s="719"/>
    </row>
    <row r="10" spans="1:5" ht="15" customHeight="1">
      <c r="A10" s="721"/>
      <c r="B10" s="722"/>
      <c r="C10" s="718"/>
      <c r="D10" s="718"/>
      <c r="E10" s="719"/>
    </row>
    <row r="11" spans="1:5" ht="28.5" customHeight="1">
      <c r="A11" s="723" t="s">
        <v>527</v>
      </c>
      <c r="B11" s="724" t="s">
        <v>528</v>
      </c>
      <c r="C11" s="725" t="s">
        <v>529</v>
      </c>
      <c r="D11" s="725" t="s">
        <v>530</v>
      </c>
      <c r="E11" s="726" t="s">
        <v>531</v>
      </c>
    </row>
    <row r="12" spans="1:5" ht="15" customHeight="1">
      <c r="A12" s="721"/>
      <c r="B12" s="727"/>
      <c r="C12" s="728"/>
      <c r="D12" s="771"/>
      <c r="E12" s="729"/>
    </row>
    <row r="13" spans="1:5" ht="15" customHeight="1">
      <c r="A13" s="797" t="s">
        <v>617</v>
      </c>
      <c r="B13" s="773">
        <v>1</v>
      </c>
      <c r="C13" s="770">
        <v>25</v>
      </c>
      <c r="D13" s="772">
        <v>58491.5132</v>
      </c>
      <c r="E13" s="732"/>
    </row>
    <row r="14" spans="1:5" ht="15" customHeight="1">
      <c r="A14" s="721"/>
      <c r="B14" s="727"/>
      <c r="C14" s="730"/>
      <c r="D14" s="731"/>
      <c r="E14" s="732"/>
    </row>
    <row r="15" spans="1:5" ht="15" customHeight="1">
      <c r="A15" s="721"/>
      <c r="B15" s="718"/>
      <c r="C15" s="730"/>
      <c r="D15" s="731"/>
      <c r="E15" s="732"/>
    </row>
    <row r="16" spans="1:5" ht="15" customHeight="1">
      <c r="A16" s="721"/>
      <c r="B16" s="722"/>
      <c r="C16" s="730"/>
      <c r="D16" s="731"/>
      <c r="E16" s="732"/>
    </row>
    <row r="17" spans="1:5" ht="15" customHeight="1">
      <c r="A17" s="733"/>
      <c r="B17" s="718"/>
      <c r="C17" s="730"/>
      <c r="D17" s="731"/>
      <c r="E17" s="732"/>
    </row>
    <row r="18" spans="1:5" ht="15" customHeight="1">
      <c r="A18" s="720" t="s">
        <v>532</v>
      </c>
      <c r="B18" s="718"/>
      <c r="C18" s="718"/>
      <c r="D18" s="731"/>
      <c r="E18" s="732"/>
    </row>
    <row r="19" spans="1:5" ht="15" customHeight="1">
      <c r="A19" s="733"/>
      <c r="B19" s="718"/>
      <c r="C19" s="718"/>
      <c r="D19" s="718"/>
      <c r="E19" s="719"/>
    </row>
    <row r="20" spans="1:5" ht="28.5" customHeight="1">
      <c r="A20" s="723" t="s">
        <v>533</v>
      </c>
      <c r="B20" s="724" t="s">
        <v>528</v>
      </c>
      <c r="C20" s="724" t="s">
        <v>529</v>
      </c>
      <c r="D20" s="724" t="s">
        <v>530</v>
      </c>
      <c r="E20" s="726" t="s">
        <v>534</v>
      </c>
    </row>
    <row r="21" spans="1:5" ht="15" customHeight="1">
      <c r="A21" s="721"/>
      <c r="B21" s="727"/>
      <c r="C21" s="718"/>
      <c r="D21" s="718"/>
      <c r="E21" s="719"/>
    </row>
    <row r="22" spans="1:5" ht="15" customHeight="1">
      <c r="A22" s="721"/>
      <c r="B22" s="727"/>
      <c r="C22" s="718"/>
      <c r="D22" s="718"/>
      <c r="E22" s="719"/>
    </row>
    <row r="23" spans="1:5" ht="15" customHeight="1">
      <c r="A23" s="721"/>
      <c r="B23" s="727"/>
      <c r="C23" s="718"/>
      <c r="D23" s="718"/>
      <c r="E23" s="719"/>
    </row>
    <row r="24" spans="1:5" ht="15" customHeight="1">
      <c r="A24" s="721"/>
      <c r="B24" s="727"/>
      <c r="C24" s="718"/>
      <c r="D24" s="718"/>
      <c r="E24" s="719"/>
    </row>
    <row r="25" spans="1:5" ht="15" customHeight="1">
      <c r="A25" s="721"/>
      <c r="B25" s="722"/>
      <c r="C25" s="718"/>
      <c r="D25" s="718"/>
      <c r="E25" s="719"/>
    </row>
    <row r="26" spans="1:5" ht="15" customHeight="1">
      <c r="A26" s="721"/>
      <c r="B26" s="722"/>
      <c r="C26" s="718"/>
      <c r="D26" s="718"/>
      <c r="E26" s="719"/>
    </row>
    <row r="27" spans="1:5" ht="15" customHeight="1">
      <c r="A27" s="733"/>
      <c r="B27" s="718"/>
      <c r="C27" s="718"/>
      <c r="D27" s="718"/>
      <c r="E27" s="719"/>
    </row>
    <row r="28" spans="1:5" ht="15" customHeight="1">
      <c r="A28" s="721"/>
      <c r="B28" s="722"/>
      <c r="C28" s="718"/>
      <c r="D28" s="718"/>
      <c r="E28" s="719"/>
    </row>
    <row r="29" spans="1:5" ht="15" customHeight="1">
      <c r="A29" s="721"/>
      <c r="B29" s="722"/>
      <c r="C29" s="718"/>
      <c r="D29" s="718"/>
      <c r="E29" s="719"/>
    </row>
    <row r="30" spans="1:5" ht="15" customHeight="1">
      <c r="A30" s="720" t="s">
        <v>535</v>
      </c>
      <c r="B30" s="718"/>
      <c r="C30" s="718"/>
      <c r="D30" s="718"/>
      <c r="E30" s="719"/>
    </row>
    <row r="31" spans="1:5" ht="15" customHeight="1">
      <c r="A31" s="720"/>
      <c r="B31" s="718"/>
      <c r="C31" s="718"/>
      <c r="D31" s="718"/>
      <c r="E31" s="719"/>
    </row>
    <row r="32" spans="1:5" ht="29.25" customHeight="1">
      <c r="A32" s="734" t="s">
        <v>536</v>
      </c>
      <c r="B32" s="735" t="s">
        <v>537</v>
      </c>
      <c r="C32" s="736" t="s">
        <v>538</v>
      </c>
      <c r="D32" s="718"/>
      <c r="E32" s="719"/>
    </row>
    <row r="33" spans="1:5" ht="16.5" customHeight="1">
      <c r="A33" s="737" t="s">
        <v>618</v>
      </c>
      <c r="B33" s="738" t="s">
        <v>539</v>
      </c>
      <c r="C33" s="739">
        <v>42279</v>
      </c>
      <c r="D33" s="718"/>
      <c r="E33" s="719"/>
    </row>
    <row r="34" spans="1:5" ht="15" customHeight="1">
      <c r="A34" s="737" t="s">
        <v>619</v>
      </c>
      <c r="B34" s="738" t="s">
        <v>540</v>
      </c>
      <c r="C34" s="739">
        <v>42279</v>
      </c>
      <c r="D34" s="718"/>
      <c r="E34" s="719"/>
    </row>
    <row r="35" spans="1:5" ht="15" customHeight="1">
      <c r="A35" s="737" t="s">
        <v>620</v>
      </c>
      <c r="B35" s="738" t="s">
        <v>541</v>
      </c>
      <c r="C35" s="739">
        <v>42279</v>
      </c>
      <c r="D35" s="718"/>
      <c r="E35" s="719"/>
    </row>
    <row r="36" spans="1:5" ht="15" customHeight="1">
      <c r="A36" s="737" t="s">
        <v>621</v>
      </c>
      <c r="B36" s="738" t="s">
        <v>542</v>
      </c>
      <c r="C36" s="739">
        <v>42279</v>
      </c>
      <c r="D36" s="718"/>
      <c r="E36" s="719"/>
    </row>
    <row r="37" spans="1:5" ht="15" customHeight="1">
      <c r="A37" s="737" t="s">
        <v>622</v>
      </c>
      <c r="B37" s="738" t="s">
        <v>542</v>
      </c>
      <c r="C37" s="739">
        <v>42279</v>
      </c>
      <c r="D37" s="718"/>
      <c r="E37" s="719"/>
    </row>
    <row r="38" spans="1:5" ht="15" customHeight="1">
      <c r="A38" s="737" t="s">
        <v>623</v>
      </c>
      <c r="B38" s="738" t="s">
        <v>542</v>
      </c>
      <c r="C38" s="739">
        <v>42279</v>
      </c>
      <c r="D38" s="718"/>
      <c r="E38" s="719"/>
    </row>
    <row r="39" spans="1:5" ht="15" customHeight="1">
      <c r="A39" s="737" t="s">
        <v>624</v>
      </c>
      <c r="B39" s="738" t="s">
        <v>542</v>
      </c>
      <c r="C39" s="739">
        <v>42279</v>
      </c>
      <c r="D39" s="718"/>
      <c r="E39" s="719"/>
    </row>
    <row r="40" spans="1:5" ht="15" customHeight="1">
      <c r="A40" s="737" t="s">
        <v>625</v>
      </c>
      <c r="B40" s="738" t="s">
        <v>542</v>
      </c>
      <c r="C40" s="739">
        <v>42279</v>
      </c>
      <c r="D40" s="718"/>
      <c r="E40" s="719"/>
    </row>
    <row r="41" spans="1:5" ht="15" customHeight="1">
      <c r="A41" s="737" t="s">
        <v>626</v>
      </c>
      <c r="B41" s="738" t="s">
        <v>542</v>
      </c>
      <c r="C41" s="739">
        <v>42279</v>
      </c>
      <c r="D41" s="718"/>
      <c r="E41" s="719"/>
    </row>
    <row r="42" spans="1:5" ht="15" customHeight="1">
      <c r="A42" s="737" t="s">
        <v>627</v>
      </c>
      <c r="B42" s="738" t="s">
        <v>542</v>
      </c>
      <c r="C42" s="739">
        <v>42279</v>
      </c>
      <c r="D42" s="718"/>
      <c r="E42" s="719"/>
    </row>
    <row r="43" spans="1:5" ht="15" customHeight="1">
      <c r="A43" s="733"/>
      <c r="B43" s="718"/>
      <c r="C43" s="718"/>
      <c r="D43" s="718"/>
      <c r="E43" s="719"/>
    </row>
    <row r="44" spans="1:5" ht="15" customHeight="1">
      <c r="A44" s="740" t="s">
        <v>543</v>
      </c>
      <c r="B44" s="741"/>
      <c r="C44" s="741"/>
      <c r="D44" s="718"/>
      <c r="E44" s="719"/>
    </row>
    <row r="45" spans="1:5" ht="15" customHeight="1">
      <c r="A45" s="733"/>
      <c r="B45" s="718"/>
      <c r="C45" s="718"/>
      <c r="D45" s="718"/>
      <c r="E45" s="719"/>
    </row>
    <row r="46" spans="1:5" ht="15" customHeight="1">
      <c r="A46" s="734" t="s">
        <v>536</v>
      </c>
      <c r="B46" s="738"/>
      <c r="C46" s="718"/>
      <c r="D46" s="718"/>
      <c r="E46" s="719"/>
    </row>
    <row r="47" spans="1:5" ht="15" customHeight="1">
      <c r="A47" s="733"/>
      <c r="B47" s="718"/>
      <c r="C47" s="718"/>
      <c r="D47" s="718"/>
      <c r="E47" s="719"/>
    </row>
    <row r="48" spans="1:5" ht="13.5" customHeight="1">
      <c r="A48" s="733" t="s">
        <v>628</v>
      </c>
      <c r="B48" s="718"/>
      <c r="C48" s="718"/>
      <c r="D48" s="718"/>
      <c r="E48" s="719"/>
    </row>
    <row r="49" spans="1:5" ht="13.5" customHeight="1" thickBot="1">
      <c r="A49" s="742"/>
      <c r="B49" s="743"/>
      <c r="C49" s="743"/>
      <c r="D49" s="743"/>
      <c r="E49" s="744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5"/>
  <sheetViews>
    <sheetView zoomScale="85" zoomScaleNormal="85" zoomScalePageLayoutView="0" workbookViewId="0" topLeftCell="A1">
      <selection activeCell="D4" sqref="D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6" width="14.57421875" style="776" bestFit="1" customWidth="1"/>
    <col min="7" max="16384" width="11.57421875" style="133" customWidth="1"/>
  </cols>
  <sheetData>
    <row r="1" ht="12.75">
      <c r="C1" s="755" t="s">
        <v>426</v>
      </c>
    </row>
    <row r="2" ht="12.75">
      <c r="C2" s="756" t="s">
        <v>427</v>
      </c>
    </row>
    <row r="4" spans="2:4" ht="12.75">
      <c r="B4" s="752" t="s">
        <v>260</v>
      </c>
      <c r="D4" s="757">
        <v>42339</v>
      </c>
    </row>
    <row r="5" spans="2:4" ht="12.75">
      <c r="B5" s="752" t="s">
        <v>425</v>
      </c>
      <c r="D5" s="758" t="s">
        <v>428</v>
      </c>
    </row>
    <row r="7" spans="2:4" ht="12.75">
      <c r="B7" s="885" t="s">
        <v>544</v>
      </c>
      <c r="C7" s="885"/>
      <c r="D7" s="885"/>
    </row>
    <row r="8" spans="2:4" ht="13.5" thickBot="1">
      <c r="B8" s="183"/>
      <c r="C8" s="183"/>
      <c r="D8" s="183"/>
    </row>
    <row r="9" spans="2:4" ht="15" thickBot="1">
      <c r="B9" s="922" t="str">
        <f>CPYG!A8</f>
        <v>EMPRESA PÚBLICA: AUDITORIO DE TENERIFE, S.A.U.</v>
      </c>
      <c r="C9" s="923"/>
      <c r="D9" s="924"/>
    </row>
    <row r="10" spans="2:3" ht="13.5" thickBot="1">
      <c r="B10" s="184"/>
      <c r="C10" s="184"/>
    </row>
    <row r="11" spans="2:4" ht="15" thickBot="1">
      <c r="B11" s="925" t="s">
        <v>402</v>
      </c>
      <c r="C11" s="923"/>
      <c r="D11" s="924"/>
    </row>
    <row r="12" spans="2:3" ht="13.5" thickBot="1">
      <c r="B12" s="184"/>
      <c r="C12" s="184"/>
    </row>
    <row r="13" spans="2:4" ht="13.5" customHeight="1">
      <c r="B13" s="926" t="s">
        <v>596</v>
      </c>
      <c r="C13" s="927"/>
      <c r="D13" s="888"/>
    </row>
    <row r="14" spans="2:4" ht="12.75" customHeight="1" thickBot="1">
      <c r="B14" s="928"/>
      <c r="C14" s="929"/>
      <c r="D14" s="886"/>
    </row>
    <row r="15" spans="2:4" ht="12.75">
      <c r="B15" s="151"/>
      <c r="C15" s="152"/>
      <c r="D15" s="196"/>
    </row>
    <row r="16" spans="2:4" ht="12.75">
      <c r="B16" s="138" t="s">
        <v>598</v>
      </c>
      <c r="C16" s="139" t="s">
        <v>705</v>
      </c>
      <c r="D16" s="140">
        <v>0</v>
      </c>
    </row>
    <row r="17" spans="2:4" ht="12.75">
      <c r="B17" s="138" t="s">
        <v>599</v>
      </c>
      <c r="C17" s="139" t="s">
        <v>706</v>
      </c>
      <c r="D17" s="140">
        <v>0</v>
      </c>
    </row>
    <row r="18" spans="2:4" ht="12.75">
      <c r="B18" s="138" t="s">
        <v>600</v>
      </c>
      <c r="C18" s="139" t="s">
        <v>707</v>
      </c>
      <c r="D18" s="140">
        <f>3!D13</f>
        <v>2483551.42</v>
      </c>
    </row>
    <row r="19" spans="2:4" ht="12.75">
      <c r="B19" s="138" t="s">
        <v>601</v>
      </c>
      <c r="C19" s="139" t="s">
        <v>708</v>
      </c>
      <c r="D19" s="140">
        <f>3!D14+'Transf. y subv.'!E48</f>
        <v>2358615.8000000003</v>
      </c>
    </row>
    <row r="20" spans="2:4" ht="12.75">
      <c r="B20" s="138" t="s">
        <v>602</v>
      </c>
      <c r="C20" s="139" t="s">
        <v>709</v>
      </c>
      <c r="D20" s="140">
        <f>3!D15</f>
        <v>1000</v>
      </c>
    </row>
    <row r="21" spans="2:4" ht="12.75">
      <c r="B21" s="141"/>
      <c r="C21" s="142"/>
      <c r="D21" s="143"/>
    </row>
    <row r="22" spans="2:4" ht="12.75">
      <c r="B22" s="900" t="s">
        <v>603</v>
      </c>
      <c r="C22" s="901"/>
      <c r="D22" s="903">
        <f>SUM(D16:D20)</f>
        <v>4843167.220000001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604</v>
      </c>
      <c r="C25" s="139" t="s">
        <v>710</v>
      </c>
      <c r="D25" s="143">
        <f>-'Inv. NO FIN'!H27</f>
        <v>0</v>
      </c>
    </row>
    <row r="26" spans="2:4" ht="12.75">
      <c r="B26" s="138" t="s">
        <v>605</v>
      </c>
      <c r="C26" s="139" t="s">
        <v>711</v>
      </c>
      <c r="D26" s="143">
        <f>'Transf. y subv.'!E20</f>
        <v>400000</v>
      </c>
    </row>
    <row r="27" spans="2:4" ht="12.75">
      <c r="B27" s="141"/>
      <c r="C27" s="142"/>
      <c r="D27" s="143"/>
    </row>
    <row r="28" spans="2:4" ht="12.75">
      <c r="B28" s="900" t="s">
        <v>606</v>
      </c>
      <c r="C28" s="901"/>
      <c r="D28" s="903">
        <f>SUM(D25:D26)</f>
        <v>400000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607</v>
      </c>
      <c r="C31" s="139" t="s">
        <v>712</v>
      </c>
      <c r="D31" s="140">
        <f>-'Inv. FIN'!G19-'Inv. FIN'!G26-'Inv. FIN'!G38-'Inv. FIN'!G45</f>
        <v>2750000</v>
      </c>
    </row>
    <row r="32" spans="2:4" ht="12.75">
      <c r="B32" s="138" t="s">
        <v>608</v>
      </c>
      <c r="C32" s="139" t="s">
        <v>713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900" t="s">
        <v>609</v>
      </c>
      <c r="C34" s="901"/>
      <c r="D34" s="902">
        <f>SUM(D31:D32)</f>
        <v>2750000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610</v>
      </c>
      <c r="D37" s="157">
        <f>D22+D28+D34</f>
        <v>7993167.220000001</v>
      </c>
      <c r="G37" s="650"/>
    </row>
    <row r="38" spans="2:4" ht="13.5" thickBot="1">
      <c r="B38" s="164"/>
      <c r="C38" s="197"/>
      <c r="D38" s="166"/>
    </row>
    <row r="39" spans="2:4" ht="24" customHeight="1" thickBot="1">
      <c r="B39" s="194"/>
      <c r="C39" s="195" t="s">
        <v>192</v>
      </c>
      <c r="D39" s="196">
        <f>3!D35</f>
        <v>32434.76</v>
      </c>
    </row>
    <row r="40" spans="2:4" ht="12.75">
      <c r="B40" s="161"/>
      <c r="C40" s="162"/>
      <c r="D40" s="163"/>
    </row>
    <row r="41" spans="2:4" ht="12.75">
      <c r="B41" s="154"/>
      <c r="C41" s="156" t="s">
        <v>610</v>
      </c>
      <c r="D41" s="157">
        <f>D37+D39</f>
        <v>8025601.98</v>
      </c>
    </row>
    <row r="42" spans="2:4" ht="13.5" thickBot="1">
      <c r="B42" s="164"/>
      <c r="C42" s="197"/>
      <c r="D42" s="166"/>
    </row>
    <row r="43" ht="13.5" thickBot="1"/>
    <row r="44" spans="2:4" ht="13.5" customHeight="1">
      <c r="B44" s="926" t="s">
        <v>596</v>
      </c>
      <c r="C44" s="927"/>
      <c r="D44" s="883"/>
    </row>
    <row r="45" spans="2:4" ht="12.75" customHeight="1" thickBot="1">
      <c r="B45" s="928"/>
      <c r="C45" s="929"/>
      <c r="D45" s="884"/>
    </row>
    <row r="46" spans="2:4" ht="12.75">
      <c r="B46" s="151"/>
      <c r="C46" s="152"/>
      <c r="D46" s="153"/>
    </row>
    <row r="47" spans="2:4" ht="12.75">
      <c r="B47" s="138" t="s">
        <v>598</v>
      </c>
      <c r="C47" s="167" t="s">
        <v>612</v>
      </c>
      <c r="D47" s="168">
        <f>3!D45</f>
        <v>1168687.01</v>
      </c>
    </row>
    <row r="48" spans="2:4" ht="12.75">
      <c r="B48" s="138" t="s">
        <v>599</v>
      </c>
      <c r="C48" s="167" t="s">
        <v>613</v>
      </c>
      <c r="D48" s="168">
        <f>3!D46</f>
        <v>3581282.4099999997</v>
      </c>
    </row>
    <row r="49" spans="2:4" ht="12.75">
      <c r="B49" s="138" t="s">
        <v>600</v>
      </c>
      <c r="C49" s="167" t="s">
        <v>112</v>
      </c>
      <c r="D49" s="168">
        <f>3!D47</f>
        <v>0</v>
      </c>
    </row>
    <row r="50" spans="2:4" ht="12.75">
      <c r="B50" s="138" t="s">
        <v>601</v>
      </c>
      <c r="C50" s="167" t="s">
        <v>614</v>
      </c>
      <c r="D50" s="168">
        <v>0</v>
      </c>
    </row>
    <row r="51" spans="2:4" ht="12.75">
      <c r="B51" s="151"/>
      <c r="C51" s="152"/>
      <c r="D51" s="168"/>
    </row>
    <row r="52" spans="2:6" ht="12.75">
      <c r="B52" s="900" t="s">
        <v>615</v>
      </c>
      <c r="C52" s="901"/>
      <c r="D52" s="902">
        <f>SUM(D47:D50)</f>
        <v>4749969.42</v>
      </c>
      <c r="F52" s="777"/>
    </row>
    <row r="53" spans="2:6" ht="12.75">
      <c r="B53" s="147"/>
      <c r="C53" s="148"/>
      <c r="D53" s="170"/>
      <c r="F53" s="777"/>
    </row>
    <row r="54" spans="2:6" ht="12.75">
      <c r="B54" s="151"/>
      <c r="C54" s="152"/>
      <c r="D54" s="153"/>
      <c r="F54" s="777"/>
    </row>
    <row r="55" spans="2:6" ht="12.75">
      <c r="B55" s="138" t="s">
        <v>604</v>
      </c>
      <c r="C55" s="167" t="s">
        <v>629</v>
      </c>
      <c r="D55" s="168">
        <f>'Inv. NO FIN'!C27+'Inv. NO FIN'!E27</f>
        <v>530014.55</v>
      </c>
      <c r="F55" s="777"/>
    </row>
    <row r="56" spans="2:6" ht="12.75">
      <c r="B56" s="138" t="s">
        <v>605</v>
      </c>
      <c r="C56" s="167" t="s">
        <v>630</v>
      </c>
      <c r="D56" s="168">
        <v>0</v>
      </c>
      <c r="F56" s="777"/>
    </row>
    <row r="57" spans="2:6" ht="12.75">
      <c r="B57" s="151"/>
      <c r="C57" s="152"/>
      <c r="D57" s="153"/>
      <c r="F57" s="777"/>
    </row>
    <row r="58" spans="2:6" ht="12.75">
      <c r="B58" s="900" t="s">
        <v>631</v>
      </c>
      <c r="C58" s="901"/>
      <c r="D58" s="902">
        <f>SUM(D55:D56)</f>
        <v>530014.55</v>
      </c>
      <c r="F58" s="777"/>
    </row>
    <row r="59" spans="2:6" ht="12.75">
      <c r="B59" s="147"/>
      <c r="C59" s="148"/>
      <c r="D59" s="170"/>
      <c r="F59" s="777"/>
    </row>
    <row r="60" spans="2:6" ht="12.75">
      <c r="B60" s="151"/>
      <c r="C60" s="152"/>
      <c r="D60" s="153"/>
      <c r="F60" s="777"/>
    </row>
    <row r="61" spans="2:6" ht="12.75">
      <c r="B61" s="138" t="s">
        <v>607</v>
      </c>
      <c r="C61" s="167" t="s">
        <v>633</v>
      </c>
      <c r="D61" s="168">
        <f>'Inv. FIN'!E19+'Inv. FIN'!E26+'Inv. FIN'!E38+'Inv. FIN'!E45</f>
        <v>2750000</v>
      </c>
      <c r="F61" s="777"/>
    </row>
    <row r="62" spans="2:4" ht="12.75">
      <c r="B62" s="138" t="s">
        <v>608</v>
      </c>
      <c r="C62" s="167" t="s">
        <v>634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900" t="s">
        <v>635</v>
      </c>
      <c r="C64" s="901"/>
      <c r="D64" s="902">
        <f>SUM(D61:D62)</f>
        <v>2750000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167</v>
      </c>
      <c r="D67" s="157">
        <f>D52+D58+D64</f>
        <v>8029983.97</v>
      </c>
      <c r="G67" s="650"/>
    </row>
    <row r="68" spans="2:4" ht="13.5" thickBot="1">
      <c r="B68" s="189"/>
      <c r="C68" s="190"/>
      <c r="D68" s="155"/>
    </row>
    <row r="69" spans="2:4" ht="22.5" customHeight="1" thickBot="1">
      <c r="B69" s="191"/>
      <c r="C69" s="192" t="s">
        <v>193</v>
      </c>
      <c r="D69" s="193">
        <f>3!D68</f>
        <v>125632.5575</v>
      </c>
    </row>
    <row r="70" spans="2:4" ht="12.75">
      <c r="B70" s="161"/>
      <c r="C70" s="162"/>
      <c r="D70" s="163"/>
    </row>
    <row r="71" spans="2:4" ht="12.75">
      <c r="B71" s="154"/>
      <c r="C71" s="156" t="s">
        <v>167</v>
      </c>
      <c r="D71" s="157">
        <f>D67+D69</f>
        <v>8155616.5275</v>
      </c>
    </row>
    <row r="72" spans="2:4" ht="13.5" thickBot="1">
      <c r="B72" s="164"/>
      <c r="C72" s="165"/>
      <c r="D72" s="166"/>
    </row>
    <row r="74" spans="2:10" ht="12.75" hidden="1">
      <c r="B74" s="802"/>
      <c r="C74" s="802"/>
      <c r="D74" s="803"/>
      <c r="E74" s="802"/>
      <c r="F74" s="804"/>
      <c r="G74" s="802"/>
      <c r="H74" s="802"/>
      <c r="I74" s="802"/>
      <c r="J74" s="802"/>
    </row>
    <row r="75" spans="2:10" ht="17.25" customHeight="1" hidden="1">
      <c r="B75" s="802" t="s">
        <v>196</v>
      </c>
      <c r="C75" s="805" t="s">
        <v>57</v>
      </c>
      <c r="D75" s="806">
        <f>D41-D71</f>
        <v>-130014.5474999994</v>
      </c>
      <c r="E75" s="802" t="s">
        <v>200</v>
      </c>
      <c r="F75" s="804"/>
      <c r="G75" s="802"/>
      <c r="H75" s="802"/>
      <c r="I75" s="802"/>
      <c r="J75" s="802"/>
    </row>
    <row r="76" spans="2:10" ht="12.75" hidden="1">
      <c r="B76" s="802"/>
      <c r="C76" s="802"/>
      <c r="D76" s="803"/>
      <c r="E76" s="802"/>
      <c r="F76" s="804"/>
      <c r="G76" s="802"/>
      <c r="H76" s="802"/>
      <c r="I76" s="802"/>
      <c r="J76" s="802"/>
    </row>
    <row r="77" spans="2:11" ht="17.25" customHeight="1" hidden="1">
      <c r="B77" s="802" t="s">
        <v>197</v>
      </c>
      <c r="C77" s="802" t="s">
        <v>195</v>
      </c>
      <c r="D77" s="803">
        <f>D79+D84+D85+D86+D87</f>
        <v>130014.54750000016</v>
      </c>
      <c r="E77" s="802" t="s">
        <v>418</v>
      </c>
      <c r="F77" s="804"/>
      <c r="G77" s="802"/>
      <c r="H77" s="802"/>
      <c r="I77" s="802"/>
      <c r="J77" s="802"/>
      <c r="K77" s="800">
        <f>'Inv. NO FIN'!$C$24</f>
        <v>530014.55</v>
      </c>
    </row>
    <row r="78" spans="2:10" ht="12.75" hidden="1">
      <c r="B78" s="802"/>
      <c r="C78" s="802"/>
      <c r="D78" s="803"/>
      <c r="E78" s="802"/>
      <c r="F78" s="804"/>
      <c r="G78" s="802"/>
      <c r="H78" s="802"/>
      <c r="I78" s="802"/>
      <c r="J78" s="802"/>
    </row>
    <row r="79" spans="2:10" ht="19.5" customHeight="1" hidden="1">
      <c r="B79" s="802"/>
      <c r="C79" s="802" t="s">
        <v>194</v>
      </c>
      <c r="D79" s="803">
        <f>SUM(D80:D83)</f>
        <v>116227.5575</v>
      </c>
      <c r="E79" s="802"/>
      <c r="F79" s="804"/>
      <c r="G79" s="802"/>
      <c r="H79" s="802"/>
      <c r="I79" s="802"/>
      <c r="J79" s="802"/>
    </row>
    <row r="80" spans="2:10" ht="21.75" customHeight="1" hidden="1">
      <c r="B80" s="802"/>
      <c r="C80" s="807" t="s">
        <v>420</v>
      </c>
      <c r="D80" s="808">
        <f>-'Inv. NO FIN'!D27</f>
        <v>0</v>
      </c>
      <c r="E80" s="802"/>
      <c r="F80" s="804"/>
      <c r="G80" s="802"/>
      <c r="H80" s="802"/>
      <c r="I80" s="802"/>
      <c r="J80" s="802"/>
    </row>
    <row r="81" spans="2:10" ht="18.75" customHeight="1" hidden="1">
      <c r="B81" s="802"/>
      <c r="C81" s="807" t="s">
        <v>585</v>
      </c>
      <c r="D81" s="808">
        <f>-'Inv. NO FIN'!F27</f>
        <v>116227.5575</v>
      </c>
      <c r="E81" s="802"/>
      <c r="F81" s="804"/>
      <c r="G81" s="802"/>
      <c r="H81" s="802"/>
      <c r="I81" s="802"/>
      <c r="J81" s="802"/>
    </row>
    <row r="82" spans="2:10" ht="21" customHeight="1" hidden="1">
      <c r="B82" s="802"/>
      <c r="C82" s="807" t="s">
        <v>392</v>
      </c>
      <c r="D82" s="808">
        <f>-'Inv. NO FIN'!G27</f>
        <v>0</v>
      </c>
      <c r="E82" s="802"/>
      <c r="F82" s="804"/>
      <c r="G82" s="802"/>
      <c r="H82" s="802"/>
      <c r="I82" s="802"/>
      <c r="J82" s="802"/>
    </row>
    <row r="83" spans="2:10" ht="26.25" hidden="1">
      <c r="B83" s="802"/>
      <c r="C83" s="807" t="s">
        <v>394</v>
      </c>
      <c r="D83" s="808">
        <f>-'Inv. NO FIN'!I27</f>
        <v>0</v>
      </c>
      <c r="E83" s="802"/>
      <c r="F83" s="804"/>
      <c r="G83" s="802"/>
      <c r="H83" s="802"/>
      <c r="I83" s="802"/>
      <c r="J83" s="802"/>
    </row>
    <row r="84" spans="2:10" ht="19.5" customHeight="1" hidden="1">
      <c r="B84" s="802"/>
      <c r="C84" s="809" t="s">
        <v>198</v>
      </c>
      <c r="D84" s="808">
        <f>-'Inv. FIN'!H19-'Inv. FIN'!H26-'Inv. FIN'!H38-'Inv. FIN'!H45</f>
        <v>0</v>
      </c>
      <c r="E84" s="802"/>
      <c r="F84" s="804"/>
      <c r="G84" s="802"/>
      <c r="H84" s="802"/>
      <c r="I84" s="802"/>
      <c r="J84" s="802"/>
    </row>
    <row r="85" spans="2:10" ht="30" customHeight="1" hidden="1">
      <c r="B85" s="802"/>
      <c r="C85" s="810" t="s">
        <v>199</v>
      </c>
      <c r="D85" s="808">
        <f>-(ACTIVO!D28-ACTIVO!C28)+ACTIVO!D42-ACTIVO!C42+ACTIVO!D43-ACTIVO!C43</f>
        <v>11592.950000000186</v>
      </c>
      <c r="E85" s="802"/>
      <c r="F85" s="804"/>
      <c r="G85" s="802"/>
      <c r="H85" s="802"/>
      <c r="I85" s="802"/>
      <c r="J85" s="802"/>
    </row>
    <row r="86" spans="2:10" ht="19.5" customHeight="1" hidden="1">
      <c r="B86" s="802"/>
      <c r="C86" s="802" t="s">
        <v>419</v>
      </c>
      <c r="D86" s="803">
        <f>+PASIVO!K34</f>
        <v>-132330.72999999998</v>
      </c>
      <c r="E86" s="811" t="s">
        <v>202</v>
      </c>
      <c r="F86" s="804"/>
      <c r="G86" s="802"/>
      <c r="H86" s="802"/>
      <c r="I86" s="802"/>
      <c r="J86" s="802"/>
    </row>
    <row r="87" spans="2:10" ht="19.5" customHeight="1" hidden="1">
      <c r="B87" s="802"/>
      <c r="C87" s="812" t="s">
        <v>334</v>
      </c>
      <c r="D87" s="803">
        <f>+PASIVO!H38</f>
        <v>134524.76999999996</v>
      </c>
      <c r="E87" s="802"/>
      <c r="F87" s="804"/>
      <c r="G87" s="802"/>
      <c r="H87" s="802"/>
      <c r="I87" s="802"/>
      <c r="J87" s="802"/>
    </row>
    <row r="88" spans="2:10" ht="12.75" hidden="1">
      <c r="B88" s="802"/>
      <c r="C88" s="802"/>
      <c r="D88" s="803"/>
      <c r="E88" s="802"/>
      <c r="F88" s="804"/>
      <c r="G88" s="802"/>
      <c r="H88" s="802"/>
      <c r="I88" s="802"/>
      <c r="J88" s="802"/>
    </row>
    <row r="89" spans="2:10" ht="12.75" hidden="1">
      <c r="B89" s="802"/>
      <c r="C89" s="802" t="s">
        <v>201</v>
      </c>
      <c r="D89" s="803">
        <f>D75+D77</f>
        <v>7.566995918750763E-10</v>
      </c>
      <c r="E89" s="802"/>
      <c r="F89" s="804"/>
      <c r="G89" s="802"/>
      <c r="H89" s="802"/>
      <c r="I89" s="802"/>
      <c r="J89" s="802"/>
    </row>
    <row r="90" spans="2:10" ht="12.75" hidden="1">
      <c r="B90" s="802"/>
      <c r="C90" s="802"/>
      <c r="D90" s="803"/>
      <c r="E90" s="802"/>
      <c r="F90" s="804"/>
      <c r="G90" s="802"/>
      <c r="H90" s="802"/>
      <c r="I90" s="802"/>
      <c r="J90" s="802"/>
    </row>
    <row r="91" spans="2:10" ht="12.75" hidden="1">
      <c r="B91" s="802"/>
      <c r="C91" s="802"/>
      <c r="D91" s="803"/>
      <c r="E91" s="802"/>
      <c r="F91" s="804"/>
      <c r="G91" s="802"/>
      <c r="H91" s="802"/>
      <c r="I91" s="802"/>
      <c r="J91" s="802"/>
    </row>
    <row r="92" spans="2:10" ht="12.75" hidden="1">
      <c r="B92" s="802"/>
      <c r="C92" s="802"/>
      <c r="D92" s="803"/>
      <c r="E92" s="802"/>
      <c r="F92" s="804"/>
      <c r="G92" s="802"/>
      <c r="H92" s="802"/>
      <c r="I92" s="802"/>
      <c r="J92" s="802"/>
    </row>
    <row r="93" spans="2:10" ht="12.75">
      <c r="B93" s="802"/>
      <c r="C93" s="802"/>
      <c r="D93" s="803"/>
      <c r="E93" s="802"/>
      <c r="F93" s="804"/>
      <c r="G93" s="802"/>
      <c r="H93" s="802"/>
      <c r="I93" s="802"/>
      <c r="J93" s="802"/>
    </row>
    <row r="94" spans="2:10" ht="12.75">
      <c r="B94" s="802"/>
      <c r="C94" s="802"/>
      <c r="D94" s="803"/>
      <c r="E94" s="802"/>
      <c r="F94" s="804"/>
      <c r="G94" s="802"/>
      <c r="H94" s="802"/>
      <c r="I94" s="802"/>
      <c r="J94" s="802"/>
    </row>
    <row r="95" spans="2:10" ht="12.75">
      <c r="B95" s="802"/>
      <c r="C95" s="802"/>
      <c r="D95" s="803"/>
      <c r="E95" s="802"/>
      <c r="F95" s="804"/>
      <c r="G95" s="802"/>
      <c r="H95" s="802"/>
      <c r="I95" s="802"/>
      <c r="J95" s="802"/>
    </row>
    <row r="96" spans="2:10" ht="12.75">
      <c r="B96" s="802"/>
      <c r="C96" s="802"/>
      <c r="D96" s="803"/>
      <c r="E96" s="802"/>
      <c r="F96" s="804"/>
      <c r="G96" s="802"/>
      <c r="H96" s="802"/>
      <c r="I96" s="802"/>
      <c r="J96" s="802"/>
    </row>
    <row r="97" spans="2:10" ht="12.75">
      <c r="B97" s="802"/>
      <c r="C97" s="802"/>
      <c r="D97" s="803"/>
      <c r="E97" s="802"/>
      <c r="F97" s="804"/>
      <c r="G97" s="802"/>
      <c r="H97" s="802"/>
      <c r="I97" s="802"/>
      <c r="J97" s="802"/>
    </row>
    <row r="98" spans="2:10" ht="12.75">
      <c r="B98" s="802"/>
      <c r="C98" s="802"/>
      <c r="D98" s="803"/>
      <c r="E98" s="802"/>
      <c r="F98" s="804"/>
      <c r="G98" s="802"/>
      <c r="H98" s="802"/>
      <c r="I98" s="802"/>
      <c r="J98" s="802"/>
    </row>
    <row r="99" spans="2:10" ht="12.75">
      <c r="B99" s="802"/>
      <c r="C99" s="802"/>
      <c r="D99" s="803"/>
      <c r="E99" s="802"/>
      <c r="F99" s="804"/>
      <c r="G99" s="802"/>
      <c r="H99" s="802"/>
      <c r="I99" s="802"/>
      <c r="J99" s="802"/>
    </row>
    <row r="100" spans="2:10" ht="12.75">
      <c r="B100" s="802"/>
      <c r="C100" s="802"/>
      <c r="D100" s="803"/>
      <c r="E100" s="802"/>
      <c r="F100" s="804"/>
      <c r="G100" s="802"/>
      <c r="H100" s="802"/>
      <c r="I100" s="802"/>
      <c r="J100" s="802"/>
    </row>
    <row r="101" spans="2:10" ht="12.75">
      <c r="B101" s="802"/>
      <c r="C101" s="802"/>
      <c r="D101" s="803"/>
      <c r="E101" s="802"/>
      <c r="F101" s="804"/>
      <c r="G101" s="802"/>
      <c r="H101" s="802"/>
      <c r="I101" s="802"/>
      <c r="J101" s="802"/>
    </row>
    <row r="102" spans="2:10" ht="12.75">
      <c r="B102" s="802"/>
      <c r="C102" s="802"/>
      <c r="D102" s="803"/>
      <c r="E102" s="802"/>
      <c r="F102" s="804"/>
      <c r="G102" s="802"/>
      <c r="H102" s="802"/>
      <c r="I102" s="802"/>
      <c r="J102" s="802"/>
    </row>
    <row r="103" spans="2:10" ht="12.75">
      <c r="B103" s="802"/>
      <c r="C103" s="802"/>
      <c r="D103" s="803"/>
      <c r="E103" s="802"/>
      <c r="F103" s="804"/>
      <c r="G103" s="802"/>
      <c r="H103" s="802"/>
      <c r="I103" s="802"/>
      <c r="J103" s="802"/>
    </row>
    <row r="104" spans="2:10" ht="12.75">
      <c r="B104" s="802"/>
      <c r="C104" s="802"/>
      <c r="D104" s="803"/>
      <c r="E104" s="802"/>
      <c r="F104" s="804"/>
      <c r="G104" s="802"/>
      <c r="H104" s="802"/>
      <c r="I104" s="802"/>
      <c r="J104" s="802"/>
    </row>
    <row r="105" spans="2:10" ht="12.75">
      <c r="B105" s="802"/>
      <c r="C105" s="802"/>
      <c r="D105" s="803"/>
      <c r="E105" s="802"/>
      <c r="F105" s="804"/>
      <c r="G105" s="802"/>
      <c r="H105" s="802"/>
      <c r="I105" s="802"/>
      <c r="J105" s="802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K272"/>
  <sheetViews>
    <sheetView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73.57421875" style="379" customWidth="1"/>
    <col min="2" max="3" width="14.7109375" style="379" customWidth="1"/>
    <col min="4" max="4" width="17.8515625" style="379" customWidth="1"/>
    <col min="5" max="5" width="1.57421875" style="379" customWidth="1"/>
    <col min="6" max="6" width="14.57421875" style="378" hidden="1" customWidth="1"/>
    <col min="7" max="7" width="15.28125" style="378" hidden="1" customWidth="1"/>
    <col min="8" max="11" width="0" style="379" hidden="1" customWidth="1"/>
    <col min="12" max="16384" width="11.57421875" style="379" customWidth="1"/>
  </cols>
  <sheetData>
    <row r="1" ht="12.75">
      <c r="B1" s="755" t="s">
        <v>426</v>
      </c>
    </row>
    <row r="2" ht="12.75">
      <c r="B2" s="756" t="s">
        <v>427</v>
      </c>
    </row>
    <row r="4" spans="1:2" ht="12.75">
      <c r="A4" s="752" t="s">
        <v>260</v>
      </c>
      <c r="B4" s="757">
        <v>42339</v>
      </c>
    </row>
    <row r="5" spans="1:2" ht="12.75">
      <c r="A5" s="752" t="s">
        <v>425</v>
      </c>
      <c r="B5" s="758" t="s">
        <v>428</v>
      </c>
    </row>
    <row r="7" spans="1:6" ht="49.5" customHeight="1">
      <c r="A7" s="935" t="s">
        <v>106</v>
      </c>
      <c r="B7" s="936"/>
      <c r="C7" s="937"/>
      <c r="D7" s="375">
        <v>2016</v>
      </c>
      <c r="E7" s="376"/>
      <c r="F7" s="377"/>
    </row>
    <row r="8" spans="1:6" ht="25.5" customHeight="1">
      <c r="A8" s="932" t="s">
        <v>71</v>
      </c>
      <c r="B8" s="933"/>
      <c r="C8" s="934"/>
      <c r="D8" s="380" t="s">
        <v>584</v>
      </c>
      <c r="E8" s="381"/>
      <c r="F8" s="382"/>
    </row>
    <row r="9" spans="1:6" ht="25.5" customHeight="1">
      <c r="A9" s="930" t="s">
        <v>430</v>
      </c>
      <c r="B9" s="931"/>
      <c r="C9" s="931"/>
      <c r="D9" s="931"/>
      <c r="E9" s="383"/>
      <c r="F9" s="384"/>
    </row>
    <row r="10" spans="1:7" ht="31.5" customHeight="1">
      <c r="A10" s="385" t="s">
        <v>117</v>
      </c>
      <c r="B10" s="386" t="s">
        <v>545</v>
      </c>
      <c r="C10" s="387" t="s">
        <v>547</v>
      </c>
      <c r="D10" s="387" t="s">
        <v>546</v>
      </c>
      <c r="E10" s="388"/>
      <c r="F10" s="389" t="s">
        <v>55</v>
      </c>
      <c r="G10" s="389" t="s">
        <v>56</v>
      </c>
    </row>
    <row r="11" spans="1:5" s="392" customFormat="1" ht="19.5" customHeight="1">
      <c r="A11" s="390" t="s">
        <v>153</v>
      </c>
      <c r="B11" s="554"/>
      <c r="C11" s="554"/>
      <c r="D11" s="554"/>
      <c r="E11" s="391"/>
    </row>
    <row r="12" spans="1:7" s="392" customFormat="1" ht="19.5" customHeight="1">
      <c r="A12" s="393" t="s">
        <v>741</v>
      </c>
      <c r="B12" s="510">
        <f>B13+B19</f>
        <v>1714058.43</v>
      </c>
      <c r="C12" s="510">
        <f>C13+C19</f>
        <v>2291558.67</v>
      </c>
      <c r="D12" s="510">
        <f>D13+D19</f>
        <v>2473551.42</v>
      </c>
      <c r="E12" s="394"/>
      <c r="F12" s="395">
        <f>+C12-B12</f>
        <v>577500.24</v>
      </c>
      <c r="G12" s="396">
        <f>+D12-C12</f>
        <v>181992.75</v>
      </c>
    </row>
    <row r="13" spans="1:7" s="392" customFormat="1" ht="19.5" customHeight="1">
      <c r="A13" s="397" t="s">
        <v>118</v>
      </c>
      <c r="B13" s="511">
        <f>B14+B18</f>
        <v>0</v>
      </c>
      <c r="C13" s="511">
        <f>C14+C18</f>
        <v>0</v>
      </c>
      <c r="D13" s="511">
        <f>D14+D18</f>
        <v>0</v>
      </c>
      <c r="E13" s="398"/>
      <c r="F13" s="399"/>
      <c r="G13" s="400"/>
    </row>
    <row r="14" spans="1:7" s="392" customFormat="1" ht="19.5" customHeight="1">
      <c r="A14" s="397" t="s">
        <v>154</v>
      </c>
      <c r="B14" s="511">
        <f>SUM(B15:B17)</f>
        <v>0</v>
      </c>
      <c r="C14" s="511">
        <f>SUM(C15:C17)</f>
        <v>0</v>
      </c>
      <c r="D14" s="511">
        <f>SUM(D15:D17)</f>
        <v>0</v>
      </c>
      <c r="E14" s="398"/>
      <c r="F14" s="399"/>
      <c r="G14" s="400"/>
    </row>
    <row r="15" spans="1:7" s="392" customFormat="1" ht="19.5" customHeight="1">
      <c r="A15" s="397" t="s">
        <v>742</v>
      </c>
      <c r="B15" s="508"/>
      <c r="C15" s="508"/>
      <c r="D15" s="508"/>
      <c r="E15" s="398"/>
      <c r="F15" s="399"/>
      <c r="G15" s="400"/>
    </row>
    <row r="16" spans="1:7" s="392" customFormat="1" ht="19.5" customHeight="1">
      <c r="A16" s="397" t="s">
        <v>744</v>
      </c>
      <c r="B16" s="508"/>
      <c r="C16" s="508"/>
      <c r="D16" s="508"/>
      <c r="E16" s="398"/>
      <c r="F16" s="399"/>
      <c r="G16" s="400"/>
    </row>
    <row r="17" spans="1:8" s="392" customFormat="1" ht="19.5" customHeight="1">
      <c r="A17" s="397" t="s">
        <v>745</v>
      </c>
      <c r="B17" s="508"/>
      <c r="C17" s="508"/>
      <c r="D17" s="508"/>
      <c r="E17" s="398"/>
      <c r="F17" s="399"/>
      <c r="G17" s="400"/>
      <c r="H17" s="392" t="s">
        <v>743</v>
      </c>
    </row>
    <row r="18" spans="1:7" s="392" customFormat="1" ht="19.5" customHeight="1">
      <c r="A18" s="397" t="s">
        <v>156</v>
      </c>
      <c r="B18" s="508"/>
      <c r="C18" s="508"/>
      <c r="D18" s="508"/>
      <c r="E18" s="398"/>
      <c r="F18" s="399"/>
      <c r="G18" s="400"/>
    </row>
    <row r="19" spans="1:7" s="392" customFormat="1" ht="19.5" customHeight="1">
      <c r="A19" s="397" t="s">
        <v>746</v>
      </c>
      <c r="B19" s="511">
        <f>B20+B24</f>
        <v>1714058.43</v>
      </c>
      <c r="C19" s="511">
        <f>C20+C24</f>
        <v>2291558.67</v>
      </c>
      <c r="D19" s="511">
        <f>D20+D24</f>
        <v>2473551.42</v>
      </c>
      <c r="E19" s="398"/>
      <c r="F19" s="399">
        <f aca="true" t="shared" si="0" ref="F19:F24">+C19-B19</f>
        <v>577500.24</v>
      </c>
      <c r="G19" s="400">
        <f aca="true" t="shared" si="1" ref="G19:G24">-D19-C19</f>
        <v>-4765110.09</v>
      </c>
    </row>
    <row r="20" spans="1:7" s="392" customFormat="1" ht="19.5" customHeight="1">
      <c r="A20" s="397" t="s">
        <v>157</v>
      </c>
      <c r="B20" s="511">
        <f>SUM(B21:B23)</f>
        <v>587394.45</v>
      </c>
      <c r="C20" s="511">
        <f>SUM(C21:C23)</f>
        <v>803229.55</v>
      </c>
      <c r="D20" s="511">
        <f>SUM(D21:D23)</f>
        <v>993000</v>
      </c>
      <c r="E20" s="401"/>
      <c r="F20" s="399">
        <f t="shared" si="0"/>
        <v>215835.1000000001</v>
      </c>
      <c r="G20" s="400">
        <f t="shared" si="1"/>
        <v>-1796229.55</v>
      </c>
    </row>
    <row r="21" spans="1:7" s="392" customFormat="1" ht="19.5" customHeight="1">
      <c r="A21" s="397" t="s">
        <v>747</v>
      </c>
      <c r="B21" s="508">
        <v>367935.22</v>
      </c>
      <c r="C21" s="508">
        <f>206248.98+455000</f>
        <v>661248.98</v>
      </c>
      <c r="D21" s="508">
        <f>197000+Encomiendas!D33</f>
        <v>852000</v>
      </c>
      <c r="E21" s="401"/>
      <c r="F21" s="399">
        <f t="shared" si="0"/>
        <v>293313.76</v>
      </c>
      <c r="G21" s="400">
        <f t="shared" si="1"/>
        <v>-1513248.98</v>
      </c>
    </row>
    <row r="22" spans="1:7" s="392" customFormat="1" ht="19.5" customHeight="1">
      <c r="A22" s="397" t="s">
        <v>748</v>
      </c>
      <c r="B22" s="508">
        <v>14647.18</v>
      </c>
      <c r="C22" s="508">
        <v>6008</v>
      </c>
      <c r="D22" s="508">
        <v>6000</v>
      </c>
      <c r="E22" s="401"/>
      <c r="F22" s="399">
        <f t="shared" si="0"/>
        <v>-8639.18</v>
      </c>
      <c r="G22" s="400">
        <f t="shared" si="1"/>
        <v>-12008</v>
      </c>
    </row>
    <row r="23" spans="1:7" s="392" customFormat="1" ht="19.5" customHeight="1">
      <c r="A23" s="397" t="s">
        <v>749</v>
      </c>
      <c r="B23" s="508">
        <v>204812.05</v>
      </c>
      <c r="C23" s="508">
        <v>135972.57</v>
      </c>
      <c r="D23" s="508">
        <v>135000</v>
      </c>
      <c r="E23" s="401"/>
      <c r="F23" s="399">
        <f t="shared" si="0"/>
        <v>-68839.47999999998</v>
      </c>
      <c r="G23" s="400">
        <f t="shared" si="1"/>
        <v>-270972.57</v>
      </c>
    </row>
    <row r="24" spans="1:7" s="392" customFormat="1" ht="19.5" customHeight="1">
      <c r="A24" s="397" t="s">
        <v>158</v>
      </c>
      <c r="B24" s="508">
        <v>1126663.98</v>
      </c>
      <c r="C24" s="508">
        <v>1488329.12</v>
      </c>
      <c r="D24" s="508">
        <v>1480551.42</v>
      </c>
      <c r="E24" s="401"/>
      <c r="F24" s="399">
        <f t="shared" si="0"/>
        <v>361665.14000000013</v>
      </c>
      <c r="G24" s="400">
        <f t="shared" si="1"/>
        <v>-2968880.54</v>
      </c>
    </row>
    <row r="25" spans="1:7" s="392" customFormat="1" ht="27.75" customHeight="1">
      <c r="A25" s="402" t="s">
        <v>372</v>
      </c>
      <c r="B25" s="510">
        <f>SUM(B26:B27)</f>
        <v>0</v>
      </c>
      <c r="C25" s="510">
        <f>SUM(C26:C27)</f>
        <v>0</v>
      </c>
      <c r="D25" s="510">
        <f>SUM(D26:D27)</f>
        <v>0</v>
      </c>
      <c r="E25" s="403"/>
      <c r="F25" s="404"/>
      <c r="G25" s="400"/>
    </row>
    <row r="26" spans="1:7" s="392" customFormat="1" ht="18" customHeight="1">
      <c r="A26" s="397" t="s">
        <v>579</v>
      </c>
      <c r="B26" s="508"/>
      <c r="C26" s="507"/>
      <c r="D26" s="507"/>
      <c r="E26" s="403"/>
      <c r="F26" s="404"/>
      <c r="G26" s="400"/>
    </row>
    <row r="27" spans="1:7" s="392" customFormat="1" ht="18" customHeight="1">
      <c r="A27" s="397" t="s">
        <v>580</v>
      </c>
      <c r="B27" s="508"/>
      <c r="C27" s="669"/>
      <c r="D27" s="670"/>
      <c r="E27" s="403"/>
      <c r="F27" s="404"/>
      <c r="G27" s="400"/>
    </row>
    <row r="28" spans="1:7" s="392" customFormat="1" ht="25.5" customHeight="1">
      <c r="A28" s="402" t="s">
        <v>750</v>
      </c>
      <c r="B28" s="507"/>
      <c r="C28" s="507"/>
      <c r="D28" s="507"/>
      <c r="E28" s="403"/>
      <c r="F28" s="404"/>
      <c r="G28" s="400"/>
    </row>
    <row r="29" spans="1:7" s="392" customFormat="1" ht="19.5" customHeight="1">
      <c r="A29" s="405" t="s">
        <v>751</v>
      </c>
      <c r="B29" s="510">
        <f>SUM(B30:B33)</f>
        <v>-1177097.98</v>
      </c>
      <c r="C29" s="510">
        <f>SUM(C30:C33)</f>
        <v>-1676513.58</v>
      </c>
      <c r="D29" s="510">
        <f>SUM(D30:D33)</f>
        <v>-1703612.79</v>
      </c>
      <c r="E29" s="403"/>
      <c r="F29" s="395">
        <f>+C29-B29</f>
        <v>-499415.6000000001</v>
      </c>
      <c r="G29" s="396">
        <f>+D29-C29</f>
        <v>-27099.209999999963</v>
      </c>
    </row>
    <row r="30" spans="1:7" s="392" customFormat="1" ht="19.5" customHeight="1">
      <c r="A30" s="397" t="s">
        <v>752</v>
      </c>
      <c r="B30" s="508"/>
      <c r="C30" s="508"/>
      <c r="D30" s="508"/>
      <c r="E30" s="401"/>
      <c r="F30" s="406"/>
      <c r="G30" s="400"/>
    </row>
    <row r="31" spans="1:7" s="392" customFormat="1" ht="19.5" customHeight="1">
      <c r="A31" s="397" t="s">
        <v>753</v>
      </c>
      <c r="B31" s="508"/>
      <c r="C31" s="508"/>
      <c r="D31" s="508"/>
      <c r="E31" s="401"/>
      <c r="F31" s="406"/>
      <c r="G31" s="400"/>
    </row>
    <row r="32" spans="1:7" s="392" customFormat="1" ht="19.5" customHeight="1">
      <c r="A32" s="397" t="s">
        <v>754</v>
      </c>
      <c r="B32" s="508">
        <v>-1177097.98</v>
      </c>
      <c r="C32" s="508">
        <v>-1676513.58</v>
      </c>
      <c r="D32" s="508">
        <v>-1703612.79</v>
      </c>
      <c r="E32" s="401"/>
      <c r="F32" s="399">
        <f>+C32-B32</f>
        <v>-499415.6000000001</v>
      </c>
      <c r="G32" s="400">
        <f>-D32-C32</f>
        <v>3380126.37</v>
      </c>
    </row>
    <row r="33" spans="1:7" s="392" customFormat="1" ht="19.5" customHeight="1">
      <c r="A33" s="397" t="s">
        <v>755</v>
      </c>
      <c r="B33" s="508"/>
      <c r="C33" s="507"/>
      <c r="D33" s="508"/>
      <c r="E33" s="401"/>
      <c r="F33" s="406"/>
      <c r="G33" s="400"/>
    </row>
    <row r="34" spans="1:7" s="392" customFormat="1" ht="19.5" customHeight="1">
      <c r="A34" s="402" t="s">
        <v>756</v>
      </c>
      <c r="B34" s="510">
        <f>B35+B39</f>
        <v>238001.45</v>
      </c>
      <c r="C34" s="510">
        <f>C35+C39</f>
        <v>452331</v>
      </c>
      <c r="D34" s="510">
        <f>D35+D39</f>
        <v>405968</v>
      </c>
      <c r="E34" s="394"/>
      <c r="F34" s="395">
        <f>+C34-B34</f>
        <v>214329.55</v>
      </c>
      <c r="G34" s="396">
        <f>+D34-C34</f>
        <v>-46363</v>
      </c>
    </row>
    <row r="35" spans="1:7" s="392" customFormat="1" ht="19.5" customHeight="1">
      <c r="A35" s="397" t="s">
        <v>757</v>
      </c>
      <c r="B35" s="511">
        <f>SUM(B36:B38)</f>
        <v>0</v>
      </c>
      <c r="C35" s="511">
        <f>SUM(C36:C38)</f>
        <v>0</v>
      </c>
      <c r="D35" s="511">
        <f>SUM(D36:D38)</f>
        <v>0</v>
      </c>
      <c r="E35" s="398"/>
      <c r="F35" s="399"/>
      <c r="G35" s="400"/>
    </row>
    <row r="36" spans="1:7" s="392" customFormat="1" ht="19.5" customHeight="1">
      <c r="A36" s="397" t="s">
        <v>581</v>
      </c>
      <c r="B36" s="508"/>
      <c r="C36" s="508"/>
      <c r="D36" s="508"/>
      <c r="E36" s="398"/>
      <c r="F36" s="399"/>
      <c r="G36" s="400"/>
    </row>
    <row r="37" spans="1:7" s="392" customFormat="1" ht="19.5" customHeight="1">
      <c r="A37" s="397" t="s">
        <v>582</v>
      </c>
      <c r="B37" s="508"/>
      <c r="C37" s="508"/>
      <c r="D37" s="508"/>
      <c r="E37" s="398"/>
      <c r="F37" s="399"/>
      <c r="G37" s="400"/>
    </row>
    <row r="38" spans="1:7" s="392" customFormat="1" ht="19.5" customHeight="1">
      <c r="A38" s="397" t="s">
        <v>583</v>
      </c>
      <c r="B38" s="508"/>
      <c r="C38" s="508"/>
      <c r="D38" s="508"/>
      <c r="E38" s="398"/>
      <c r="F38" s="399"/>
      <c r="G38" s="400"/>
    </row>
    <row r="39" spans="1:11" s="392" customFormat="1" ht="19.5" customHeight="1">
      <c r="A39" s="397" t="s">
        <v>758</v>
      </c>
      <c r="B39" s="511">
        <f>SUM(B40:B45)</f>
        <v>238001.45</v>
      </c>
      <c r="C39" s="511">
        <f>SUM(C40:C45)</f>
        <v>452331</v>
      </c>
      <c r="D39" s="511">
        <f>SUM(D40:D45)</f>
        <v>405968</v>
      </c>
      <c r="E39" s="398"/>
      <c r="F39" s="399">
        <f>+C39-B39</f>
        <v>214329.55</v>
      </c>
      <c r="G39" s="400">
        <f>-D39-C39</f>
        <v>-858299</v>
      </c>
      <c r="H39" s="813"/>
      <c r="I39" s="813"/>
      <c r="J39" s="813"/>
      <c r="K39" s="813"/>
    </row>
    <row r="40" spans="1:11" s="392" customFormat="1" ht="19.5" customHeight="1">
      <c r="A40" s="397" t="s">
        <v>759</v>
      </c>
      <c r="B40" s="508">
        <v>30000</v>
      </c>
      <c r="C40" s="508">
        <f>+'Transf. y subv.'!D29</f>
        <v>30000</v>
      </c>
      <c r="D40" s="508">
        <f>+'Transf. y subv.'!E29</f>
        <v>30000</v>
      </c>
      <c r="E40" s="398"/>
      <c r="F40" s="399"/>
      <c r="G40" s="400"/>
      <c r="H40" s="813"/>
      <c r="I40" s="813"/>
      <c r="J40" s="813"/>
      <c r="K40" s="813"/>
    </row>
    <row r="41" spans="1:11" s="392" customFormat="1" ht="19.5" customHeight="1">
      <c r="A41" s="397" t="s">
        <v>373</v>
      </c>
      <c r="B41" s="508"/>
      <c r="C41" s="508"/>
      <c r="D41" s="508"/>
      <c r="E41" s="401"/>
      <c r="F41" s="399">
        <f>+C41-B41</f>
        <v>0</v>
      </c>
      <c r="G41" s="400">
        <f>-D41-C41</f>
        <v>0</v>
      </c>
      <c r="H41" s="813"/>
      <c r="I41" s="813">
        <v>685</v>
      </c>
      <c r="J41" s="813"/>
      <c r="K41" s="813"/>
    </row>
    <row r="42" spans="1:11" s="392" customFormat="1" ht="19.5" customHeight="1">
      <c r="A42" s="397" t="s">
        <v>374</v>
      </c>
      <c r="B42" s="508"/>
      <c r="C42" s="508"/>
      <c r="D42" s="508"/>
      <c r="E42" s="401"/>
      <c r="F42" s="406"/>
      <c r="G42" s="400"/>
      <c r="H42" s="813"/>
      <c r="I42" s="813"/>
      <c r="J42" s="813"/>
      <c r="K42" s="813"/>
    </row>
    <row r="43" spans="1:11" s="392" customFormat="1" ht="19.5" customHeight="1">
      <c r="A43" s="397" t="s">
        <v>760</v>
      </c>
      <c r="B43" s="508">
        <v>206250</v>
      </c>
      <c r="C43" s="508">
        <f>252331+170000</f>
        <v>422331</v>
      </c>
      <c r="D43" s="508">
        <f>+'Transf. y subv.'!E30+'Transf. y subv.'!E31</f>
        <v>375968</v>
      </c>
      <c r="E43" s="401"/>
      <c r="F43" s="406"/>
      <c r="G43" s="400"/>
      <c r="H43" s="814">
        <f>Encomiendas!$D$33</f>
        <v>655000</v>
      </c>
      <c r="I43" s="814"/>
      <c r="J43" s="814">
        <f>+H43-D43</f>
        <v>279032</v>
      </c>
      <c r="K43" s="813"/>
    </row>
    <row r="44" spans="1:11" s="392" customFormat="1" ht="19.5" customHeight="1">
      <c r="A44" s="397" t="s">
        <v>761</v>
      </c>
      <c r="B44" s="508">
        <v>1751.45</v>
      </c>
      <c r="C44" s="508"/>
      <c r="D44" s="508"/>
      <c r="E44" s="401"/>
      <c r="F44" s="399">
        <f>+C44-B44</f>
        <v>-1751.45</v>
      </c>
      <c r="G44" s="400">
        <f>-D44-C44</f>
        <v>0</v>
      </c>
      <c r="H44" s="813"/>
      <c r="I44" s="813"/>
      <c r="J44" s="813"/>
      <c r="K44" s="813"/>
    </row>
    <row r="45" spans="1:11" s="392" customFormat="1" ht="19.5" customHeight="1">
      <c r="A45" s="397" t="s">
        <v>763</v>
      </c>
      <c r="B45" s="508"/>
      <c r="C45" s="507"/>
      <c r="D45" s="508"/>
      <c r="E45" s="401"/>
      <c r="F45" s="406"/>
      <c r="G45" s="400"/>
      <c r="H45" s="813"/>
      <c r="I45" s="813"/>
      <c r="J45" s="813"/>
      <c r="K45" s="813"/>
    </row>
    <row r="46" spans="1:11" s="392" customFormat="1" ht="19.5" customHeight="1">
      <c r="A46" s="402" t="s">
        <v>764</v>
      </c>
      <c r="B46" s="510">
        <f>SUM(B47:B52)</f>
        <v>-1053462.9299999997</v>
      </c>
      <c r="C46" s="510">
        <f>SUM(C47:C52)</f>
        <v>-1008707.02</v>
      </c>
      <c r="D46" s="510">
        <f>SUM(D47:D52)</f>
        <v>-1168687.01</v>
      </c>
      <c r="E46" s="403"/>
      <c r="F46" s="395">
        <f>+C46-B46</f>
        <v>44755.90999999968</v>
      </c>
      <c r="G46" s="396">
        <f>+D46-C46</f>
        <v>-159979.99</v>
      </c>
      <c r="H46" s="813"/>
      <c r="I46" s="813"/>
      <c r="J46" s="813"/>
      <c r="K46" s="813"/>
    </row>
    <row r="47" spans="1:7" s="392" customFormat="1" ht="19.5" customHeight="1">
      <c r="A47" s="397" t="s">
        <v>765</v>
      </c>
      <c r="B47" s="508">
        <v>-827321.07</v>
      </c>
      <c r="C47" s="508">
        <v>-778260.99</v>
      </c>
      <c r="D47" s="508">
        <f>-Personal!H41</f>
        <v>-900147.66</v>
      </c>
      <c r="E47" s="401"/>
      <c r="F47" s="399">
        <f>+C47-B47</f>
        <v>49060.07999999996</v>
      </c>
      <c r="G47" s="400">
        <f>-D47-C47</f>
        <v>1678408.65</v>
      </c>
    </row>
    <row r="48" spans="1:7" s="392" customFormat="1" ht="19.5" customHeight="1">
      <c r="A48" s="397" t="s">
        <v>375</v>
      </c>
      <c r="B48" s="508"/>
      <c r="C48" s="508"/>
      <c r="D48" s="508"/>
      <c r="E48" s="401"/>
      <c r="F48" s="399">
        <f>+C48-B48</f>
        <v>0</v>
      </c>
      <c r="G48" s="400">
        <f>-D48-C48</f>
        <v>0</v>
      </c>
    </row>
    <row r="49" spans="1:7" s="392" customFormat="1" ht="19.5" customHeight="1">
      <c r="A49" s="397" t="s">
        <v>376</v>
      </c>
      <c r="B49" s="508">
        <v>-219354.48</v>
      </c>
      <c r="C49" s="508">
        <v>-222946.03</v>
      </c>
      <c r="D49" s="508">
        <f>-Personal!H48</f>
        <v>-260964.35</v>
      </c>
      <c r="E49" s="401"/>
      <c r="F49" s="399">
        <f>+C49-B49</f>
        <v>-3591.5499999999884</v>
      </c>
      <c r="G49" s="400">
        <f>-D49-C49</f>
        <v>483910.38</v>
      </c>
    </row>
    <row r="50" spans="1:8" s="392" customFormat="1" ht="19.5" customHeight="1">
      <c r="A50" s="397" t="s">
        <v>377</v>
      </c>
      <c r="B50" s="508">
        <v>-6700</v>
      </c>
      <c r="C50" s="508">
        <v>-7500</v>
      </c>
      <c r="D50" s="508">
        <f>-Personal!H47</f>
        <v>-7575</v>
      </c>
      <c r="E50" s="401"/>
      <c r="F50" s="406">
        <f>+C50-B50</f>
        <v>-800</v>
      </c>
      <c r="G50" s="407">
        <f>-D50-C50</f>
        <v>15075</v>
      </c>
      <c r="H50" s="768"/>
    </row>
    <row r="51" spans="1:7" s="392" customFormat="1" ht="19.5" customHeight="1">
      <c r="A51" s="397" t="s">
        <v>378</v>
      </c>
      <c r="B51" s="508">
        <v>-87.38</v>
      </c>
      <c r="C51" s="508"/>
      <c r="D51" s="508"/>
      <c r="E51" s="401"/>
      <c r="F51" s="406">
        <f>+C51-B51</f>
        <v>87.38</v>
      </c>
      <c r="G51" s="400"/>
    </row>
    <row r="52" spans="1:7" s="392" customFormat="1" ht="19.5" customHeight="1">
      <c r="A52" s="397" t="s">
        <v>379</v>
      </c>
      <c r="B52" s="508"/>
      <c r="C52" s="507"/>
      <c r="D52" s="508"/>
      <c r="E52" s="401"/>
      <c r="F52" s="406"/>
      <c r="G52" s="407"/>
    </row>
    <row r="53" spans="1:7" s="392" customFormat="1" ht="19.5" customHeight="1" hidden="1">
      <c r="A53" s="397" t="s">
        <v>307</v>
      </c>
      <c r="B53" s="508"/>
      <c r="C53" s="507"/>
      <c r="D53" s="508"/>
      <c r="E53" s="401"/>
      <c r="F53" s="406"/>
      <c r="G53" s="407"/>
    </row>
    <row r="54" spans="1:7" s="392" customFormat="1" ht="19.5" customHeight="1">
      <c r="A54" s="393" t="s">
        <v>766</v>
      </c>
      <c r="B54" s="510">
        <f>+B55+B56+B57+B58</f>
        <v>-1659134.8900000001</v>
      </c>
      <c r="C54" s="510">
        <f>+C55+C56+C57+C58</f>
        <v>-1889975.41</v>
      </c>
      <c r="D54" s="510">
        <f>+D55+D56+D57+D58</f>
        <v>-1887074.6199999999</v>
      </c>
      <c r="E54" s="403"/>
      <c r="F54" s="395">
        <f>+C54-B54</f>
        <v>-230840.5199999998</v>
      </c>
      <c r="G54" s="396">
        <f>+D54-C54</f>
        <v>2900.7900000000373</v>
      </c>
    </row>
    <row r="55" spans="1:7" s="392" customFormat="1" ht="19.5" customHeight="1">
      <c r="A55" s="397" t="s">
        <v>380</v>
      </c>
      <c r="B55" s="508">
        <v>-1628046.13</v>
      </c>
      <c r="C55" s="508">
        <v>-1853657.43</v>
      </c>
      <c r="D55" s="508">
        <f>-1880756.64+30000</f>
        <v>-1850756.64</v>
      </c>
      <c r="E55" s="401"/>
      <c r="F55" s="399">
        <f>+C55-B55</f>
        <v>-225611.30000000005</v>
      </c>
      <c r="G55" s="400">
        <f>-D55-C55</f>
        <v>3704414.07</v>
      </c>
    </row>
    <row r="56" spans="1:7" s="392" customFormat="1" ht="19.5" customHeight="1">
      <c r="A56" s="397" t="s">
        <v>381</v>
      </c>
      <c r="B56" s="508">
        <v>-26576.85</v>
      </c>
      <c r="C56" s="508">
        <v>-26912.98</v>
      </c>
      <c r="D56" s="508">
        <v>-26912.98</v>
      </c>
      <c r="E56" s="401"/>
      <c r="F56" s="399">
        <f>+C56-B56</f>
        <v>-336.130000000001</v>
      </c>
      <c r="G56" s="400">
        <f>-D56-C56</f>
        <v>53825.96</v>
      </c>
    </row>
    <row r="57" spans="1:7" s="392" customFormat="1" ht="19.5" customHeight="1">
      <c r="A57" s="397" t="s">
        <v>767</v>
      </c>
      <c r="B57" s="508">
        <f>-5261.91+24274.8</f>
        <v>19012.89</v>
      </c>
      <c r="C57" s="508">
        <v>-9405</v>
      </c>
      <c r="D57" s="508">
        <v>-9405</v>
      </c>
      <c r="E57" s="398"/>
      <c r="F57" s="399">
        <f>+C57-B57</f>
        <v>-28417.89</v>
      </c>
      <c r="G57" s="400">
        <f>-D57-C57</f>
        <v>18810</v>
      </c>
    </row>
    <row r="58" spans="1:7" s="392" customFormat="1" ht="19.5" customHeight="1">
      <c r="A58" s="397" t="s">
        <v>768</v>
      </c>
      <c r="B58" s="508">
        <v>-23524.8</v>
      </c>
      <c r="C58" s="507"/>
      <c r="D58" s="507"/>
      <c r="E58" s="408"/>
      <c r="F58" s="409"/>
      <c r="G58" s="400"/>
    </row>
    <row r="59" spans="1:7" s="392" customFormat="1" ht="19.5" customHeight="1">
      <c r="A59" s="393" t="s">
        <v>769</v>
      </c>
      <c r="B59" s="510">
        <f>SUM(B60:B62)</f>
        <v>-75246.29000000001</v>
      </c>
      <c r="C59" s="510">
        <f>SUM(C60:C62)</f>
        <v>-90327.34</v>
      </c>
      <c r="D59" s="510">
        <f>SUM(D60:D62)</f>
        <v>-116227.5575</v>
      </c>
      <c r="E59" s="403"/>
      <c r="F59" s="395">
        <f>+C59-B59</f>
        <v>-15081.049999999988</v>
      </c>
      <c r="G59" s="396">
        <f>+D59-C59</f>
        <v>-25900.2175</v>
      </c>
    </row>
    <row r="60" spans="1:7" s="392" customFormat="1" ht="19.5" customHeight="1">
      <c r="A60" s="397" t="s">
        <v>494</v>
      </c>
      <c r="B60" s="507">
        <v>-3766.63</v>
      </c>
      <c r="C60" s="507">
        <v>-4074.15</v>
      </c>
      <c r="D60" s="507">
        <v>-2964.13</v>
      </c>
      <c r="E60" s="403"/>
      <c r="F60" s="395"/>
      <c r="G60" s="396"/>
    </row>
    <row r="61" spans="1:7" s="392" customFormat="1" ht="19.5" customHeight="1">
      <c r="A61" s="397" t="s">
        <v>495</v>
      </c>
      <c r="B61" s="507">
        <v>-71479.66</v>
      </c>
      <c r="C61" s="507">
        <f>+'Inv. NO FIN'!F14</f>
        <v>-86253.19</v>
      </c>
      <c r="D61" s="507">
        <f>+'Inv. NO FIN'!F24</f>
        <v>-113263.42749999999</v>
      </c>
      <c r="E61" s="403"/>
      <c r="F61" s="395"/>
      <c r="G61" s="396"/>
    </row>
    <row r="62" spans="1:7" s="392" customFormat="1" ht="19.5" customHeight="1">
      <c r="A62" s="397" t="s">
        <v>496</v>
      </c>
      <c r="B62" s="507"/>
      <c r="C62" s="507"/>
      <c r="D62" s="507"/>
      <c r="E62" s="403"/>
      <c r="F62" s="395"/>
      <c r="G62" s="396"/>
    </row>
    <row r="63" spans="1:7" s="392" customFormat="1" ht="25.5" customHeight="1">
      <c r="A63" s="402" t="s">
        <v>770</v>
      </c>
      <c r="B63" s="507">
        <v>3529.86</v>
      </c>
      <c r="C63" s="507">
        <f>3562.73+445.64+545.44</f>
        <v>4553.8099999999995</v>
      </c>
      <c r="D63" s="507">
        <f>2320.37+10114.39+20000</f>
        <v>32434.76</v>
      </c>
      <c r="E63" s="403"/>
      <c r="F63" s="395">
        <f>+C63-B63</f>
        <v>1023.9499999999994</v>
      </c>
      <c r="G63" s="396">
        <f>+D63-C63</f>
        <v>27880.949999999997</v>
      </c>
    </row>
    <row r="64" spans="1:7" s="392" customFormat="1" ht="24.75" customHeight="1">
      <c r="A64" s="402" t="s">
        <v>771</v>
      </c>
      <c r="B64" s="507"/>
      <c r="C64" s="507"/>
      <c r="D64" s="507"/>
      <c r="E64" s="394"/>
      <c r="F64" s="395"/>
      <c r="G64" s="400"/>
    </row>
    <row r="65" spans="1:7" s="392" customFormat="1" ht="28.5" customHeight="1">
      <c r="A65" s="402" t="s">
        <v>772</v>
      </c>
      <c r="B65" s="510">
        <f>B66+B70</f>
        <v>0</v>
      </c>
      <c r="C65" s="510">
        <f>C66+C70</f>
        <v>0</v>
      </c>
      <c r="D65" s="510">
        <f>D66+D70</f>
        <v>0</v>
      </c>
      <c r="E65" s="403"/>
      <c r="F65" s="395">
        <f>+C65-B65</f>
        <v>0</v>
      </c>
      <c r="G65" s="396">
        <f>+D65-C65</f>
        <v>0</v>
      </c>
    </row>
    <row r="66" spans="1:7" s="392" customFormat="1" ht="19.5" customHeight="1">
      <c r="A66" s="397" t="s">
        <v>102</v>
      </c>
      <c r="B66" s="511">
        <f>SUM(B67:B69)</f>
        <v>0</v>
      </c>
      <c r="C66" s="511">
        <f>SUM(C67:C69)</f>
        <v>0</v>
      </c>
      <c r="D66" s="511">
        <f>SUM(D67:D69)</f>
        <v>0</v>
      </c>
      <c r="E66" s="398"/>
      <c r="F66" s="399"/>
      <c r="G66" s="400"/>
    </row>
    <row r="67" spans="1:7" s="392" customFormat="1" ht="19.5" customHeight="1">
      <c r="A67" s="397" t="s">
        <v>497</v>
      </c>
      <c r="B67" s="508"/>
      <c r="C67" s="507"/>
      <c r="D67" s="508"/>
      <c r="E67" s="398"/>
      <c r="F67" s="399"/>
      <c r="G67" s="400"/>
    </row>
    <row r="68" spans="1:7" s="392" customFormat="1" ht="19.5" customHeight="1">
      <c r="A68" s="397" t="s">
        <v>498</v>
      </c>
      <c r="B68" s="508"/>
      <c r="C68" s="507"/>
      <c r="D68" s="508"/>
      <c r="E68" s="398"/>
      <c r="F68" s="399"/>
      <c r="G68" s="400"/>
    </row>
    <row r="69" spans="1:7" s="392" customFormat="1" ht="19.5" customHeight="1">
      <c r="A69" s="397" t="s">
        <v>499</v>
      </c>
      <c r="B69" s="508"/>
      <c r="C69" s="507"/>
      <c r="D69" s="508"/>
      <c r="E69" s="398"/>
      <c r="F69" s="399"/>
      <c r="G69" s="400"/>
    </row>
    <row r="70" spans="1:7" s="392" customFormat="1" ht="19.5" customHeight="1">
      <c r="A70" s="397" t="s">
        <v>382</v>
      </c>
      <c r="B70" s="511">
        <f>SUM(B71:B73)</f>
        <v>0</v>
      </c>
      <c r="C70" s="511">
        <f>SUM(C71:C73)</f>
        <v>0</v>
      </c>
      <c r="D70" s="511">
        <f>SUM(D71:D73)</f>
        <v>0</v>
      </c>
      <c r="E70" s="401"/>
      <c r="F70" s="399">
        <f>+C70-B70</f>
        <v>0</v>
      </c>
      <c r="G70" s="400">
        <f>-D70-C70</f>
        <v>0</v>
      </c>
    </row>
    <row r="71" spans="1:7" s="392" customFormat="1" ht="19.5" customHeight="1">
      <c r="A71" s="397" t="s">
        <v>497</v>
      </c>
      <c r="B71" s="767"/>
      <c r="C71" s="508"/>
      <c r="D71" s="508"/>
      <c r="E71" s="401"/>
      <c r="F71" s="399"/>
      <c r="G71" s="400"/>
    </row>
    <row r="72" spans="1:7" s="392" customFormat="1" ht="19.5" customHeight="1">
      <c r="A72" s="397" t="s">
        <v>498</v>
      </c>
      <c r="B72" s="767"/>
      <c r="C72" s="508"/>
      <c r="D72" s="508"/>
      <c r="E72" s="401"/>
      <c r="F72" s="399"/>
      <c r="G72" s="400"/>
    </row>
    <row r="73" spans="1:7" s="392" customFormat="1" ht="19.5" customHeight="1">
      <c r="A73" s="397" t="s">
        <v>499</v>
      </c>
      <c r="B73" s="508"/>
      <c r="C73" s="508"/>
      <c r="D73" s="508"/>
      <c r="E73" s="401"/>
      <c r="F73" s="399"/>
      <c r="G73" s="400"/>
    </row>
    <row r="74" spans="1:7" s="392" customFormat="1" ht="27" customHeight="1">
      <c r="A74" s="402" t="s">
        <v>308</v>
      </c>
      <c r="B74" s="508"/>
      <c r="C74" s="508"/>
      <c r="D74" s="508"/>
      <c r="E74" s="401"/>
      <c r="F74" s="399"/>
      <c r="G74" s="400"/>
    </row>
    <row r="75" spans="1:7" s="392" customFormat="1" ht="27" customHeight="1">
      <c r="A75" s="402" t="s">
        <v>204</v>
      </c>
      <c r="B75" s="510">
        <f>SUM(B76:B78)</f>
        <v>0</v>
      </c>
      <c r="C75" s="510">
        <f>SUM(C76:C78)</f>
        <v>0</v>
      </c>
      <c r="D75" s="510">
        <f>SUM(D76:D78)</f>
        <v>0</v>
      </c>
      <c r="E75" s="401"/>
      <c r="F75" s="399"/>
      <c r="G75" s="400"/>
    </row>
    <row r="76" spans="1:7" s="392" customFormat="1" ht="19.5" customHeight="1">
      <c r="A76" s="397" t="s">
        <v>205</v>
      </c>
      <c r="B76" s="508"/>
      <c r="C76" s="508"/>
      <c r="D76" s="508"/>
      <c r="E76" s="401"/>
      <c r="F76" s="399"/>
      <c r="G76" s="400"/>
    </row>
    <row r="77" spans="1:7" s="392" customFormat="1" ht="19.5" customHeight="1">
      <c r="A77" s="397" t="s">
        <v>206</v>
      </c>
      <c r="B77" s="508"/>
      <c r="C77" s="508"/>
      <c r="D77" s="508"/>
      <c r="E77" s="401"/>
      <c r="F77" s="399"/>
      <c r="G77" s="400"/>
    </row>
    <row r="78" spans="1:7" s="392" customFormat="1" ht="19.5" customHeight="1">
      <c r="A78" s="397" t="s">
        <v>207</v>
      </c>
      <c r="B78" s="508"/>
      <c r="C78" s="508"/>
      <c r="D78" s="508"/>
      <c r="E78" s="401"/>
      <c r="F78" s="399"/>
      <c r="G78" s="400"/>
    </row>
    <row r="79" spans="1:7" s="392" customFormat="1" ht="29.25" customHeight="1">
      <c r="A79" s="402" t="s">
        <v>203</v>
      </c>
      <c r="B79" s="510">
        <f>SUM(B80:B81)</f>
        <v>70298.39</v>
      </c>
      <c r="C79" s="510">
        <f>SUM(C80:C81)</f>
        <v>2304.5</v>
      </c>
      <c r="D79" s="510">
        <f>SUM(D80:D81)</f>
        <v>10000</v>
      </c>
      <c r="E79" s="401"/>
      <c r="F79" s="399">
        <f>+C79-B79</f>
        <v>-67993.89</v>
      </c>
      <c r="G79" s="400">
        <f>-D79-C79</f>
        <v>-12304.5</v>
      </c>
    </row>
    <row r="80" spans="1:7" s="392" customFormat="1" ht="21.75" customHeight="1">
      <c r="A80" s="397" t="s">
        <v>577</v>
      </c>
      <c r="B80" s="507">
        <v>-16646.49</v>
      </c>
      <c r="C80" s="507">
        <f>+'INF. ADIC. CPYG'!C23</f>
        <v>-12695.5</v>
      </c>
      <c r="D80" s="507">
        <f>-'INF. ADIC. CPYG'!D23</f>
        <v>0</v>
      </c>
      <c r="E80" s="401"/>
      <c r="F80" s="399"/>
      <c r="G80" s="400"/>
    </row>
    <row r="81" spans="1:7" s="392" customFormat="1" ht="21" customHeight="1">
      <c r="A81" s="397" t="s">
        <v>578</v>
      </c>
      <c r="B81" s="507">
        <v>86944.88</v>
      </c>
      <c r="C81" s="507">
        <f>+'INF. ADIC. CPYG'!C19</f>
        <v>15000</v>
      </c>
      <c r="D81" s="507">
        <f>+'INF. ADIC. CPYG'!D19</f>
        <v>10000</v>
      </c>
      <c r="E81" s="401"/>
      <c r="F81" s="399"/>
      <c r="G81" s="400"/>
    </row>
    <row r="82" spans="1:7" s="392" customFormat="1" ht="33" customHeight="1">
      <c r="A82" s="402" t="s">
        <v>208</v>
      </c>
      <c r="B82" s="510">
        <f>B12+B25+B28+B29+B34+B46+B54+B59+B63+B64+B65+B79+B74+B75</f>
        <v>-1939053.96</v>
      </c>
      <c r="C82" s="510">
        <f>C12+C25+C28+C29+C34+C46+C54+C59+C63+C64+C65+C79+C74+C75</f>
        <v>-1914775.37</v>
      </c>
      <c r="D82" s="510">
        <f>D12+D25+D28+D29+D34+D46+D54+D59+D63+D64+D65+D79+D74+D75</f>
        <v>-1953647.7975</v>
      </c>
      <c r="E82" s="394"/>
      <c r="F82" s="395">
        <f>+C82-B82</f>
        <v>24278.58999999985</v>
      </c>
      <c r="G82" s="396">
        <f>+D82-C82</f>
        <v>-38872.42749999999</v>
      </c>
    </row>
    <row r="83" spans="1:7" s="392" customFormat="1" ht="27.75" customHeight="1">
      <c r="A83" s="402" t="s">
        <v>209</v>
      </c>
      <c r="B83" s="510">
        <f>SUM(B84+B87+B90)</f>
        <v>6282.9</v>
      </c>
      <c r="C83" s="510">
        <f>SUM(C84+C87+C90)</f>
        <v>1000.01</v>
      </c>
      <c r="D83" s="510">
        <f>SUM(D84+D87+D90)</f>
        <v>1000</v>
      </c>
      <c r="E83" s="394"/>
      <c r="F83" s="395">
        <f>+C83-B83</f>
        <v>-5282.889999999999</v>
      </c>
      <c r="G83" s="396">
        <f>+D83-C83</f>
        <v>-0.009999999999990905</v>
      </c>
    </row>
    <row r="84" spans="1:7" s="392" customFormat="1" ht="19.5" customHeight="1">
      <c r="A84" s="397" t="s">
        <v>773</v>
      </c>
      <c r="B84" s="511">
        <f>SUM(B85:B86)</f>
        <v>0</v>
      </c>
      <c r="C84" s="511">
        <f>SUM(C85:C86)</f>
        <v>0</v>
      </c>
      <c r="D84" s="511">
        <f>SUM(D85:D86)</f>
        <v>0</v>
      </c>
      <c r="E84" s="401"/>
      <c r="F84" s="406"/>
      <c r="G84" s="400"/>
    </row>
    <row r="85" spans="1:7" s="392" customFormat="1" ht="19.5" customHeight="1">
      <c r="A85" s="397" t="s">
        <v>0</v>
      </c>
      <c r="B85" s="508"/>
      <c r="C85" s="507"/>
      <c r="D85" s="508"/>
      <c r="E85" s="401"/>
      <c r="F85" s="406"/>
      <c r="G85" s="400"/>
    </row>
    <row r="86" spans="1:7" s="392" customFormat="1" ht="19.5" customHeight="1">
      <c r="A86" s="397" t="s">
        <v>1</v>
      </c>
      <c r="B86" s="508"/>
      <c r="C86" s="507"/>
      <c r="D86" s="508"/>
      <c r="E86" s="401"/>
      <c r="F86" s="406"/>
      <c r="G86" s="400"/>
    </row>
    <row r="87" spans="1:7" s="392" customFormat="1" ht="19.5" customHeight="1">
      <c r="A87" s="397" t="s">
        <v>383</v>
      </c>
      <c r="B87" s="511">
        <f>SUM(B88:B89)</f>
        <v>6282.9</v>
      </c>
      <c r="C87" s="511">
        <f>SUM(C88:C89)</f>
        <v>1000.01</v>
      </c>
      <c r="D87" s="511">
        <f>SUM(D88:D89)</f>
        <v>1000</v>
      </c>
      <c r="E87" s="401"/>
      <c r="F87" s="399">
        <f>+C87-B87</f>
        <v>-5282.889999999999</v>
      </c>
      <c r="G87" s="400">
        <f>-D87-C87</f>
        <v>-2000.01</v>
      </c>
    </row>
    <row r="88" spans="1:7" s="392" customFormat="1" ht="19.5" customHeight="1">
      <c r="A88" s="397" t="s">
        <v>2</v>
      </c>
      <c r="B88" s="508"/>
      <c r="C88" s="508"/>
      <c r="D88" s="508"/>
      <c r="E88" s="401"/>
      <c r="F88" s="406"/>
      <c r="G88" s="400"/>
    </row>
    <row r="89" spans="1:7" s="392" customFormat="1" ht="19.5" customHeight="1">
      <c r="A89" s="397" t="s">
        <v>3</v>
      </c>
      <c r="B89" s="508">
        <v>6282.9</v>
      </c>
      <c r="C89" s="508">
        <v>1000.01</v>
      </c>
      <c r="D89" s="508">
        <v>1000</v>
      </c>
      <c r="E89" s="410"/>
      <c r="F89" s="399">
        <f>+C89-B89</f>
        <v>-5282.889999999999</v>
      </c>
      <c r="G89" s="400">
        <f>-D89-C89</f>
        <v>-2000.01</v>
      </c>
    </row>
    <row r="90" spans="1:7" s="392" customFormat="1" ht="19.5" customHeight="1">
      <c r="A90" s="397" t="s">
        <v>309</v>
      </c>
      <c r="B90" s="508"/>
      <c r="C90" s="508"/>
      <c r="D90" s="508"/>
      <c r="E90" s="410"/>
      <c r="F90" s="399"/>
      <c r="G90" s="400"/>
    </row>
    <row r="91" spans="1:7" s="392" customFormat="1" ht="19.5" customHeight="1">
      <c r="A91" s="402" t="s">
        <v>210</v>
      </c>
      <c r="B91" s="510">
        <f>SUM(B92:B94)</f>
        <v>0</v>
      </c>
      <c r="C91" s="510">
        <f>SUM(C92:C94)</f>
        <v>0</v>
      </c>
      <c r="D91" s="510">
        <f>D92+D93+D94</f>
        <v>0</v>
      </c>
      <c r="E91" s="403"/>
      <c r="F91" s="395">
        <f>+C91-B91</f>
        <v>0</v>
      </c>
      <c r="G91" s="396">
        <f>+D91-C91</f>
        <v>0</v>
      </c>
    </row>
    <row r="92" spans="1:7" s="392" customFormat="1" ht="19.5" customHeight="1">
      <c r="A92" s="397" t="s">
        <v>4</v>
      </c>
      <c r="B92" s="508"/>
      <c r="C92" s="507"/>
      <c r="D92" s="508"/>
      <c r="E92" s="401"/>
      <c r="F92" s="406"/>
      <c r="G92" s="400"/>
    </row>
    <row r="93" spans="1:7" s="392" customFormat="1" ht="19.5" customHeight="1">
      <c r="A93" s="397" t="s">
        <v>384</v>
      </c>
      <c r="B93" s="508"/>
      <c r="C93" s="508"/>
      <c r="D93" s="508"/>
      <c r="E93" s="410"/>
      <c r="F93" s="411"/>
      <c r="G93" s="400"/>
    </row>
    <row r="94" spans="1:7" s="392" customFormat="1" ht="19.5" customHeight="1">
      <c r="A94" s="397" t="s">
        <v>385</v>
      </c>
      <c r="B94" s="507"/>
      <c r="C94" s="507"/>
      <c r="D94" s="507"/>
      <c r="E94" s="412"/>
      <c r="F94" s="413"/>
      <c r="G94" s="400"/>
    </row>
    <row r="95" spans="1:7" s="392" customFormat="1" ht="24.75" customHeight="1">
      <c r="A95" s="402" t="s">
        <v>211</v>
      </c>
      <c r="B95" s="510">
        <f>B96+B97</f>
        <v>0</v>
      </c>
      <c r="C95" s="510">
        <f>C96+C97</f>
        <v>0</v>
      </c>
      <c r="D95" s="510">
        <f>D96+D97</f>
        <v>0</v>
      </c>
      <c r="E95" s="403"/>
      <c r="F95" s="395">
        <f>+C95-B95</f>
        <v>0</v>
      </c>
      <c r="G95" s="396">
        <f>+D95-C95</f>
        <v>0</v>
      </c>
    </row>
    <row r="96" spans="1:7" s="392" customFormat="1" ht="19.5" customHeight="1">
      <c r="A96" s="397" t="s">
        <v>5</v>
      </c>
      <c r="B96" s="507"/>
      <c r="C96" s="507"/>
      <c r="D96" s="507"/>
      <c r="E96" s="412"/>
      <c r="F96" s="413"/>
      <c r="G96" s="400"/>
    </row>
    <row r="97" spans="1:7" s="392" customFormat="1" ht="28.5" customHeight="1">
      <c r="A97" s="414" t="s">
        <v>386</v>
      </c>
      <c r="B97" s="507"/>
      <c r="C97" s="507"/>
      <c r="D97" s="507"/>
      <c r="E97" s="412"/>
      <c r="F97" s="413"/>
      <c r="G97" s="400"/>
    </row>
    <row r="98" spans="1:7" s="392" customFormat="1" ht="21.75" customHeight="1">
      <c r="A98" s="402" t="s">
        <v>212</v>
      </c>
      <c r="B98" s="507"/>
      <c r="C98" s="507"/>
      <c r="D98" s="507"/>
      <c r="E98" s="403"/>
      <c r="F98" s="404"/>
      <c r="G98" s="400"/>
    </row>
    <row r="99" spans="1:7" s="392" customFormat="1" ht="28.5" customHeight="1">
      <c r="A99" s="402" t="s">
        <v>213</v>
      </c>
      <c r="B99" s="510">
        <f>SUM(B100:B101)</f>
        <v>0</v>
      </c>
      <c r="C99" s="510">
        <f>SUM(C100:C101)</f>
        <v>0</v>
      </c>
      <c r="D99" s="510">
        <f>SUM(D100:D101)</f>
        <v>0</v>
      </c>
      <c r="E99" s="394"/>
      <c r="F99" s="395"/>
      <c r="G99" s="400"/>
    </row>
    <row r="100" spans="1:7" s="392" customFormat="1" ht="20.25" customHeight="1">
      <c r="A100" s="397" t="s">
        <v>6</v>
      </c>
      <c r="B100" s="507"/>
      <c r="C100" s="507"/>
      <c r="D100" s="507"/>
      <c r="E100" s="408"/>
      <c r="F100" s="409"/>
      <c r="G100" s="400"/>
    </row>
    <row r="101" spans="1:7" s="392" customFormat="1" ht="17.25" customHeight="1">
      <c r="A101" s="414" t="s">
        <v>7</v>
      </c>
      <c r="B101" s="507"/>
      <c r="C101" s="507"/>
      <c r="D101" s="507"/>
      <c r="E101" s="408"/>
      <c r="F101" s="409"/>
      <c r="G101" s="400"/>
    </row>
    <row r="102" spans="1:7" s="392" customFormat="1" ht="17.25" customHeight="1">
      <c r="A102" s="402" t="s">
        <v>216</v>
      </c>
      <c r="B102" s="510">
        <f>SUM(B103:B104)</f>
        <v>0</v>
      </c>
      <c r="C102" s="510">
        <f>SUM(C103:C104)</f>
        <v>0</v>
      </c>
      <c r="D102" s="510">
        <f>SUM(D103:D104)</f>
        <v>0</v>
      </c>
      <c r="E102" s="408"/>
      <c r="F102" s="409"/>
      <c r="G102" s="400"/>
    </row>
    <row r="103" spans="1:7" s="392" customFormat="1" ht="17.25" customHeight="1">
      <c r="A103" s="402" t="s">
        <v>310</v>
      </c>
      <c r="B103" s="507"/>
      <c r="C103" s="507"/>
      <c r="D103" s="507"/>
      <c r="E103" s="408"/>
      <c r="F103" s="409"/>
      <c r="G103" s="400"/>
    </row>
    <row r="104" spans="1:7" s="392" customFormat="1" ht="17.25" customHeight="1">
      <c r="A104" s="402" t="s">
        <v>311</v>
      </c>
      <c r="B104" s="507"/>
      <c r="C104" s="507"/>
      <c r="D104" s="507"/>
      <c r="E104" s="408"/>
      <c r="F104" s="409"/>
      <c r="G104" s="400"/>
    </row>
    <row r="105" spans="1:7" s="392" customFormat="1" ht="19.5" customHeight="1">
      <c r="A105" s="415" t="s">
        <v>345</v>
      </c>
      <c r="B105" s="510">
        <f>B83+B91+B95+B98+B99+B102</f>
        <v>6282.9</v>
      </c>
      <c r="C105" s="510">
        <f>C83+C91+C95+C98+C99+C102</f>
        <v>1000.01</v>
      </c>
      <c r="D105" s="510">
        <f>D83+D91+D95+D98+D99+D102</f>
        <v>1000</v>
      </c>
      <c r="E105" s="394"/>
      <c r="F105" s="395">
        <f aca="true" t="shared" si="2" ref="F105:G111">+C105-B105</f>
        <v>-5282.889999999999</v>
      </c>
      <c r="G105" s="396">
        <f t="shared" si="2"/>
        <v>-0.009999999999990905</v>
      </c>
    </row>
    <row r="106" spans="1:7" s="392" customFormat="1" ht="19.5" customHeight="1">
      <c r="A106" s="415" t="s">
        <v>387</v>
      </c>
      <c r="B106" s="510">
        <f>B105+B82</f>
        <v>-1932771.06</v>
      </c>
      <c r="C106" s="512">
        <f>C105+C82</f>
        <v>-1913775.36</v>
      </c>
      <c r="D106" s="512">
        <f>D105+D82</f>
        <v>-1952647.7975</v>
      </c>
      <c r="E106" s="416"/>
      <c r="F106" s="395">
        <f t="shared" si="2"/>
        <v>18995.699999999953</v>
      </c>
      <c r="G106" s="396">
        <f t="shared" si="2"/>
        <v>-38872.4375</v>
      </c>
    </row>
    <row r="107" spans="1:7" s="392" customFormat="1" ht="21.75" customHeight="1">
      <c r="A107" s="402" t="s">
        <v>214</v>
      </c>
      <c r="B107" s="509"/>
      <c r="C107" s="509"/>
      <c r="D107" s="509"/>
      <c r="E107" s="417"/>
      <c r="F107" s="395">
        <f t="shared" si="2"/>
        <v>0</v>
      </c>
      <c r="G107" s="396">
        <f t="shared" si="2"/>
        <v>0</v>
      </c>
    </row>
    <row r="108" spans="1:7" s="392" customFormat="1" ht="31.5" customHeight="1">
      <c r="A108" s="418" t="s">
        <v>8</v>
      </c>
      <c r="B108" s="510">
        <f>B106+B107</f>
        <v>-1932771.06</v>
      </c>
      <c r="C108" s="510">
        <f>C106+C107</f>
        <v>-1913775.36</v>
      </c>
      <c r="D108" s="510">
        <f>D106+D107</f>
        <v>-1952647.7975</v>
      </c>
      <c r="E108" s="394"/>
      <c r="F108" s="395">
        <f t="shared" si="2"/>
        <v>18995.699999999953</v>
      </c>
      <c r="G108" s="396">
        <f t="shared" si="2"/>
        <v>-38872.4375</v>
      </c>
    </row>
    <row r="109" spans="1:7" s="392" customFormat="1" ht="19.5" customHeight="1">
      <c r="A109" s="415" t="s">
        <v>388</v>
      </c>
      <c r="B109" s="507"/>
      <c r="C109" s="507"/>
      <c r="D109" s="507"/>
      <c r="E109" s="408"/>
      <c r="F109" s="395">
        <f t="shared" si="2"/>
        <v>0</v>
      </c>
      <c r="G109" s="396">
        <f t="shared" si="2"/>
        <v>0</v>
      </c>
    </row>
    <row r="110" spans="1:7" s="392" customFormat="1" ht="29.25" customHeight="1">
      <c r="A110" s="402" t="s">
        <v>215</v>
      </c>
      <c r="B110" s="507"/>
      <c r="C110" s="507"/>
      <c r="D110" s="507"/>
      <c r="E110" s="408"/>
      <c r="F110" s="395">
        <f t="shared" si="2"/>
        <v>0</v>
      </c>
      <c r="G110" s="396">
        <f t="shared" si="2"/>
        <v>0</v>
      </c>
    </row>
    <row r="111" spans="1:7" s="392" customFormat="1" ht="39.75" customHeight="1">
      <c r="A111" s="419" t="s">
        <v>9</v>
      </c>
      <c r="B111" s="510">
        <f>B108+B110</f>
        <v>-1932771.06</v>
      </c>
      <c r="C111" s="510">
        <f>C108+C110</f>
        <v>-1913775.36</v>
      </c>
      <c r="D111" s="510">
        <f>D108+D109+D110</f>
        <v>-1952647.7975</v>
      </c>
      <c r="E111" s="412"/>
      <c r="F111" s="395">
        <f t="shared" si="2"/>
        <v>18995.699999999953</v>
      </c>
      <c r="G111" s="396">
        <f t="shared" si="2"/>
        <v>-38872.4375</v>
      </c>
    </row>
    <row r="112" spans="2:7" ht="19.5" customHeight="1">
      <c r="B112" s="420"/>
      <c r="C112" s="420"/>
      <c r="D112" s="420"/>
      <c r="E112" s="420"/>
      <c r="F112" s="421"/>
      <c r="G112" s="422"/>
    </row>
    <row r="113" spans="1:6" ht="19.5" customHeight="1" hidden="1">
      <c r="A113" s="423" t="s">
        <v>468</v>
      </c>
      <c r="B113" s="424"/>
      <c r="C113" s="424"/>
      <c r="D113" s="424"/>
      <c r="E113" s="424"/>
      <c r="F113" s="425"/>
    </row>
    <row r="114" spans="1:6" ht="19.5" customHeight="1" hidden="1">
      <c r="A114" s="379" t="s">
        <v>10</v>
      </c>
      <c r="B114" s="420"/>
      <c r="C114" s="420"/>
      <c r="D114" s="420"/>
      <c r="E114" s="420"/>
      <c r="F114" s="421"/>
    </row>
    <row r="115" spans="2:6" ht="19.5" customHeight="1" hidden="1">
      <c r="B115" s="420"/>
      <c r="C115" s="420"/>
      <c r="D115" s="420"/>
      <c r="E115" s="420"/>
      <c r="F115" s="421"/>
    </row>
    <row r="116" spans="2:6" ht="19.5" customHeight="1" hidden="1">
      <c r="B116" s="420"/>
      <c r="C116" s="420"/>
      <c r="D116" s="420"/>
      <c r="E116" s="420"/>
      <c r="F116" s="421"/>
    </row>
    <row r="117" spans="2:6" ht="19.5" customHeight="1" hidden="1">
      <c r="B117" s="420"/>
      <c r="C117" s="420"/>
      <c r="D117" s="420"/>
      <c r="E117" s="420"/>
      <c r="F117" s="421"/>
    </row>
    <row r="118" spans="2:6" ht="19.5" customHeight="1" hidden="1">
      <c r="B118" s="420"/>
      <c r="C118" s="420"/>
      <c r="D118" s="420"/>
      <c r="E118" s="420"/>
      <c r="F118" s="421"/>
    </row>
    <row r="119" spans="2:6" ht="19.5" customHeight="1" hidden="1">
      <c r="B119" s="426">
        <f>+PASIVO!B25</f>
        <v>-1932771.06</v>
      </c>
      <c r="C119" s="426">
        <f>+PASIVO!C25</f>
        <v>-1913775.36</v>
      </c>
      <c r="D119" s="426">
        <f>+PASIVO!D25</f>
        <v>-1952647.7975</v>
      </c>
      <c r="E119" s="426"/>
      <c r="F119" s="427"/>
    </row>
    <row r="120" spans="2:6" ht="19.5" customHeight="1" hidden="1">
      <c r="B120" s="428">
        <f>B111-B119</f>
        <v>0</v>
      </c>
      <c r="C120" s="428">
        <f>C111-C119</f>
        <v>0</v>
      </c>
      <c r="D120" s="428">
        <f>D111-D119</f>
        <v>0</v>
      </c>
      <c r="E120" s="428"/>
      <c r="F120" s="429"/>
    </row>
    <row r="121" spans="2:7" s="430" customFormat="1" ht="19.5" customHeight="1" hidden="1">
      <c r="B121" s="431"/>
      <c r="C121" s="431"/>
      <c r="D121" s="431"/>
      <c r="E121" s="431"/>
      <c r="F121" s="432"/>
      <c r="G121" s="433"/>
    </row>
    <row r="122" spans="1:6" ht="19.5" customHeight="1" hidden="1">
      <c r="A122" s="379" t="s">
        <v>35</v>
      </c>
      <c r="B122" s="428">
        <f>+PASIVO!B24</f>
        <v>1968428.3</v>
      </c>
      <c r="C122" s="428">
        <f>+PASIVO!C24-PASIVO!B24</f>
        <v>-54652.939999999944</v>
      </c>
      <c r="D122" s="428">
        <f>+PASIVO!D24-PASIVO!C24</f>
        <v>38872.44000000018</v>
      </c>
      <c r="E122" s="428"/>
      <c r="F122" s="429"/>
    </row>
    <row r="123" spans="1:6" ht="19.5" customHeight="1" hidden="1">
      <c r="A123" s="379" t="s">
        <v>36</v>
      </c>
      <c r="B123" s="428">
        <f>+B111</f>
        <v>-1932771.06</v>
      </c>
      <c r="C123" s="428">
        <f>+C111</f>
        <v>-1913775.36</v>
      </c>
      <c r="D123" s="428">
        <f>+D111</f>
        <v>-1952647.7975</v>
      </c>
      <c r="E123" s="428"/>
      <c r="F123" s="429"/>
    </row>
    <row r="124" spans="1:6" ht="19.5" customHeight="1" hidden="1">
      <c r="A124" s="379" t="s">
        <v>37</v>
      </c>
      <c r="B124" s="426">
        <f>SUM(B122:B123)</f>
        <v>35657.23999999999</v>
      </c>
      <c r="C124" s="426">
        <f>SUM(C122:C123)</f>
        <v>-1968428.3</v>
      </c>
      <c r="D124" s="426">
        <f>SUM(D122:D123)</f>
        <v>-1913775.3575</v>
      </c>
      <c r="E124" s="426"/>
      <c r="F124" s="427"/>
    </row>
    <row r="125" spans="1:6" ht="19.5" customHeight="1" hidden="1">
      <c r="A125" s="434" t="s">
        <v>67</v>
      </c>
      <c r="B125" s="428">
        <f>+PASIVO!B24+B111</f>
        <v>35657.23999999999</v>
      </c>
      <c r="C125" s="428">
        <f>+PASIVO!C24+C111-PASIVO!B24</f>
        <v>-1968428.3</v>
      </c>
      <c r="D125" s="428">
        <f>+PASIVO!D24+D111-PASIVO!C24</f>
        <v>-1913775.3575</v>
      </c>
      <c r="E125" s="428"/>
      <c r="F125" s="429"/>
    </row>
    <row r="126" spans="1:6" ht="19.5" customHeight="1" hidden="1">
      <c r="A126" s="379" t="s">
        <v>68</v>
      </c>
      <c r="B126" s="420">
        <v>29502.85</v>
      </c>
      <c r="C126" s="420">
        <v>0</v>
      </c>
      <c r="D126" s="420">
        <v>0</v>
      </c>
      <c r="E126" s="420"/>
      <c r="F126" s="421"/>
    </row>
    <row r="127" spans="1:6" ht="19.5" customHeight="1" hidden="1">
      <c r="A127" s="379" t="s">
        <v>62</v>
      </c>
      <c r="B127" s="435">
        <f>+B125-B126</f>
        <v>6154.389999999992</v>
      </c>
      <c r="C127" s="428">
        <f>+C125-C126</f>
        <v>-1968428.3</v>
      </c>
      <c r="D127" s="435">
        <f>+D125-D126</f>
        <v>-1913775.3575</v>
      </c>
      <c r="E127" s="435"/>
      <c r="F127" s="436"/>
    </row>
    <row r="128" spans="2:6" ht="19.5" customHeight="1" hidden="1">
      <c r="B128" s="420"/>
      <c r="C128" s="420"/>
      <c r="D128" s="420"/>
      <c r="E128" s="420"/>
      <c r="F128" s="421"/>
    </row>
    <row r="129" spans="2:6" ht="19.5" customHeight="1" hidden="1">
      <c r="B129" s="420"/>
      <c r="C129" s="420"/>
      <c r="D129" s="420"/>
      <c r="E129" s="420"/>
      <c r="F129" s="421"/>
    </row>
    <row r="130" spans="2:6" ht="19.5" customHeight="1" hidden="1">
      <c r="B130" s="420"/>
      <c r="C130" s="420"/>
      <c r="D130" s="420"/>
      <c r="E130" s="420"/>
      <c r="F130" s="421"/>
    </row>
    <row r="131" spans="2:6" ht="19.5" customHeight="1" hidden="1">
      <c r="B131" s="420"/>
      <c r="C131" s="420"/>
      <c r="D131" s="420"/>
      <c r="E131" s="420"/>
      <c r="F131" s="421"/>
    </row>
    <row r="132" spans="2:6" ht="19.5" customHeight="1" hidden="1">
      <c r="B132" s="420"/>
      <c r="C132" s="420"/>
      <c r="D132" s="420"/>
      <c r="E132" s="420"/>
      <c r="F132" s="421"/>
    </row>
    <row r="133" spans="2:6" ht="19.5" customHeight="1" hidden="1">
      <c r="B133" s="420"/>
      <c r="C133" s="420"/>
      <c r="D133" s="420"/>
      <c r="E133" s="420"/>
      <c r="F133" s="421"/>
    </row>
    <row r="134" spans="2:6" ht="19.5" customHeight="1">
      <c r="B134" s="420"/>
      <c r="C134" s="420"/>
      <c r="D134" s="420"/>
      <c r="E134" s="420"/>
      <c r="F134" s="421"/>
    </row>
    <row r="135" spans="2:6" ht="19.5" customHeight="1">
      <c r="B135" s="420"/>
      <c r="C135" s="420"/>
      <c r="D135" s="420"/>
      <c r="E135" s="420"/>
      <c r="F135" s="421"/>
    </row>
    <row r="136" spans="2:6" ht="19.5" customHeight="1">
      <c r="B136" s="775"/>
      <c r="C136" s="420"/>
      <c r="D136" s="420"/>
      <c r="E136" s="420"/>
      <c r="F136" s="421"/>
    </row>
    <row r="137" spans="2:6" ht="19.5" customHeight="1">
      <c r="B137" s="420"/>
      <c r="C137" s="420"/>
      <c r="D137" s="420"/>
      <c r="E137" s="420"/>
      <c r="F137" s="421"/>
    </row>
    <row r="138" spans="2:6" ht="19.5" customHeight="1">
      <c r="B138" s="420"/>
      <c r="C138" s="420"/>
      <c r="D138" s="420"/>
      <c r="E138" s="420"/>
      <c r="F138" s="421"/>
    </row>
    <row r="139" spans="2:6" ht="19.5" customHeight="1">
      <c r="B139" s="420"/>
      <c r="C139" s="420"/>
      <c r="D139" s="420"/>
      <c r="E139" s="420"/>
      <c r="F139" s="421"/>
    </row>
    <row r="140" spans="2:6" ht="19.5" customHeight="1">
      <c r="B140" s="420"/>
      <c r="C140" s="420"/>
      <c r="D140" s="420"/>
      <c r="E140" s="420"/>
      <c r="F140" s="421"/>
    </row>
    <row r="141" spans="2:6" ht="19.5" customHeight="1">
      <c r="B141" s="420"/>
      <c r="C141" s="420"/>
      <c r="D141" s="420"/>
      <c r="E141" s="420"/>
      <c r="F141" s="421"/>
    </row>
    <row r="142" spans="2:6" ht="19.5" customHeight="1">
      <c r="B142" s="420"/>
      <c r="C142" s="420"/>
      <c r="D142" s="420"/>
      <c r="E142" s="420"/>
      <c r="F142" s="421"/>
    </row>
    <row r="143" spans="2:6" ht="19.5" customHeight="1">
      <c r="B143" s="420"/>
      <c r="C143" s="420"/>
      <c r="D143" s="420"/>
      <c r="E143" s="420"/>
      <c r="F143" s="421"/>
    </row>
    <row r="144" spans="2:6" ht="19.5" customHeight="1">
      <c r="B144" s="420"/>
      <c r="C144" s="420"/>
      <c r="D144" s="420"/>
      <c r="E144" s="420"/>
      <c r="F144" s="421"/>
    </row>
    <row r="145" spans="2:6" ht="19.5" customHeight="1">
      <c r="B145" s="420"/>
      <c r="C145" s="420"/>
      <c r="D145" s="420"/>
      <c r="E145" s="420"/>
      <c r="F145" s="421"/>
    </row>
    <row r="146" spans="2:6" ht="19.5" customHeight="1">
      <c r="B146" s="420"/>
      <c r="C146" s="420"/>
      <c r="D146" s="420"/>
      <c r="E146" s="420"/>
      <c r="F146" s="421"/>
    </row>
    <row r="147" spans="2:6" ht="19.5" customHeight="1">
      <c r="B147" s="420"/>
      <c r="C147" s="420"/>
      <c r="D147" s="420"/>
      <c r="E147" s="420"/>
      <c r="F147" s="421"/>
    </row>
    <row r="148" spans="2:6" ht="19.5" customHeight="1">
      <c r="B148" s="420"/>
      <c r="C148" s="420"/>
      <c r="D148" s="420"/>
      <c r="E148" s="420"/>
      <c r="F148" s="421"/>
    </row>
    <row r="149" spans="2:6" ht="19.5" customHeight="1">
      <c r="B149" s="420"/>
      <c r="C149" s="420"/>
      <c r="D149" s="420"/>
      <c r="E149" s="420"/>
      <c r="F149" s="421"/>
    </row>
    <row r="150" spans="2:6" ht="19.5" customHeight="1">
      <c r="B150" s="420"/>
      <c r="C150" s="420"/>
      <c r="D150" s="420"/>
      <c r="E150" s="420"/>
      <c r="F150" s="421"/>
    </row>
    <row r="151" spans="2:6" ht="19.5" customHeight="1">
      <c r="B151" s="420"/>
      <c r="C151" s="420"/>
      <c r="D151" s="420"/>
      <c r="E151" s="420"/>
      <c r="F151" s="421"/>
    </row>
    <row r="152" spans="2:6" ht="19.5" customHeight="1">
      <c r="B152" s="420"/>
      <c r="C152" s="420"/>
      <c r="D152" s="420"/>
      <c r="E152" s="420"/>
      <c r="F152" s="421"/>
    </row>
    <row r="153" spans="2:6" ht="19.5" customHeight="1">
      <c r="B153" s="420"/>
      <c r="C153" s="420"/>
      <c r="D153" s="420"/>
      <c r="E153" s="420"/>
      <c r="F153" s="421"/>
    </row>
    <row r="154" spans="2:6" ht="19.5" customHeight="1">
      <c r="B154" s="420"/>
      <c r="C154" s="420"/>
      <c r="D154" s="420"/>
      <c r="E154" s="420"/>
      <c r="F154" s="421"/>
    </row>
    <row r="155" spans="2:6" ht="19.5" customHeight="1">
      <c r="B155" s="420"/>
      <c r="C155" s="420"/>
      <c r="D155" s="420"/>
      <c r="E155" s="420"/>
      <c r="F155" s="421"/>
    </row>
    <row r="156" spans="2:6" ht="19.5" customHeight="1">
      <c r="B156" s="420"/>
      <c r="C156" s="420"/>
      <c r="D156" s="420"/>
      <c r="E156" s="420"/>
      <c r="F156" s="421"/>
    </row>
    <row r="157" spans="2:6" ht="19.5" customHeight="1">
      <c r="B157" s="420"/>
      <c r="C157" s="420"/>
      <c r="D157" s="420"/>
      <c r="E157" s="420"/>
      <c r="F157" s="421"/>
    </row>
    <row r="158" spans="2:6" ht="19.5" customHeight="1">
      <c r="B158" s="420"/>
      <c r="C158" s="420"/>
      <c r="D158" s="420"/>
      <c r="E158" s="420"/>
      <c r="F158" s="421"/>
    </row>
    <row r="159" spans="2:6" ht="19.5" customHeight="1">
      <c r="B159" s="420"/>
      <c r="C159" s="420"/>
      <c r="D159" s="420"/>
      <c r="E159" s="420"/>
      <c r="F159" s="421"/>
    </row>
    <row r="160" spans="2:6" ht="19.5" customHeight="1">
      <c r="B160" s="420"/>
      <c r="C160" s="420"/>
      <c r="D160" s="420"/>
      <c r="E160" s="420"/>
      <c r="F160" s="421"/>
    </row>
    <row r="161" spans="2:6" ht="19.5" customHeight="1">
      <c r="B161" s="420"/>
      <c r="C161" s="420"/>
      <c r="D161" s="420"/>
      <c r="E161" s="420"/>
      <c r="F161" s="421"/>
    </row>
    <row r="162" spans="2:6" ht="19.5" customHeight="1">
      <c r="B162" s="420"/>
      <c r="C162" s="420"/>
      <c r="D162" s="420"/>
      <c r="E162" s="420"/>
      <c r="F162" s="421"/>
    </row>
    <row r="163" spans="2:6" ht="19.5" customHeight="1">
      <c r="B163" s="420"/>
      <c r="C163" s="420"/>
      <c r="D163" s="420"/>
      <c r="E163" s="420"/>
      <c r="F163" s="421"/>
    </row>
    <row r="164" spans="2:6" ht="19.5" customHeight="1">
      <c r="B164" s="420"/>
      <c r="C164" s="420"/>
      <c r="D164" s="420"/>
      <c r="E164" s="420"/>
      <c r="F164" s="421"/>
    </row>
    <row r="165" spans="2:6" ht="19.5" customHeight="1">
      <c r="B165" s="420"/>
      <c r="C165" s="420"/>
      <c r="D165" s="420"/>
      <c r="E165" s="420"/>
      <c r="F165" s="421"/>
    </row>
    <row r="166" spans="2:6" ht="19.5" customHeight="1">
      <c r="B166" s="420"/>
      <c r="C166" s="420"/>
      <c r="D166" s="420"/>
      <c r="E166" s="420"/>
      <c r="F166" s="421"/>
    </row>
    <row r="167" spans="2:6" ht="19.5" customHeight="1">
      <c r="B167" s="420"/>
      <c r="C167" s="420"/>
      <c r="D167" s="420"/>
      <c r="E167" s="420"/>
      <c r="F167" s="421"/>
    </row>
    <row r="168" spans="2:6" ht="19.5" customHeight="1">
      <c r="B168" s="420"/>
      <c r="C168" s="420"/>
      <c r="D168" s="420"/>
      <c r="E168" s="420"/>
      <c r="F168" s="421"/>
    </row>
    <row r="169" spans="2:6" ht="19.5" customHeight="1">
      <c r="B169" s="420"/>
      <c r="C169" s="420"/>
      <c r="D169" s="420"/>
      <c r="E169" s="420"/>
      <c r="F169" s="421"/>
    </row>
    <row r="170" spans="2:6" ht="19.5" customHeight="1">
      <c r="B170" s="420"/>
      <c r="C170" s="420"/>
      <c r="D170" s="420"/>
      <c r="E170" s="420"/>
      <c r="F170" s="421"/>
    </row>
    <row r="171" spans="2:6" ht="19.5" customHeight="1">
      <c r="B171" s="420"/>
      <c r="C171" s="420"/>
      <c r="D171" s="420"/>
      <c r="E171" s="420"/>
      <c r="F171" s="421"/>
    </row>
    <row r="172" spans="2:6" ht="19.5" customHeight="1">
      <c r="B172" s="420"/>
      <c r="C172" s="420"/>
      <c r="D172" s="420"/>
      <c r="E172" s="420"/>
      <c r="F172" s="421"/>
    </row>
    <row r="173" spans="2:6" ht="19.5" customHeight="1">
      <c r="B173" s="420"/>
      <c r="C173" s="420"/>
      <c r="D173" s="420"/>
      <c r="E173" s="420"/>
      <c r="F173" s="421"/>
    </row>
    <row r="174" spans="2:6" ht="19.5" customHeight="1">
      <c r="B174" s="420"/>
      <c r="C174" s="420"/>
      <c r="D174" s="420"/>
      <c r="E174" s="420"/>
      <c r="F174" s="421"/>
    </row>
    <row r="175" spans="2:6" ht="19.5" customHeight="1">
      <c r="B175" s="420"/>
      <c r="C175" s="420"/>
      <c r="D175" s="420"/>
      <c r="E175" s="420"/>
      <c r="F175" s="421"/>
    </row>
    <row r="176" spans="2:6" ht="19.5" customHeight="1">
      <c r="B176" s="420"/>
      <c r="C176" s="420"/>
      <c r="D176" s="420"/>
      <c r="E176" s="420"/>
      <c r="F176" s="421"/>
    </row>
    <row r="177" spans="2:6" ht="19.5" customHeight="1">
      <c r="B177" s="420"/>
      <c r="C177" s="420"/>
      <c r="D177" s="420"/>
      <c r="E177" s="420"/>
      <c r="F177" s="421"/>
    </row>
    <row r="178" spans="2:6" ht="19.5" customHeight="1">
      <c r="B178" s="420"/>
      <c r="C178" s="420"/>
      <c r="D178" s="420"/>
      <c r="E178" s="420"/>
      <c r="F178" s="421"/>
    </row>
    <row r="179" spans="2:6" ht="19.5" customHeight="1">
      <c r="B179" s="420"/>
      <c r="C179" s="420"/>
      <c r="D179" s="420"/>
      <c r="E179" s="420"/>
      <c r="F179" s="421"/>
    </row>
    <row r="180" spans="2:6" ht="19.5" customHeight="1">
      <c r="B180" s="420"/>
      <c r="C180" s="420"/>
      <c r="D180" s="420"/>
      <c r="E180" s="420"/>
      <c r="F180" s="421"/>
    </row>
    <row r="181" spans="2:6" ht="19.5" customHeight="1">
      <c r="B181" s="420"/>
      <c r="C181" s="420"/>
      <c r="D181" s="420"/>
      <c r="E181" s="420"/>
      <c r="F181" s="421"/>
    </row>
    <row r="182" spans="2:6" ht="19.5" customHeight="1">
      <c r="B182" s="420"/>
      <c r="C182" s="420"/>
      <c r="D182" s="420"/>
      <c r="E182" s="420"/>
      <c r="F182" s="421"/>
    </row>
    <row r="183" spans="2:6" ht="19.5" customHeight="1">
      <c r="B183" s="420"/>
      <c r="C183" s="420"/>
      <c r="D183" s="420"/>
      <c r="E183" s="420"/>
      <c r="F183" s="421"/>
    </row>
    <row r="184" spans="2:6" ht="19.5" customHeight="1">
      <c r="B184" s="420"/>
      <c r="C184" s="420"/>
      <c r="D184" s="420"/>
      <c r="E184" s="420"/>
      <c r="F184" s="421"/>
    </row>
    <row r="185" spans="2:6" ht="19.5" customHeight="1">
      <c r="B185" s="420"/>
      <c r="C185" s="420"/>
      <c r="D185" s="420"/>
      <c r="E185" s="420"/>
      <c r="F185" s="421"/>
    </row>
    <row r="186" spans="2:6" ht="19.5" customHeight="1">
      <c r="B186" s="420"/>
      <c r="C186" s="420"/>
      <c r="D186" s="420"/>
      <c r="E186" s="420"/>
      <c r="F186" s="421"/>
    </row>
    <row r="187" spans="2:6" ht="19.5" customHeight="1">
      <c r="B187" s="420"/>
      <c r="C187" s="420"/>
      <c r="D187" s="420"/>
      <c r="E187" s="420"/>
      <c r="F187" s="421"/>
    </row>
    <row r="188" spans="2:6" ht="19.5" customHeight="1">
      <c r="B188" s="420"/>
      <c r="C188" s="420"/>
      <c r="D188" s="420"/>
      <c r="E188" s="420"/>
      <c r="F188" s="421"/>
    </row>
    <row r="189" spans="2:6" ht="19.5" customHeight="1">
      <c r="B189" s="420"/>
      <c r="C189" s="420"/>
      <c r="D189" s="420"/>
      <c r="E189" s="420"/>
      <c r="F189" s="421"/>
    </row>
    <row r="190" spans="2:6" ht="19.5" customHeight="1">
      <c r="B190" s="420"/>
      <c r="C190" s="420"/>
      <c r="D190" s="420"/>
      <c r="E190" s="420"/>
      <c r="F190" s="421"/>
    </row>
    <row r="191" spans="2:6" ht="19.5" customHeight="1">
      <c r="B191" s="420"/>
      <c r="C191" s="420"/>
      <c r="D191" s="420"/>
      <c r="E191" s="420"/>
      <c r="F191" s="421"/>
    </row>
    <row r="192" spans="2:6" ht="19.5" customHeight="1">
      <c r="B192" s="420"/>
      <c r="C192" s="420"/>
      <c r="D192" s="420"/>
      <c r="E192" s="420"/>
      <c r="F192" s="421"/>
    </row>
    <row r="193" spans="2:6" ht="19.5" customHeight="1">
      <c r="B193" s="420"/>
      <c r="C193" s="420"/>
      <c r="D193" s="420"/>
      <c r="E193" s="420"/>
      <c r="F193" s="421"/>
    </row>
    <row r="194" spans="2:6" ht="19.5" customHeight="1">
      <c r="B194" s="420"/>
      <c r="C194" s="420"/>
      <c r="D194" s="420"/>
      <c r="E194" s="420"/>
      <c r="F194" s="421"/>
    </row>
    <row r="195" spans="2:6" ht="19.5" customHeight="1">
      <c r="B195" s="420"/>
      <c r="C195" s="420"/>
      <c r="D195" s="420"/>
      <c r="E195" s="420"/>
      <c r="F195" s="421"/>
    </row>
    <row r="196" spans="2:6" ht="19.5" customHeight="1">
      <c r="B196" s="420"/>
      <c r="C196" s="420"/>
      <c r="D196" s="420"/>
      <c r="E196" s="420"/>
      <c r="F196" s="421"/>
    </row>
    <row r="197" spans="2:6" ht="19.5" customHeight="1">
      <c r="B197" s="420"/>
      <c r="C197" s="420"/>
      <c r="D197" s="420"/>
      <c r="E197" s="420"/>
      <c r="F197" s="421"/>
    </row>
    <row r="198" spans="2:6" ht="19.5" customHeight="1">
      <c r="B198" s="420"/>
      <c r="C198" s="420"/>
      <c r="D198" s="420"/>
      <c r="E198" s="420"/>
      <c r="F198" s="421"/>
    </row>
    <row r="199" spans="2:6" ht="19.5" customHeight="1">
      <c r="B199" s="420"/>
      <c r="C199" s="420"/>
      <c r="D199" s="420"/>
      <c r="E199" s="420"/>
      <c r="F199" s="421"/>
    </row>
    <row r="200" spans="2:6" ht="19.5" customHeight="1">
      <c r="B200" s="420"/>
      <c r="C200" s="420"/>
      <c r="D200" s="420"/>
      <c r="E200" s="420"/>
      <c r="F200" s="421"/>
    </row>
    <row r="201" spans="2:6" ht="19.5" customHeight="1">
      <c r="B201" s="420"/>
      <c r="C201" s="420"/>
      <c r="D201" s="420"/>
      <c r="E201" s="420"/>
      <c r="F201" s="421"/>
    </row>
    <row r="202" spans="2:6" ht="19.5" customHeight="1">
      <c r="B202" s="420"/>
      <c r="C202" s="420"/>
      <c r="D202" s="420"/>
      <c r="E202" s="420"/>
      <c r="F202" s="421"/>
    </row>
    <row r="203" spans="2:6" ht="19.5" customHeight="1">
      <c r="B203" s="420"/>
      <c r="C203" s="420"/>
      <c r="D203" s="420"/>
      <c r="E203" s="420"/>
      <c r="F203" s="421"/>
    </row>
    <row r="204" spans="2:6" ht="19.5" customHeight="1">
      <c r="B204" s="420"/>
      <c r="C204" s="420"/>
      <c r="D204" s="420"/>
      <c r="E204" s="420"/>
      <c r="F204" s="421"/>
    </row>
    <row r="205" spans="2:6" ht="19.5" customHeight="1">
      <c r="B205" s="420"/>
      <c r="C205" s="420"/>
      <c r="D205" s="420"/>
      <c r="E205" s="420"/>
      <c r="F205" s="421"/>
    </row>
    <row r="206" spans="2:6" ht="19.5" customHeight="1">
      <c r="B206" s="420"/>
      <c r="C206" s="420"/>
      <c r="D206" s="420"/>
      <c r="E206" s="420"/>
      <c r="F206" s="421"/>
    </row>
    <row r="207" spans="2:6" ht="19.5" customHeight="1">
      <c r="B207" s="420"/>
      <c r="C207" s="420"/>
      <c r="D207" s="420"/>
      <c r="E207" s="420"/>
      <c r="F207" s="421"/>
    </row>
    <row r="208" spans="2:6" ht="19.5" customHeight="1">
      <c r="B208" s="420"/>
      <c r="C208" s="420"/>
      <c r="D208" s="420"/>
      <c r="E208" s="420"/>
      <c r="F208" s="421"/>
    </row>
    <row r="209" spans="2:6" ht="19.5" customHeight="1">
      <c r="B209" s="420"/>
      <c r="C209" s="420"/>
      <c r="D209" s="420"/>
      <c r="E209" s="420"/>
      <c r="F209" s="421"/>
    </row>
    <row r="210" spans="2:6" ht="19.5" customHeight="1">
      <c r="B210" s="420"/>
      <c r="C210" s="420"/>
      <c r="D210" s="420"/>
      <c r="E210" s="420"/>
      <c r="F210" s="421"/>
    </row>
    <row r="211" spans="2:6" ht="19.5" customHeight="1">
      <c r="B211" s="420"/>
      <c r="C211" s="420"/>
      <c r="D211" s="420"/>
      <c r="E211" s="420"/>
      <c r="F211" s="421"/>
    </row>
    <row r="212" spans="2:6" ht="19.5" customHeight="1">
      <c r="B212" s="420"/>
      <c r="C212" s="420"/>
      <c r="D212" s="420"/>
      <c r="E212" s="420"/>
      <c r="F212" s="421"/>
    </row>
    <row r="213" spans="2:6" ht="19.5" customHeight="1">
      <c r="B213" s="420"/>
      <c r="C213" s="420"/>
      <c r="D213" s="420"/>
      <c r="E213" s="420"/>
      <c r="F213" s="421"/>
    </row>
    <row r="214" spans="2:6" ht="19.5" customHeight="1">
      <c r="B214" s="420"/>
      <c r="C214" s="420"/>
      <c r="D214" s="420"/>
      <c r="E214" s="420"/>
      <c r="F214" s="421"/>
    </row>
    <row r="215" spans="2:6" ht="19.5" customHeight="1">
      <c r="B215" s="420"/>
      <c r="C215" s="420"/>
      <c r="D215" s="420"/>
      <c r="E215" s="420"/>
      <c r="F215" s="421"/>
    </row>
    <row r="216" spans="2:6" ht="19.5" customHeight="1">
      <c r="B216" s="420"/>
      <c r="C216" s="420"/>
      <c r="D216" s="420"/>
      <c r="E216" s="420"/>
      <c r="F216" s="421"/>
    </row>
    <row r="217" spans="2:6" ht="19.5" customHeight="1">
      <c r="B217" s="420"/>
      <c r="C217" s="420"/>
      <c r="D217" s="420"/>
      <c r="E217" s="420"/>
      <c r="F217" s="421"/>
    </row>
    <row r="218" spans="2:6" ht="19.5" customHeight="1">
      <c r="B218" s="420"/>
      <c r="C218" s="420"/>
      <c r="D218" s="420"/>
      <c r="E218" s="420"/>
      <c r="F218" s="421"/>
    </row>
    <row r="219" spans="2:6" ht="19.5" customHeight="1">
      <c r="B219" s="420"/>
      <c r="C219" s="420"/>
      <c r="D219" s="420"/>
      <c r="E219" s="420"/>
      <c r="F219" s="421"/>
    </row>
    <row r="220" spans="2:6" ht="19.5" customHeight="1">
      <c r="B220" s="420"/>
      <c r="C220" s="420"/>
      <c r="D220" s="420"/>
      <c r="E220" s="420"/>
      <c r="F220" s="421"/>
    </row>
    <row r="221" spans="2:6" ht="19.5" customHeight="1">
      <c r="B221" s="420"/>
      <c r="C221" s="420"/>
      <c r="D221" s="420"/>
      <c r="E221" s="420"/>
      <c r="F221" s="421"/>
    </row>
    <row r="222" spans="2:6" ht="19.5" customHeight="1">
      <c r="B222" s="420"/>
      <c r="C222" s="420"/>
      <c r="D222" s="420"/>
      <c r="E222" s="420"/>
      <c r="F222" s="421"/>
    </row>
    <row r="223" spans="2:6" ht="19.5" customHeight="1">
      <c r="B223" s="420"/>
      <c r="C223" s="420"/>
      <c r="D223" s="420"/>
      <c r="E223" s="420"/>
      <c r="F223" s="421"/>
    </row>
    <row r="224" spans="2:6" ht="19.5" customHeight="1">
      <c r="B224" s="420"/>
      <c r="C224" s="420"/>
      <c r="D224" s="420"/>
      <c r="E224" s="420"/>
      <c r="F224" s="421"/>
    </row>
    <row r="225" spans="2:6" ht="19.5" customHeight="1">
      <c r="B225" s="420"/>
      <c r="C225" s="420"/>
      <c r="D225" s="420"/>
      <c r="E225" s="420"/>
      <c r="F225" s="421"/>
    </row>
    <row r="226" spans="2:6" ht="19.5" customHeight="1">
      <c r="B226" s="420"/>
      <c r="C226" s="420"/>
      <c r="D226" s="420"/>
      <c r="E226" s="420"/>
      <c r="F226" s="421"/>
    </row>
    <row r="227" spans="2:6" ht="19.5" customHeight="1">
      <c r="B227" s="420"/>
      <c r="C227" s="420"/>
      <c r="D227" s="420"/>
      <c r="E227" s="420"/>
      <c r="F227" s="421"/>
    </row>
    <row r="228" spans="2:6" ht="19.5" customHeight="1">
      <c r="B228" s="420"/>
      <c r="C228" s="420"/>
      <c r="D228" s="420"/>
      <c r="E228" s="420"/>
      <c r="F228" s="421"/>
    </row>
    <row r="229" spans="2:6" ht="19.5" customHeight="1">
      <c r="B229" s="420"/>
      <c r="C229" s="420"/>
      <c r="D229" s="420"/>
      <c r="E229" s="420"/>
      <c r="F229" s="421"/>
    </row>
    <row r="230" spans="2:6" ht="19.5" customHeight="1">
      <c r="B230" s="420"/>
      <c r="C230" s="420"/>
      <c r="D230" s="420"/>
      <c r="E230" s="420"/>
      <c r="F230" s="421"/>
    </row>
    <row r="231" spans="2:6" ht="19.5" customHeight="1">
      <c r="B231" s="420"/>
      <c r="C231" s="420"/>
      <c r="D231" s="420"/>
      <c r="E231" s="420"/>
      <c r="F231" s="421"/>
    </row>
    <row r="232" spans="2:6" ht="19.5" customHeight="1">
      <c r="B232" s="420"/>
      <c r="C232" s="420"/>
      <c r="D232" s="420"/>
      <c r="E232" s="420"/>
      <c r="F232" s="421"/>
    </row>
    <row r="233" spans="2:6" ht="19.5" customHeight="1">
      <c r="B233" s="420"/>
      <c r="C233" s="420"/>
      <c r="D233" s="420"/>
      <c r="E233" s="420"/>
      <c r="F233" s="421"/>
    </row>
    <row r="234" spans="2:6" ht="19.5" customHeight="1">
      <c r="B234" s="420"/>
      <c r="C234" s="420"/>
      <c r="D234" s="420"/>
      <c r="E234" s="420"/>
      <c r="F234" s="421"/>
    </row>
    <row r="235" spans="2:6" ht="19.5" customHeight="1">
      <c r="B235" s="420"/>
      <c r="C235" s="420"/>
      <c r="D235" s="420"/>
      <c r="E235" s="420"/>
      <c r="F235" s="421"/>
    </row>
    <row r="236" spans="2:6" ht="19.5" customHeight="1">
      <c r="B236" s="420"/>
      <c r="C236" s="420"/>
      <c r="D236" s="420"/>
      <c r="E236" s="420"/>
      <c r="F236" s="421"/>
    </row>
    <row r="237" spans="2:6" ht="19.5" customHeight="1">
      <c r="B237" s="420"/>
      <c r="C237" s="420"/>
      <c r="D237" s="420"/>
      <c r="E237" s="420"/>
      <c r="F237" s="421"/>
    </row>
    <row r="238" spans="2:6" ht="19.5" customHeight="1">
      <c r="B238" s="420"/>
      <c r="C238" s="420"/>
      <c r="D238" s="420"/>
      <c r="E238" s="420"/>
      <c r="F238" s="421"/>
    </row>
    <row r="239" spans="2:6" ht="19.5" customHeight="1">
      <c r="B239" s="420"/>
      <c r="C239" s="420"/>
      <c r="D239" s="420"/>
      <c r="E239" s="420"/>
      <c r="F239" s="421"/>
    </row>
    <row r="240" spans="2:6" ht="19.5" customHeight="1">
      <c r="B240" s="420"/>
      <c r="C240" s="420"/>
      <c r="D240" s="420"/>
      <c r="E240" s="420"/>
      <c r="F240" s="421"/>
    </row>
    <row r="241" spans="2:6" ht="19.5" customHeight="1">
      <c r="B241" s="420"/>
      <c r="C241" s="420"/>
      <c r="D241" s="420"/>
      <c r="E241" s="420"/>
      <c r="F241" s="421"/>
    </row>
    <row r="242" spans="2:6" ht="19.5" customHeight="1">
      <c r="B242" s="420"/>
      <c r="C242" s="420"/>
      <c r="D242" s="420"/>
      <c r="E242" s="420"/>
      <c r="F242" s="421"/>
    </row>
    <row r="243" spans="2:6" ht="19.5" customHeight="1">
      <c r="B243" s="420"/>
      <c r="C243" s="420"/>
      <c r="D243" s="420"/>
      <c r="E243" s="420"/>
      <c r="F243" s="421"/>
    </row>
    <row r="244" spans="2:6" ht="19.5" customHeight="1">
      <c r="B244" s="420"/>
      <c r="C244" s="420"/>
      <c r="D244" s="420"/>
      <c r="E244" s="420"/>
      <c r="F244" s="421"/>
    </row>
    <row r="245" spans="2:6" ht="19.5" customHeight="1">
      <c r="B245" s="420"/>
      <c r="C245" s="420"/>
      <c r="D245" s="420"/>
      <c r="E245" s="420"/>
      <c r="F245" s="421"/>
    </row>
    <row r="246" spans="2:6" ht="19.5" customHeight="1">
      <c r="B246" s="420"/>
      <c r="C246" s="420"/>
      <c r="D246" s="420"/>
      <c r="E246" s="420"/>
      <c r="F246" s="421"/>
    </row>
    <row r="247" spans="2:6" ht="19.5" customHeight="1">
      <c r="B247" s="420"/>
      <c r="C247" s="420"/>
      <c r="D247" s="420"/>
      <c r="E247" s="420"/>
      <c r="F247" s="421"/>
    </row>
    <row r="248" spans="2:6" ht="19.5" customHeight="1">
      <c r="B248" s="420"/>
      <c r="C248" s="420"/>
      <c r="D248" s="420"/>
      <c r="E248" s="420"/>
      <c r="F248" s="421"/>
    </row>
    <row r="249" spans="2:6" ht="19.5" customHeight="1">
      <c r="B249" s="420"/>
      <c r="C249" s="420"/>
      <c r="D249" s="420"/>
      <c r="E249" s="420"/>
      <c r="F249" s="421"/>
    </row>
    <row r="250" spans="2:6" ht="19.5" customHeight="1">
      <c r="B250" s="420"/>
      <c r="C250" s="420"/>
      <c r="D250" s="420"/>
      <c r="E250" s="420"/>
      <c r="F250" s="421"/>
    </row>
    <row r="251" spans="2:6" ht="19.5" customHeight="1">
      <c r="B251" s="420"/>
      <c r="C251" s="420"/>
      <c r="D251" s="420"/>
      <c r="E251" s="420"/>
      <c r="F251" s="421"/>
    </row>
    <row r="252" spans="2:6" ht="19.5" customHeight="1">
      <c r="B252" s="420"/>
      <c r="C252" s="420"/>
      <c r="D252" s="420"/>
      <c r="E252" s="420"/>
      <c r="F252" s="421"/>
    </row>
    <row r="253" spans="2:6" ht="19.5" customHeight="1">
      <c r="B253" s="420"/>
      <c r="C253" s="420"/>
      <c r="D253" s="420"/>
      <c r="E253" s="420"/>
      <c r="F253" s="421"/>
    </row>
    <row r="254" spans="2:6" ht="19.5" customHeight="1">
      <c r="B254" s="420"/>
      <c r="C254" s="420"/>
      <c r="D254" s="420"/>
      <c r="E254" s="420"/>
      <c r="F254" s="421"/>
    </row>
    <row r="255" spans="2:6" ht="19.5" customHeight="1">
      <c r="B255" s="420"/>
      <c r="C255" s="420"/>
      <c r="D255" s="420"/>
      <c r="E255" s="420"/>
      <c r="F255" s="421"/>
    </row>
    <row r="256" spans="2:6" ht="19.5" customHeight="1">
      <c r="B256" s="420"/>
      <c r="C256" s="420"/>
      <c r="D256" s="420"/>
      <c r="E256" s="420"/>
      <c r="F256" s="421"/>
    </row>
    <row r="257" spans="2:6" ht="19.5" customHeight="1">
      <c r="B257" s="420"/>
      <c r="C257" s="420"/>
      <c r="D257" s="420"/>
      <c r="E257" s="420"/>
      <c r="F257" s="421"/>
    </row>
    <row r="258" spans="2:6" ht="19.5" customHeight="1">
      <c r="B258" s="420"/>
      <c r="C258" s="420"/>
      <c r="D258" s="420"/>
      <c r="E258" s="420"/>
      <c r="F258" s="421"/>
    </row>
    <row r="259" spans="2:6" ht="19.5" customHeight="1">
      <c r="B259" s="420"/>
      <c r="C259" s="420"/>
      <c r="D259" s="420"/>
      <c r="E259" s="420"/>
      <c r="F259" s="421"/>
    </row>
    <row r="260" spans="2:6" ht="19.5" customHeight="1">
      <c r="B260" s="420"/>
      <c r="C260" s="420"/>
      <c r="D260" s="420"/>
      <c r="E260" s="420"/>
      <c r="F260" s="421"/>
    </row>
    <row r="261" spans="2:6" ht="19.5" customHeight="1">
      <c r="B261" s="420"/>
      <c r="C261" s="420"/>
      <c r="D261" s="420"/>
      <c r="E261" s="420"/>
      <c r="F261" s="421"/>
    </row>
    <row r="262" spans="2:6" ht="19.5" customHeight="1">
      <c r="B262" s="420"/>
      <c r="C262" s="420"/>
      <c r="D262" s="420"/>
      <c r="E262" s="420"/>
      <c r="F262" s="421"/>
    </row>
    <row r="263" spans="2:6" ht="19.5" customHeight="1">
      <c r="B263" s="420"/>
      <c r="C263" s="420"/>
      <c r="D263" s="420"/>
      <c r="E263" s="420"/>
      <c r="F263" s="421"/>
    </row>
    <row r="264" spans="2:6" ht="19.5" customHeight="1">
      <c r="B264" s="420"/>
      <c r="C264" s="420"/>
      <c r="D264" s="420"/>
      <c r="E264" s="420"/>
      <c r="F264" s="421"/>
    </row>
    <row r="265" spans="2:6" ht="19.5" customHeight="1">
      <c r="B265" s="420"/>
      <c r="C265" s="420"/>
      <c r="D265" s="420"/>
      <c r="E265" s="420"/>
      <c r="F265" s="421"/>
    </row>
    <row r="266" spans="2:6" ht="19.5" customHeight="1">
      <c r="B266" s="420"/>
      <c r="C266" s="420"/>
      <c r="D266" s="420"/>
      <c r="E266" s="420"/>
      <c r="F266" s="421"/>
    </row>
    <row r="267" spans="2:6" ht="19.5" customHeight="1">
      <c r="B267" s="420"/>
      <c r="C267" s="420"/>
      <c r="D267" s="420"/>
      <c r="E267" s="420"/>
      <c r="F267" s="421"/>
    </row>
    <row r="268" spans="2:6" ht="19.5" customHeight="1">
      <c r="B268" s="420"/>
      <c r="C268" s="420"/>
      <c r="D268" s="420"/>
      <c r="E268" s="420"/>
      <c r="F268" s="421"/>
    </row>
    <row r="269" spans="2:6" ht="19.5" customHeight="1">
      <c r="B269" s="420"/>
      <c r="C269" s="420"/>
      <c r="D269" s="420"/>
      <c r="E269" s="420"/>
      <c r="F269" s="421"/>
    </row>
    <row r="270" spans="2:6" ht="19.5" customHeight="1">
      <c r="B270" s="420"/>
      <c r="C270" s="420"/>
      <c r="D270" s="420"/>
      <c r="E270" s="420"/>
      <c r="F270" s="421"/>
    </row>
    <row r="271" spans="2:6" ht="19.5" customHeight="1">
      <c r="B271" s="420"/>
      <c r="C271" s="420"/>
      <c r="D271" s="420"/>
      <c r="E271" s="420"/>
      <c r="F271" s="421"/>
    </row>
    <row r="272" spans="2:6" ht="19.5" customHeight="1">
      <c r="B272" s="420"/>
      <c r="C272" s="420"/>
      <c r="D272" s="420"/>
      <c r="E272" s="420"/>
      <c r="F272" s="421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35433070866141736" right="0" top="0.1968503937007874" bottom="0.03937007874015748" header="0" footer="0"/>
  <pageSetup fitToHeight="2"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Q552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62" bestFit="1" customWidth="1"/>
    <col min="2" max="2" width="17.421875" style="462" customWidth="1"/>
    <col min="3" max="3" width="19.8515625" style="462" customWidth="1"/>
    <col min="4" max="4" width="17.8515625" style="463" customWidth="1"/>
    <col min="5" max="5" width="1.8515625" style="464" customWidth="1"/>
    <col min="6" max="12" width="0" style="462" hidden="1" customWidth="1"/>
    <col min="13" max="13" width="11.28125" style="829" hidden="1" customWidth="1"/>
    <col min="14" max="15" width="0" style="830" hidden="1" customWidth="1"/>
    <col min="16" max="16" width="10.7109375" style="830" customWidth="1"/>
    <col min="17" max="17" width="10.7109375" style="462" bestFit="1" customWidth="1"/>
    <col min="18" max="16384" width="10.7109375" style="462" customWidth="1"/>
  </cols>
  <sheetData>
    <row r="1" spans="1:3" ht="12.75">
      <c r="A1" s="379"/>
      <c r="B1" s="755" t="s">
        <v>426</v>
      </c>
      <c r="C1" s="379"/>
    </row>
    <row r="2" spans="1:3" ht="12.75">
      <c r="A2" s="379"/>
      <c r="B2" s="756" t="s">
        <v>427</v>
      </c>
      <c r="C2" s="379"/>
    </row>
    <row r="3" spans="1:3" ht="12.75">
      <c r="A3" s="379"/>
      <c r="B3" s="379"/>
      <c r="C3" s="379"/>
    </row>
    <row r="4" spans="1:3" ht="12.75">
      <c r="A4" s="752" t="s">
        <v>260</v>
      </c>
      <c r="B4" s="757">
        <v>42339</v>
      </c>
      <c r="C4" s="379"/>
    </row>
    <row r="5" spans="1:3" ht="12.75">
      <c r="A5" s="752" t="s">
        <v>425</v>
      </c>
      <c r="B5" s="758" t="s">
        <v>428</v>
      </c>
      <c r="C5" s="379"/>
    </row>
    <row r="7" spans="1:16" s="438" customFormat="1" ht="49.5" customHeight="1">
      <c r="A7" s="938" t="s">
        <v>106</v>
      </c>
      <c r="B7" s="938"/>
      <c r="C7" s="938"/>
      <c r="D7" s="375">
        <f>CPYG!D7</f>
        <v>2016</v>
      </c>
      <c r="E7" s="376"/>
      <c r="M7" s="819"/>
      <c r="N7" s="818"/>
      <c r="O7" s="818"/>
      <c r="P7" s="818"/>
    </row>
    <row r="8" spans="1:16" s="438" customFormat="1" ht="37.5" customHeight="1">
      <c r="A8" s="939" t="str">
        <f>CPYG!A8</f>
        <v>EMPRESA PÚBLICA: AUDITORIO DE TENERIFE, S.A.U.</v>
      </c>
      <c r="B8" s="940"/>
      <c r="C8" s="941"/>
      <c r="D8" s="380" t="s">
        <v>107</v>
      </c>
      <c r="E8" s="381"/>
      <c r="M8" s="819"/>
      <c r="N8" s="818"/>
      <c r="O8" s="818"/>
      <c r="P8" s="818"/>
    </row>
    <row r="9" spans="1:16" s="438" customFormat="1" ht="24.75" customHeight="1">
      <c r="A9" s="942" t="s">
        <v>429</v>
      </c>
      <c r="B9" s="942"/>
      <c r="C9" s="942"/>
      <c r="D9" s="942"/>
      <c r="E9" s="439"/>
      <c r="M9" s="819"/>
      <c r="N9" s="818"/>
      <c r="O9" s="818"/>
      <c r="P9" s="818"/>
    </row>
    <row r="10" spans="1:16" s="438" customFormat="1" ht="40.5" customHeight="1">
      <c r="A10" s="440" t="s">
        <v>107</v>
      </c>
      <c r="B10" s="441" t="s">
        <v>545</v>
      </c>
      <c r="C10" s="442" t="s">
        <v>547</v>
      </c>
      <c r="D10" s="442" t="s">
        <v>548</v>
      </c>
      <c r="E10" s="443"/>
      <c r="M10" s="831" t="s">
        <v>458</v>
      </c>
      <c r="N10" s="818"/>
      <c r="O10" s="818"/>
      <c r="P10" s="818"/>
    </row>
    <row r="11" spans="1:16" s="438" customFormat="1" ht="19.5" customHeight="1">
      <c r="A11" s="444" t="s">
        <v>219</v>
      </c>
      <c r="B11" s="513">
        <f>B12+B17+B21+B24+B25+B26+B27</f>
        <v>353813.76999999996</v>
      </c>
      <c r="C11" s="513">
        <f>C12+C17+C21+C24+C25+C26+C27</f>
        <v>328474.72</v>
      </c>
      <c r="D11" s="513">
        <f>D12+D17+D21+D24+D25+D26+D27</f>
        <v>742261.7125</v>
      </c>
      <c r="E11" s="445"/>
      <c r="M11" s="832">
        <f>+D11-C11</f>
        <v>413786.99250000005</v>
      </c>
      <c r="N11" s="818"/>
      <c r="O11" s="818"/>
      <c r="P11" s="818"/>
    </row>
    <row r="12" spans="1:16" s="438" customFormat="1" ht="19.5" customHeight="1">
      <c r="A12" s="444" t="s">
        <v>137</v>
      </c>
      <c r="B12" s="513">
        <f>SUM(B13:B16)</f>
        <v>3338.17</v>
      </c>
      <c r="C12" s="513">
        <f>SUM(C13:C16)</f>
        <v>9176.62</v>
      </c>
      <c r="D12" s="513">
        <f>SUM(D13:D16)</f>
        <v>6212.490000000001</v>
      </c>
      <c r="E12" s="446"/>
      <c r="M12" s="833">
        <f>+D12-C12</f>
        <v>-2964.13</v>
      </c>
      <c r="N12" s="818"/>
      <c r="O12" s="818"/>
      <c r="P12" s="818"/>
    </row>
    <row r="13" spans="1:16" s="438" customFormat="1" ht="19.5" customHeight="1">
      <c r="A13" s="447" t="s">
        <v>222</v>
      </c>
      <c r="B13" s="556"/>
      <c r="C13" s="556"/>
      <c r="D13" s="556"/>
      <c r="E13" s="446"/>
      <c r="M13" s="819"/>
      <c r="N13" s="818"/>
      <c r="O13" s="818"/>
      <c r="P13" s="818"/>
    </row>
    <row r="14" spans="1:17" s="438" customFormat="1" ht="19.5" customHeight="1">
      <c r="A14" s="447" t="s">
        <v>221</v>
      </c>
      <c r="B14" s="556">
        <v>2500.07</v>
      </c>
      <c r="C14" s="556">
        <f>+'Inv. NO FIN'!J13</f>
        <v>9176.62</v>
      </c>
      <c r="D14" s="556">
        <f>+'Inv. NO FIN'!J23</f>
        <v>6212.490000000001</v>
      </c>
      <c r="E14" s="446"/>
      <c r="M14" s="819"/>
      <c r="N14" s="818"/>
      <c r="O14" s="818"/>
      <c r="P14" s="818"/>
      <c r="Q14" s="448"/>
    </row>
    <row r="15" spans="1:16" s="438" customFormat="1" ht="19.5" customHeight="1">
      <c r="A15" s="447" t="s">
        <v>220</v>
      </c>
      <c r="B15" s="556"/>
      <c r="C15" s="556"/>
      <c r="D15" s="556"/>
      <c r="E15" s="446"/>
      <c r="M15" s="819"/>
      <c r="N15" s="818"/>
      <c r="O15" s="818"/>
      <c r="P15" s="818"/>
    </row>
    <row r="16" spans="1:16" s="438" customFormat="1" ht="19.5" customHeight="1">
      <c r="A16" s="447" t="s">
        <v>437</v>
      </c>
      <c r="B16" s="556">
        <v>838.1</v>
      </c>
      <c r="C16" s="556"/>
      <c r="D16" s="556"/>
      <c r="E16" s="446"/>
      <c r="M16" s="819"/>
      <c r="N16" s="818"/>
      <c r="O16" s="818"/>
      <c r="P16" s="818"/>
    </row>
    <row r="17" spans="1:16" s="438" customFormat="1" ht="19.5" customHeight="1">
      <c r="A17" s="444" t="s">
        <v>138</v>
      </c>
      <c r="B17" s="513">
        <f>SUM(B18:B20)</f>
        <v>345966.73</v>
      </c>
      <c r="C17" s="513">
        <f>SUM(C18:C20)</f>
        <v>314789.23</v>
      </c>
      <c r="D17" s="513">
        <f>SUM(D18:D20)</f>
        <v>731540.3525</v>
      </c>
      <c r="E17" s="446"/>
      <c r="M17" s="833">
        <f>+D17-C17</f>
        <v>416751.12250000006</v>
      </c>
      <c r="N17" s="833">
        <f>'Inv. NO FIN'!$F$24</f>
        <v>-113263.42749999999</v>
      </c>
      <c r="O17" s="832">
        <f>+M17-N17</f>
        <v>530014.55</v>
      </c>
      <c r="P17" s="818"/>
    </row>
    <row r="18" spans="1:16" s="438" customFormat="1" ht="19.5" customHeight="1">
      <c r="A18" s="447" t="s">
        <v>348</v>
      </c>
      <c r="B18" s="556"/>
      <c r="C18" s="556"/>
      <c r="D18" s="556"/>
      <c r="E18" s="446"/>
      <c r="M18" s="819"/>
      <c r="N18" s="818"/>
      <c r="O18" s="818"/>
      <c r="P18" s="818"/>
    </row>
    <row r="19" spans="1:16" s="438" customFormat="1" ht="19.5" customHeight="1">
      <c r="A19" s="447" t="s">
        <v>347</v>
      </c>
      <c r="B19" s="556"/>
      <c r="C19" s="556"/>
      <c r="D19" s="556"/>
      <c r="E19" s="446"/>
      <c r="M19" s="819"/>
      <c r="N19" s="818"/>
      <c r="O19" s="818"/>
      <c r="P19" s="818"/>
    </row>
    <row r="20" spans="1:16" s="438" customFormat="1" ht="19.5" customHeight="1">
      <c r="A20" s="447" t="s">
        <v>346</v>
      </c>
      <c r="B20" s="556">
        <v>345966.73</v>
      </c>
      <c r="C20" s="556">
        <f>+'Inv. NO FIN'!J14</f>
        <v>314789.23</v>
      </c>
      <c r="D20" s="556">
        <f>+'Inv. NO FIN'!J24</f>
        <v>731540.3525</v>
      </c>
      <c r="E20" s="446"/>
      <c r="M20" s="819"/>
      <c r="N20" s="818"/>
      <c r="O20" s="818"/>
      <c r="P20" s="818"/>
    </row>
    <row r="21" spans="1:16" s="438" customFormat="1" ht="19.5" customHeight="1">
      <c r="A21" s="444" t="s">
        <v>139</v>
      </c>
      <c r="B21" s="513">
        <f>SUM(B22:B23)</f>
        <v>0</v>
      </c>
      <c r="C21" s="513">
        <f>SUM(C22:C23)</f>
        <v>0</v>
      </c>
      <c r="D21" s="513">
        <f>SUM(D22:D23)</f>
        <v>0</v>
      </c>
      <c r="E21" s="446"/>
      <c r="M21" s="819"/>
      <c r="N21" s="818"/>
      <c r="O21" s="818"/>
      <c r="P21" s="818"/>
    </row>
    <row r="22" spans="1:16" s="438" customFormat="1" ht="19.5" customHeight="1">
      <c r="A22" s="447" t="s">
        <v>140</v>
      </c>
      <c r="B22" s="556"/>
      <c r="C22" s="556"/>
      <c r="D22" s="556"/>
      <c r="E22" s="446"/>
      <c r="M22" s="819"/>
      <c r="N22" s="818"/>
      <c r="O22" s="818"/>
      <c r="P22" s="818"/>
    </row>
    <row r="23" spans="1:16" s="438" customFormat="1" ht="19.5" customHeight="1">
      <c r="A23" s="447" t="s">
        <v>46</v>
      </c>
      <c r="B23" s="556"/>
      <c r="C23" s="556"/>
      <c r="D23" s="556"/>
      <c r="E23" s="446"/>
      <c r="M23" s="819"/>
      <c r="N23" s="818"/>
      <c r="O23" s="818"/>
      <c r="P23" s="818"/>
    </row>
    <row r="24" spans="1:16" s="438" customFormat="1" ht="19.5" customHeight="1">
      <c r="A24" s="444" t="s">
        <v>141</v>
      </c>
      <c r="B24" s="555"/>
      <c r="C24" s="555"/>
      <c r="D24" s="555"/>
      <c r="E24" s="446"/>
      <c r="M24" s="819"/>
      <c r="N24" s="818"/>
      <c r="O24" s="818"/>
      <c r="P24" s="818"/>
    </row>
    <row r="25" spans="1:16" s="438" customFormat="1" ht="19.5" customHeight="1">
      <c r="A25" s="444" t="s">
        <v>142</v>
      </c>
      <c r="B25" s="555">
        <v>4508.87</v>
      </c>
      <c r="C25" s="555">
        <v>4508.87</v>
      </c>
      <c r="D25" s="555">
        <v>4508.87</v>
      </c>
      <c r="E25" s="446"/>
      <c r="M25" s="833">
        <f>+D25-C25</f>
        <v>0</v>
      </c>
      <c r="N25" s="818"/>
      <c r="O25" s="818"/>
      <c r="P25" s="818"/>
    </row>
    <row r="26" spans="1:16" s="438" customFormat="1" ht="19.5" customHeight="1">
      <c r="A26" s="444" t="s">
        <v>47</v>
      </c>
      <c r="B26" s="555"/>
      <c r="C26" s="555"/>
      <c r="D26" s="555"/>
      <c r="F26" s="693" t="s">
        <v>217</v>
      </c>
      <c r="G26" s="694"/>
      <c r="H26" s="694"/>
      <c r="I26" s="694"/>
      <c r="J26" s="694"/>
      <c r="K26" s="694"/>
      <c r="L26" s="694"/>
      <c r="M26" s="819"/>
      <c r="N26" s="818"/>
      <c r="O26" s="818"/>
      <c r="P26" s="818"/>
    </row>
    <row r="27" spans="1:16" s="438" customFormat="1" ht="19.5" customHeight="1">
      <c r="A27" s="444" t="s">
        <v>349</v>
      </c>
      <c r="B27" s="555"/>
      <c r="C27" s="555"/>
      <c r="D27" s="555"/>
      <c r="F27" s="693" t="s">
        <v>218</v>
      </c>
      <c r="G27" s="694"/>
      <c r="H27" s="694"/>
      <c r="I27" s="694"/>
      <c r="J27" s="694"/>
      <c r="K27" s="694"/>
      <c r="L27" s="694"/>
      <c r="M27" s="819"/>
      <c r="N27" s="818"/>
      <c r="O27" s="818"/>
      <c r="P27" s="818"/>
    </row>
    <row r="28" spans="1:16" s="438" customFormat="1" ht="19.5" customHeight="1">
      <c r="A28" s="444" t="s">
        <v>223</v>
      </c>
      <c r="B28" s="513">
        <f>B29+B35+B38+B42+B43+B44+B45</f>
        <v>1500602.6800000002</v>
      </c>
      <c r="C28" s="513">
        <f>C29+C35+C38+C42+C43+C44+C45</f>
        <v>1600181.29</v>
      </c>
      <c r="D28" s="513">
        <f>D29+D35+D38+D42+D43+D44+D45</f>
        <v>1588588.3399999999</v>
      </c>
      <c r="E28" s="445"/>
      <c r="M28" s="832">
        <f>+D28-C28</f>
        <v>-11592.950000000186</v>
      </c>
      <c r="N28" s="818"/>
      <c r="O28" s="818"/>
      <c r="P28" s="818"/>
    </row>
    <row r="29" spans="1:16" s="438" customFormat="1" ht="23.25" customHeight="1">
      <c r="A29" s="444" t="s">
        <v>143</v>
      </c>
      <c r="B29" s="513">
        <f>B30+B33+B34</f>
        <v>0</v>
      </c>
      <c r="C29" s="513">
        <f>C30+C33+C34</f>
        <v>0</v>
      </c>
      <c r="D29" s="513">
        <f>D30+D33+D34</f>
        <v>0</v>
      </c>
      <c r="E29" s="446"/>
      <c r="M29" s="819"/>
      <c r="N29" s="818"/>
      <c r="O29" s="818"/>
      <c r="P29" s="818"/>
    </row>
    <row r="30" spans="1:16" s="438" customFormat="1" ht="23.25" customHeight="1">
      <c r="A30" s="447" t="s">
        <v>352</v>
      </c>
      <c r="B30" s="557">
        <f>SUM(B31:B32)</f>
        <v>0</v>
      </c>
      <c r="C30" s="557">
        <f>SUM(C31:C32)</f>
        <v>0</v>
      </c>
      <c r="D30" s="557">
        <f>SUM(D31:D32)</f>
        <v>0</v>
      </c>
      <c r="E30" s="446"/>
      <c r="M30" s="819"/>
      <c r="N30" s="818"/>
      <c r="O30" s="818"/>
      <c r="P30" s="818"/>
    </row>
    <row r="31" spans="1:16" s="438" customFormat="1" ht="23.25" customHeight="1">
      <c r="A31" s="447" t="s">
        <v>353</v>
      </c>
      <c r="B31" s="556"/>
      <c r="C31" s="556"/>
      <c r="D31" s="556"/>
      <c r="E31" s="446"/>
      <c r="M31" s="819"/>
      <c r="N31" s="818"/>
      <c r="O31" s="818"/>
      <c r="P31" s="818"/>
    </row>
    <row r="32" spans="1:16" s="438" customFormat="1" ht="23.25" customHeight="1">
      <c r="A32" s="447" t="s">
        <v>354</v>
      </c>
      <c r="B32" s="556"/>
      <c r="C32" s="556"/>
      <c r="D32" s="556"/>
      <c r="E32" s="446"/>
      <c r="M32" s="819"/>
      <c r="N32" s="818"/>
      <c r="O32" s="818"/>
      <c r="P32" s="818"/>
    </row>
    <row r="33" spans="1:16" s="438" customFormat="1" ht="23.25" customHeight="1">
      <c r="A33" s="447" t="s">
        <v>356</v>
      </c>
      <c r="B33" s="556"/>
      <c r="C33" s="556"/>
      <c r="D33" s="556"/>
      <c r="E33" s="446"/>
      <c r="M33" s="819"/>
      <c r="N33" s="818"/>
      <c r="O33" s="818"/>
      <c r="P33" s="818"/>
    </row>
    <row r="34" spans="1:16" s="438" customFormat="1" ht="23.25" customHeight="1">
      <c r="A34" s="447" t="s">
        <v>355</v>
      </c>
      <c r="B34" s="556"/>
      <c r="C34" s="556"/>
      <c r="D34" s="556"/>
      <c r="E34" s="446"/>
      <c r="M34" s="819"/>
      <c r="N34" s="818"/>
      <c r="O34" s="818"/>
      <c r="P34" s="818"/>
    </row>
    <row r="35" spans="1:16" s="438" customFormat="1" ht="19.5" customHeight="1">
      <c r="A35" s="444" t="s">
        <v>111</v>
      </c>
      <c r="B35" s="513">
        <f>SUM(B36:B37)</f>
        <v>6982.73</v>
      </c>
      <c r="C35" s="513">
        <f>SUM(C36:C37)</f>
        <v>0</v>
      </c>
      <c r="D35" s="513">
        <f>SUM(D36:D37)</f>
        <v>0</v>
      </c>
      <c r="E35" s="446"/>
      <c r="M35" s="819"/>
      <c r="N35" s="818"/>
      <c r="O35" s="818"/>
      <c r="P35" s="818"/>
    </row>
    <row r="36" spans="1:16" s="438" customFormat="1" ht="19.5" customHeight="1">
      <c r="A36" s="447" t="s">
        <v>350</v>
      </c>
      <c r="B36" s="556"/>
      <c r="C36" s="556"/>
      <c r="D36" s="556"/>
      <c r="E36" s="446"/>
      <c r="M36" s="819"/>
      <c r="N36" s="818"/>
      <c r="O36" s="818"/>
      <c r="P36" s="818"/>
    </row>
    <row r="37" spans="1:16" s="438" customFormat="1" ht="19.5" customHeight="1">
      <c r="A37" s="447" t="s">
        <v>351</v>
      </c>
      <c r="B37" s="556">
        <v>6982.73</v>
      </c>
      <c r="C37" s="556"/>
      <c r="D37" s="556"/>
      <c r="E37" s="446"/>
      <c r="M37" s="819"/>
      <c r="N37" s="818"/>
      <c r="O37" s="818"/>
      <c r="P37" s="818"/>
    </row>
    <row r="38" spans="1:16" s="438" customFormat="1" ht="19.5" customHeight="1">
      <c r="A38" s="444" t="s">
        <v>144</v>
      </c>
      <c r="B38" s="513">
        <f>SUM(B39:B41)</f>
        <v>613665.16</v>
      </c>
      <c r="C38" s="513">
        <f>SUM(C39:C41)</f>
        <v>659532.98</v>
      </c>
      <c r="D38" s="513">
        <f>SUM(D39:D41)</f>
        <v>657161.97</v>
      </c>
      <c r="E38" s="446"/>
      <c r="M38" s="833">
        <f>+D38-C38</f>
        <v>-2371.0100000000093</v>
      </c>
      <c r="N38" s="818"/>
      <c r="O38" s="818"/>
      <c r="P38" s="818"/>
    </row>
    <row r="39" spans="1:16" s="438" customFormat="1" ht="19.5" customHeight="1">
      <c r="A39" s="447" t="s">
        <v>48</v>
      </c>
      <c r="B39" s="556">
        <v>554180.54</v>
      </c>
      <c r="C39" s="556">
        <v>602114.51</v>
      </c>
      <c r="D39" s="556">
        <v>600660.96</v>
      </c>
      <c r="E39" s="446"/>
      <c r="M39" s="819"/>
      <c r="N39" s="818"/>
      <c r="O39" s="818"/>
      <c r="P39" s="818"/>
    </row>
    <row r="40" spans="1:16" s="438" customFormat="1" ht="19.5" customHeight="1">
      <c r="A40" s="447" t="s">
        <v>224</v>
      </c>
      <c r="B40" s="556"/>
      <c r="C40" s="556"/>
      <c r="D40" s="556"/>
      <c r="E40" s="446"/>
      <c r="M40" s="819"/>
      <c r="N40" s="818"/>
      <c r="O40" s="818"/>
      <c r="P40" s="818"/>
    </row>
    <row r="41" spans="1:16" s="438" customFormat="1" ht="19.5" customHeight="1">
      <c r="A41" s="447" t="s">
        <v>225</v>
      </c>
      <c r="B41" s="556">
        <v>59484.62</v>
      </c>
      <c r="C41" s="556">
        <v>57418.47</v>
      </c>
      <c r="D41" s="556">
        <v>56501.01</v>
      </c>
      <c r="E41" s="446"/>
      <c r="M41" s="819"/>
      <c r="N41" s="818"/>
      <c r="O41" s="818"/>
      <c r="P41" s="818"/>
    </row>
    <row r="42" spans="1:16" s="438" customFormat="1" ht="19.5" customHeight="1">
      <c r="A42" s="444" t="s">
        <v>145</v>
      </c>
      <c r="B42" s="555"/>
      <c r="C42" s="555"/>
      <c r="D42" s="555"/>
      <c r="E42" s="446"/>
      <c r="M42" s="819"/>
      <c r="N42" s="818"/>
      <c r="O42" s="818"/>
      <c r="P42" s="818"/>
    </row>
    <row r="43" spans="1:16" s="438" customFormat="1" ht="19.5" customHeight="1">
      <c r="A43" s="444" t="s">
        <v>146</v>
      </c>
      <c r="B43" s="555">
        <v>407402.84</v>
      </c>
      <c r="C43" s="555">
        <f>+'Inv. FIN'!D42+'Inv. FIN'!D43</f>
        <v>600010.76</v>
      </c>
      <c r="D43" s="555">
        <f>+'Inv. FIN'!I42+'Inv. FIN'!I43</f>
        <v>600010.76</v>
      </c>
      <c r="E43" s="446"/>
      <c r="M43" s="833">
        <f>+D43-C43</f>
        <v>0</v>
      </c>
      <c r="N43" s="818"/>
      <c r="O43" s="818"/>
      <c r="P43" s="818"/>
    </row>
    <row r="44" spans="1:16" s="438" customFormat="1" ht="19.5" customHeight="1">
      <c r="A44" s="444" t="s">
        <v>49</v>
      </c>
      <c r="B44" s="555">
        <v>114000.55</v>
      </c>
      <c r="C44" s="555">
        <f>17838.21+80000</f>
        <v>97838.20999999999</v>
      </c>
      <c r="D44" s="555">
        <f>7778.21+80000</f>
        <v>87778.21</v>
      </c>
      <c r="E44" s="446"/>
      <c r="M44" s="833">
        <f>+D44-C44</f>
        <v>-10059.999999999985</v>
      </c>
      <c r="N44" s="818"/>
      <c r="O44" s="818"/>
      <c r="P44" s="818"/>
    </row>
    <row r="45" spans="1:16" s="438" customFormat="1" ht="19.5" customHeight="1">
      <c r="A45" s="444" t="s">
        <v>50</v>
      </c>
      <c r="B45" s="513">
        <f>SUM(B46:B47)</f>
        <v>358551.4</v>
      </c>
      <c r="C45" s="513">
        <f>SUM(C46:C47)</f>
        <v>242799.34</v>
      </c>
      <c r="D45" s="513">
        <f>SUM(D46:D47)</f>
        <v>243637.4</v>
      </c>
      <c r="E45" s="446"/>
      <c r="M45" s="833">
        <f>+D45-C45</f>
        <v>838.0599999999977</v>
      </c>
      <c r="N45" s="818"/>
      <c r="O45" s="818"/>
      <c r="P45" s="818"/>
    </row>
    <row r="46" spans="1:16" s="438" customFormat="1" ht="19.5" customHeight="1">
      <c r="A46" s="447" t="s">
        <v>51</v>
      </c>
      <c r="B46" s="556">
        <v>358551.4</v>
      </c>
      <c r="C46" s="556">
        <v>242799.34</v>
      </c>
      <c r="D46" s="556">
        <v>243637.4</v>
      </c>
      <c r="E46" s="446"/>
      <c r="M46" s="819"/>
      <c r="N46" s="818"/>
      <c r="O46" s="818"/>
      <c r="P46" s="818"/>
    </row>
    <row r="47" spans="1:16" s="438" customFormat="1" ht="19.5" customHeight="1">
      <c r="A47" s="447" t="s">
        <v>69</v>
      </c>
      <c r="B47" s="556"/>
      <c r="C47" s="556"/>
      <c r="D47" s="556"/>
      <c r="E47" s="446"/>
      <c r="M47" s="819"/>
      <c r="N47" s="818"/>
      <c r="O47" s="818"/>
      <c r="P47" s="818"/>
    </row>
    <row r="48" spans="1:16" s="438" customFormat="1" ht="21.75" customHeight="1">
      <c r="A48" s="450" t="s">
        <v>103</v>
      </c>
      <c r="B48" s="513">
        <f>B28+B11</f>
        <v>1854416.4500000002</v>
      </c>
      <c r="C48" s="513">
        <f>C28+C11</f>
        <v>1928656.01</v>
      </c>
      <c r="D48" s="513">
        <f>D28+D11</f>
        <v>2330850.0524999998</v>
      </c>
      <c r="E48" s="445"/>
      <c r="M48" s="833">
        <f>+D48-C48</f>
        <v>402194.04249999975</v>
      </c>
      <c r="N48" s="818"/>
      <c r="O48" s="818"/>
      <c r="P48" s="818"/>
    </row>
    <row r="49" spans="1:16" s="438" customFormat="1" ht="8.25" customHeight="1">
      <c r="A49" s="451"/>
      <c r="B49" s="452"/>
      <c r="C49" s="452"/>
      <c r="D49" s="452"/>
      <c r="E49" s="445"/>
      <c r="M49" s="819"/>
      <c r="N49" s="818"/>
      <c r="O49" s="818"/>
      <c r="P49" s="818"/>
    </row>
    <row r="50" spans="1:16" s="438" customFormat="1" ht="12.75" hidden="1">
      <c r="A50" s="453" t="s">
        <v>70</v>
      </c>
      <c r="C50" s="448"/>
      <c r="D50" s="454"/>
      <c r="E50" s="455"/>
      <c r="M50" s="819"/>
      <c r="N50" s="818"/>
      <c r="O50" s="818"/>
      <c r="P50" s="818"/>
    </row>
    <row r="51" spans="1:13" s="818" customFormat="1" ht="12.75" hidden="1">
      <c r="A51" s="815" t="s">
        <v>654</v>
      </c>
      <c r="B51" s="816">
        <f>B48-PASIVO!B65</f>
        <v>0</v>
      </c>
      <c r="C51" s="816">
        <f>C48-PASIVO!C65</f>
        <v>0</v>
      </c>
      <c r="D51" s="816">
        <f>D48-PASIVO!D65</f>
        <v>0</v>
      </c>
      <c r="E51" s="817"/>
      <c r="M51" s="819"/>
    </row>
    <row r="52" spans="1:13" s="818" customFormat="1" ht="12.75" hidden="1">
      <c r="A52" s="820"/>
      <c r="B52" s="817"/>
      <c r="C52" s="817"/>
      <c r="D52" s="817"/>
      <c r="E52" s="817"/>
      <c r="M52" s="819"/>
    </row>
    <row r="53" spans="1:13" s="818" customFormat="1" ht="12.75" hidden="1">
      <c r="A53" s="820"/>
      <c r="B53" s="821"/>
      <c r="C53" s="821"/>
      <c r="D53" s="817"/>
      <c r="E53" s="817"/>
      <c r="M53" s="819"/>
    </row>
    <row r="54" spans="1:13" s="818" customFormat="1" ht="12.75" hidden="1">
      <c r="A54" s="820" t="s">
        <v>64</v>
      </c>
      <c r="B54" s="822">
        <f>+B48-PASIVO!B65</f>
        <v>0</v>
      </c>
      <c r="C54" s="822">
        <f>+C48-PASIVO!C65</f>
        <v>0</v>
      </c>
      <c r="D54" s="822">
        <f>+D48-PASIVO!D65</f>
        <v>0</v>
      </c>
      <c r="E54" s="817"/>
      <c r="M54" s="819"/>
    </row>
    <row r="55" spans="1:13" s="818" customFormat="1" ht="12.75" hidden="1">
      <c r="A55" s="820"/>
      <c r="B55" s="821"/>
      <c r="C55" s="821"/>
      <c r="D55" s="817"/>
      <c r="E55" s="817"/>
      <c r="M55" s="819"/>
    </row>
    <row r="56" spans="1:13" s="818" customFormat="1" ht="12.75" hidden="1">
      <c r="A56" s="823" t="s">
        <v>63</v>
      </c>
      <c r="B56" s="816">
        <f>+B28-PASIVO!B48</f>
        <v>594561.5300000001</v>
      </c>
      <c r="C56" s="816">
        <f>+C28-PASIVO!C48</f>
        <v>765346.77</v>
      </c>
      <c r="D56" s="816">
        <f>+D28-PASIVO!D48</f>
        <v>719125.0199999999</v>
      </c>
      <c r="E56" s="817"/>
      <c r="M56" s="819"/>
    </row>
    <row r="57" spans="1:13" s="818" customFormat="1" ht="12.75" hidden="1">
      <c r="A57" s="824" t="s">
        <v>493</v>
      </c>
      <c r="B57" s="815"/>
      <c r="C57" s="816">
        <f>+C56-B56</f>
        <v>170785.23999999987</v>
      </c>
      <c r="D57" s="825">
        <f>+D56-C56</f>
        <v>-46221.75000000012</v>
      </c>
      <c r="E57" s="817"/>
      <c r="M57" s="819"/>
    </row>
    <row r="58" spans="2:13" s="818" customFormat="1" ht="12.75" hidden="1">
      <c r="B58" s="826"/>
      <c r="C58" s="826"/>
      <c r="D58" s="827"/>
      <c r="E58" s="827"/>
      <c r="M58" s="819"/>
    </row>
    <row r="59" spans="2:13" s="818" customFormat="1" ht="12.75" hidden="1">
      <c r="B59" s="821"/>
      <c r="C59" s="821"/>
      <c r="D59" s="828"/>
      <c r="E59" s="828"/>
      <c r="M59" s="819"/>
    </row>
    <row r="60" spans="2:13" s="818" customFormat="1" ht="12.75" hidden="1">
      <c r="B60" s="821"/>
      <c r="C60" s="821"/>
      <c r="D60" s="817"/>
      <c r="E60" s="817"/>
      <c r="M60" s="819"/>
    </row>
    <row r="61" spans="2:13" s="818" customFormat="1" ht="12.75" hidden="1">
      <c r="B61" s="817"/>
      <c r="C61" s="817"/>
      <c r="D61" s="817"/>
      <c r="E61" s="817"/>
      <c r="M61" s="819"/>
    </row>
    <row r="62" spans="2:13" s="818" customFormat="1" ht="12.75" hidden="1">
      <c r="B62" s="817"/>
      <c r="C62" s="817"/>
      <c r="D62" s="817"/>
      <c r="E62" s="817">
        <f>+E48-E61</f>
        <v>0</v>
      </c>
      <c r="M62" s="819"/>
    </row>
    <row r="63" spans="2:16" s="438" customFormat="1" ht="12.75">
      <c r="B63" s="457"/>
      <c r="C63" s="774"/>
      <c r="D63" s="774"/>
      <c r="E63" s="456"/>
      <c r="M63" s="819"/>
      <c r="N63" s="818"/>
      <c r="O63" s="818"/>
      <c r="P63" s="818"/>
    </row>
    <row r="64" spans="2:16" s="438" customFormat="1" ht="12.75">
      <c r="B64" s="457"/>
      <c r="C64" s="457"/>
      <c r="D64" s="456"/>
      <c r="E64" s="456"/>
      <c r="M64" s="819"/>
      <c r="N64" s="818"/>
      <c r="O64" s="818"/>
      <c r="P64" s="818"/>
    </row>
    <row r="65" spans="2:16" s="438" customFormat="1" ht="12.75">
      <c r="B65" s="457"/>
      <c r="C65" s="457"/>
      <c r="D65" s="456"/>
      <c r="E65" s="456"/>
      <c r="M65" s="819"/>
      <c r="N65" s="818"/>
      <c r="O65" s="818"/>
      <c r="P65" s="818"/>
    </row>
    <row r="66" spans="2:16" s="438" customFormat="1" ht="12.75">
      <c r="B66" s="459"/>
      <c r="C66" s="460"/>
      <c r="D66" s="460"/>
      <c r="E66" s="460"/>
      <c r="M66" s="819"/>
      <c r="N66" s="818"/>
      <c r="O66" s="818"/>
      <c r="P66" s="818"/>
    </row>
    <row r="67" spans="2:16" s="438" customFormat="1" ht="12.75">
      <c r="B67" s="457"/>
      <c r="C67" s="457"/>
      <c r="D67" s="461"/>
      <c r="E67" s="461"/>
      <c r="M67" s="819"/>
      <c r="N67" s="818"/>
      <c r="O67" s="818"/>
      <c r="P67" s="818"/>
    </row>
    <row r="68" spans="2:16" s="438" customFormat="1" ht="12.75">
      <c r="B68" s="457"/>
      <c r="C68" s="457"/>
      <c r="D68" s="461"/>
      <c r="E68" s="461"/>
      <c r="M68" s="819"/>
      <c r="N68" s="818"/>
      <c r="O68" s="818"/>
      <c r="P68" s="818"/>
    </row>
    <row r="69" spans="2:16" s="438" customFormat="1" ht="12.75">
      <c r="B69" s="457"/>
      <c r="C69" s="457"/>
      <c r="D69" s="461"/>
      <c r="E69" s="461"/>
      <c r="M69" s="819"/>
      <c r="N69" s="818"/>
      <c r="O69" s="818"/>
      <c r="P69" s="818"/>
    </row>
    <row r="70" spans="4:16" s="438" customFormat="1" ht="12.75">
      <c r="D70" s="454"/>
      <c r="E70" s="455"/>
      <c r="M70" s="819"/>
      <c r="N70" s="818"/>
      <c r="O70" s="818"/>
      <c r="P70" s="818"/>
    </row>
    <row r="71" spans="4:16" s="438" customFormat="1" ht="12.75">
      <c r="D71" s="454"/>
      <c r="E71" s="455"/>
      <c r="M71" s="819"/>
      <c r="N71" s="818"/>
      <c r="O71" s="818"/>
      <c r="P71" s="818"/>
    </row>
    <row r="72" spans="4:16" s="438" customFormat="1" ht="12.75">
      <c r="D72" s="454"/>
      <c r="E72" s="455"/>
      <c r="M72" s="819"/>
      <c r="N72" s="818"/>
      <c r="O72" s="818"/>
      <c r="P72" s="818"/>
    </row>
    <row r="73" spans="4:16" s="438" customFormat="1" ht="12.75">
      <c r="D73" s="454"/>
      <c r="E73" s="455"/>
      <c r="M73" s="819"/>
      <c r="N73" s="818"/>
      <c r="O73" s="818"/>
      <c r="P73" s="818"/>
    </row>
    <row r="74" spans="4:16" s="438" customFormat="1" ht="12.75">
      <c r="D74" s="454"/>
      <c r="E74" s="455"/>
      <c r="M74" s="819"/>
      <c r="N74" s="818"/>
      <c r="O74" s="818"/>
      <c r="P74" s="818"/>
    </row>
    <row r="75" spans="4:16" s="438" customFormat="1" ht="12.75">
      <c r="D75" s="454"/>
      <c r="E75" s="455"/>
      <c r="M75" s="819"/>
      <c r="N75" s="818"/>
      <c r="O75" s="818"/>
      <c r="P75" s="818"/>
    </row>
    <row r="76" spans="4:16" s="438" customFormat="1" ht="12.75">
      <c r="D76" s="454"/>
      <c r="E76" s="455"/>
      <c r="M76" s="819"/>
      <c r="N76" s="818"/>
      <c r="O76" s="818"/>
      <c r="P76" s="818"/>
    </row>
    <row r="77" spans="4:16" s="438" customFormat="1" ht="12.75">
      <c r="D77" s="454"/>
      <c r="E77" s="455"/>
      <c r="M77" s="819"/>
      <c r="N77" s="818"/>
      <c r="O77" s="818"/>
      <c r="P77" s="818"/>
    </row>
    <row r="78" spans="4:16" s="438" customFormat="1" ht="12.75">
      <c r="D78" s="454"/>
      <c r="E78" s="455"/>
      <c r="M78" s="819"/>
      <c r="N78" s="818"/>
      <c r="O78" s="818"/>
      <c r="P78" s="818"/>
    </row>
    <row r="79" spans="4:16" s="438" customFormat="1" ht="12.75">
      <c r="D79" s="454"/>
      <c r="E79" s="455"/>
      <c r="M79" s="819"/>
      <c r="N79" s="818"/>
      <c r="O79" s="818"/>
      <c r="P79" s="818"/>
    </row>
    <row r="80" spans="4:16" s="438" customFormat="1" ht="12.75">
      <c r="D80" s="454"/>
      <c r="E80" s="455"/>
      <c r="M80" s="819"/>
      <c r="N80" s="818"/>
      <c r="O80" s="818"/>
      <c r="P80" s="818"/>
    </row>
    <row r="81" spans="4:16" s="438" customFormat="1" ht="12.75">
      <c r="D81" s="454"/>
      <c r="E81" s="455"/>
      <c r="M81" s="819"/>
      <c r="N81" s="818"/>
      <c r="O81" s="818"/>
      <c r="P81" s="818"/>
    </row>
    <row r="82" spans="4:16" s="438" customFormat="1" ht="12.75">
      <c r="D82" s="454"/>
      <c r="E82" s="455"/>
      <c r="M82" s="819"/>
      <c r="N82" s="818"/>
      <c r="O82" s="818"/>
      <c r="P82" s="818"/>
    </row>
    <row r="83" spans="4:16" s="438" customFormat="1" ht="12.75">
      <c r="D83" s="454"/>
      <c r="E83" s="455"/>
      <c r="M83" s="819"/>
      <c r="N83" s="818"/>
      <c r="O83" s="818"/>
      <c r="P83" s="818"/>
    </row>
    <row r="84" spans="4:16" s="438" customFormat="1" ht="12.75">
      <c r="D84" s="454"/>
      <c r="E84" s="455"/>
      <c r="M84" s="819"/>
      <c r="N84" s="818"/>
      <c r="O84" s="818"/>
      <c r="P84" s="818"/>
    </row>
    <row r="85" spans="4:16" s="438" customFormat="1" ht="12.75">
      <c r="D85" s="454"/>
      <c r="E85" s="455"/>
      <c r="M85" s="819"/>
      <c r="N85" s="818"/>
      <c r="O85" s="818"/>
      <c r="P85" s="818"/>
    </row>
    <row r="86" spans="4:16" s="438" customFormat="1" ht="12.75">
      <c r="D86" s="454"/>
      <c r="E86" s="455"/>
      <c r="M86" s="819"/>
      <c r="N86" s="818"/>
      <c r="O86" s="818"/>
      <c r="P86" s="818"/>
    </row>
    <row r="87" spans="4:16" s="438" customFormat="1" ht="12.75">
      <c r="D87" s="454"/>
      <c r="E87" s="455"/>
      <c r="M87" s="819"/>
      <c r="N87" s="818"/>
      <c r="O87" s="818"/>
      <c r="P87" s="818"/>
    </row>
    <row r="88" spans="4:16" s="438" customFormat="1" ht="12.75">
      <c r="D88" s="454"/>
      <c r="E88" s="455"/>
      <c r="M88" s="819"/>
      <c r="N88" s="818"/>
      <c r="O88" s="818"/>
      <c r="P88" s="818"/>
    </row>
    <row r="89" spans="4:16" s="438" customFormat="1" ht="12.75">
      <c r="D89" s="454"/>
      <c r="E89" s="455"/>
      <c r="M89" s="819"/>
      <c r="N89" s="818"/>
      <c r="O89" s="818"/>
      <c r="P89" s="818"/>
    </row>
    <row r="90" spans="4:16" s="438" customFormat="1" ht="12.75">
      <c r="D90" s="454"/>
      <c r="E90" s="455"/>
      <c r="M90" s="819"/>
      <c r="N90" s="818"/>
      <c r="O90" s="818"/>
      <c r="P90" s="818"/>
    </row>
    <row r="91" spans="4:16" s="438" customFormat="1" ht="12.75">
      <c r="D91" s="454"/>
      <c r="E91" s="455"/>
      <c r="M91" s="819"/>
      <c r="N91" s="818"/>
      <c r="O91" s="818"/>
      <c r="P91" s="818"/>
    </row>
    <row r="92" spans="4:16" s="438" customFormat="1" ht="12.75">
      <c r="D92" s="454"/>
      <c r="E92" s="455"/>
      <c r="M92" s="819"/>
      <c r="N92" s="818"/>
      <c r="O92" s="818"/>
      <c r="P92" s="818"/>
    </row>
    <row r="93" spans="4:16" s="438" customFormat="1" ht="12.75">
      <c r="D93" s="454"/>
      <c r="E93" s="455"/>
      <c r="M93" s="819"/>
      <c r="N93" s="818"/>
      <c r="O93" s="818"/>
      <c r="P93" s="818"/>
    </row>
    <row r="94" spans="4:16" s="438" customFormat="1" ht="12.75">
      <c r="D94" s="454"/>
      <c r="E94" s="455"/>
      <c r="M94" s="819"/>
      <c r="N94" s="818"/>
      <c r="O94" s="818"/>
      <c r="P94" s="818"/>
    </row>
    <row r="95" spans="4:16" s="438" customFormat="1" ht="12.75">
      <c r="D95" s="454"/>
      <c r="E95" s="455"/>
      <c r="M95" s="819"/>
      <c r="N95" s="818"/>
      <c r="O95" s="818"/>
      <c r="P95" s="818"/>
    </row>
    <row r="96" spans="4:16" s="438" customFormat="1" ht="12.75">
      <c r="D96" s="454"/>
      <c r="E96" s="455"/>
      <c r="M96" s="819"/>
      <c r="N96" s="818"/>
      <c r="O96" s="818"/>
      <c r="P96" s="818"/>
    </row>
    <row r="97" spans="4:16" s="438" customFormat="1" ht="12.75">
      <c r="D97" s="454"/>
      <c r="E97" s="455"/>
      <c r="M97" s="819"/>
      <c r="N97" s="818"/>
      <c r="O97" s="818"/>
      <c r="P97" s="818"/>
    </row>
    <row r="98" spans="4:16" s="438" customFormat="1" ht="12.75">
      <c r="D98" s="454"/>
      <c r="E98" s="455"/>
      <c r="M98" s="819"/>
      <c r="N98" s="818"/>
      <c r="O98" s="818"/>
      <c r="P98" s="818"/>
    </row>
    <row r="99" spans="4:16" s="438" customFormat="1" ht="12.75">
      <c r="D99" s="454"/>
      <c r="E99" s="455"/>
      <c r="M99" s="819"/>
      <c r="N99" s="818"/>
      <c r="O99" s="818"/>
      <c r="P99" s="818"/>
    </row>
    <row r="100" spans="4:16" s="438" customFormat="1" ht="12.75">
      <c r="D100" s="454"/>
      <c r="E100" s="455"/>
      <c r="M100" s="819"/>
      <c r="N100" s="818"/>
      <c r="O100" s="818"/>
      <c r="P100" s="818"/>
    </row>
    <row r="101" spans="4:16" s="438" customFormat="1" ht="12.75">
      <c r="D101" s="454"/>
      <c r="E101" s="455"/>
      <c r="M101" s="819"/>
      <c r="N101" s="818"/>
      <c r="O101" s="818"/>
      <c r="P101" s="818"/>
    </row>
    <row r="102" spans="4:16" s="438" customFormat="1" ht="12.75">
      <c r="D102" s="454"/>
      <c r="E102" s="455"/>
      <c r="M102" s="819"/>
      <c r="N102" s="818"/>
      <c r="O102" s="818"/>
      <c r="P102" s="818"/>
    </row>
    <row r="103" spans="4:16" s="438" customFormat="1" ht="12.75">
      <c r="D103" s="454"/>
      <c r="E103" s="455"/>
      <c r="M103" s="819"/>
      <c r="N103" s="818"/>
      <c r="O103" s="818"/>
      <c r="P103" s="818"/>
    </row>
    <row r="104" spans="4:16" s="438" customFormat="1" ht="12.75">
      <c r="D104" s="454"/>
      <c r="E104" s="455"/>
      <c r="M104" s="819"/>
      <c r="N104" s="818"/>
      <c r="O104" s="818"/>
      <c r="P104" s="818"/>
    </row>
    <row r="105" spans="4:16" s="438" customFormat="1" ht="12.75">
      <c r="D105" s="454"/>
      <c r="E105" s="455"/>
      <c r="M105" s="819"/>
      <c r="N105" s="818"/>
      <c r="O105" s="818"/>
      <c r="P105" s="818"/>
    </row>
    <row r="106" spans="4:16" s="438" customFormat="1" ht="12.75">
      <c r="D106" s="454"/>
      <c r="E106" s="455"/>
      <c r="M106" s="819"/>
      <c r="N106" s="818"/>
      <c r="O106" s="818"/>
      <c r="P106" s="818"/>
    </row>
    <row r="107" spans="4:16" s="438" customFormat="1" ht="12.75">
      <c r="D107" s="454"/>
      <c r="E107" s="455"/>
      <c r="M107" s="819"/>
      <c r="N107" s="818"/>
      <c r="O107" s="818"/>
      <c r="P107" s="818"/>
    </row>
    <row r="108" spans="4:16" s="438" customFormat="1" ht="12.75">
      <c r="D108" s="454"/>
      <c r="E108" s="455"/>
      <c r="M108" s="819"/>
      <c r="N108" s="818"/>
      <c r="O108" s="818"/>
      <c r="P108" s="818"/>
    </row>
    <row r="109" spans="4:16" s="438" customFormat="1" ht="12.75">
      <c r="D109" s="454"/>
      <c r="E109" s="455"/>
      <c r="M109" s="819"/>
      <c r="N109" s="818"/>
      <c r="O109" s="818"/>
      <c r="P109" s="818"/>
    </row>
    <row r="110" spans="4:16" s="438" customFormat="1" ht="12.75">
      <c r="D110" s="454"/>
      <c r="E110" s="455"/>
      <c r="M110" s="819"/>
      <c r="N110" s="818"/>
      <c r="O110" s="818"/>
      <c r="P110" s="818"/>
    </row>
    <row r="111" spans="4:16" s="438" customFormat="1" ht="12.75">
      <c r="D111" s="454"/>
      <c r="E111" s="455"/>
      <c r="M111" s="819"/>
      <c r="N111" s="818"/>
      <c r="O111" s="818"/>
      <c r="P111" s="818"/>
    </row>
    <row r="112" spans="4:16" s="438" customFormat="1" ht="12.75">
      <c r="D112" s="454"/>
      <c r="E112" s="455"/>
      <c r="M112" s="819"/>
      <c r="N112" s="818"/>
      <c r="O112" s="818"/>
      <c r="P112" s="818"/>
    </row>
    <row r="113" spans="4:16" s="438" customFormat="1" ht="12.75">
      <c r="D113" s="454"/>
      <c r="E113" s="455"/>
      <c r="M113" s="819"/>
      <c r="N113" s="818"/>
      <c r="O113" s="818"/>
      <c r="P113" s="818"/>
    </row>
    <row r="114" spans="4:16" s="438" customFormat="1" ht="12.75">
      <c r="D114" s="454"/>
      <c r="E114" s="455"/>
      <c r="M114" s="819"/>
      <c r="N114" s="818"/>
      <c r="O114" s="818"/>
      <c r="P114" s="818"/>
    </row>
    <row r="115" spans="4:16" s="438" customFormat="1" ht="12.75">
      <c r="D115" s="454"/>
      <c r="E115" s="455"/>
      <c r="M115" s="819"/>
      <c r="N115" s="818"/>
      <c r="O115" s="818"/>
      <c r="P115" s="818"/>
    </row>
    <row r="116" spans="4:16" s="438" customFormat="1" ht="12.75">
      <c r="D116" s="454"/>
      <c r="E116" s="455"/>
      <c r="M116" s="819"/>
      <c r="N116" s="818"/>
      <c r="O116" s="818"/>
      <c r="P116" s="818"/>
    </row>
    <row r="117" spans="4:16" s="438" customFormat="1" ht="12.75">
      <c r="D117" s="454"/>
      <c r="E117" s="455"/>
      <c r="M117" s="819"/>
      <c r="N117" s="818"/>
      <c r="O117" s="818"/>
      <c r="P117" s="818"/>
    </row>
    <row r="118" spans="4:16" s="438" customFormat="1" ht="12.75">
      <c r="D118" s="454"/>
      <c r="E118" s="455"/>
      <c r="M118" s="819"/>
      <c r="N118" s="818"/>
      <c r="O118" s="818"/>
      <c r="P118" s="818"/>
    </row>
    <row r="119" spans="4:16" s="438" customFormat="1" ht="12.75">
      <c r="D119" s="454"/>
      <c r="E119" s="455"/>
      <c r="M119" s="819"/>
      <c r="N119" s="818"/>
      <c r="O119" s="818"/>
      <c r="P119" s="818"/>
    </row>
    <row r="120" spans="4:16" s="438" customFormat="1" ht="12.75">
      <c r="D120" s="454"/>
      <c r="E120" s="455"/>
      <c r="M120" s="819"/>
      <c r="N120" s="818"/>
      <c r="O120" s="818"/>
      <c r="P120" s="818"/>
    </row>
    <row r="121" spans="4:16" s="438" customFormat="1" ht="12.75">
      <c r="D121" s="454"/>
      <c r="E121" s="455"/>
      <c r="M121" s="819"/>
      <c r="N121" s="818"/>
      <c r="O121" s="818"/>
      <c r="P121" s="818"/>
    </row>
    <row r="122" spans="4:16" s="438" customFormat="1" ht="12.75">
      <c r="D122" s="454"/>
      <c r="E122" s="455"/>
      <c r="M122" s="819"/>
      <c r="N122" s="818"/>
      <c r="O122" s="818"/>
      <c r="P122" s="818"/>
    </row>
    <row r="123" spans="4:16" s="438" customFormat="1" ht="12.75">
      <c r="D123" s="454"/>
      <c r="E123" s="455"/>
      <c r="M123" s="819"/>
      <c r="N123" s="818"/>
      <c r="O123" s="818"/>
      <c r="P123" s="818"/>
    </row>
    <row r="124" spans="4:16" s="438" customFormat="1" ht="12.75">
      <c r="D124" s="454"/>
      <c r="E124" s="455"/>
      <c r="M124" s="819"/>
      <c r="N124" s="818"/>
      <c r="O124" s="818"/>
      <c r="P124" s="818"/>
    </row>
    <row r="125" spans="4:16" s="438" customFormat="1" ht="12.75">
      <c r="D125" s="454"/>
      <c r="E125" s="455"/>
      <c r="M125" s="819"/>
      <c r="N125" s="818"/>
      <c r="O125" s="818"/>
      <c r="P125" s="818"/>
    </row>
    <row r="126" spans="4:16" s="438" customFormat="1" ht="12.75">
      <c r="D126" s="454"/>
      <c r="E126" s="455"/>
      <c r="M126" s="819"/>
      <c r="N126" s="818"/>
      <c r="O126" s="818"/>
      <c r="P126" s="818"/>
    </row>
    <row r="127" spans="4:16" s="438" customFormat="1" ht="12.75">
      <c r="D127" s="454"/>
      <c r="E127" s="455"/>
      <c r="M127" s="819"/>
      <c r="N127" s="818"/>
      <c r="O127" s="818"/>
      <c r="P127" s="818"/>
    </row>
    <row r="128" spans="4:16" s="438" customFormat="1" ht="12.75">
      <c r="D128" s="454"/>
      <c r="E128" s="455"/>
      <c r="M128" s="819"/>
      <c r="N128" s="818"/>
      <c r="O128" s="818"/>
      <c r="P128" s="818"/>
    </row>
    <row r="129" spans="4:16" s="438" customFormat="1" ht="12.75">
      <c r="D129" s="454"/>
      <c r="E129" s="455"/>
      <c r="M129" s="819"/>
      <c r="N129" s="818"/>
      <c r="O129" s="818"/>
      <c r="P129" s="818"/>
    </row>
    <row r="130" spans="4:16" s="438" customFormat="1" ht="12.75">
      <c r="D130" s="454"/>
      <c r="E130" s="455"/>
      <c r="M130" s="819"/>
      <c r="N130" s="818"/>
      <c r="O130" s="818"/>
      <c r="P130" s="818"/>
    </row>
    <row r="131" spans="4:16" s="438" customFormat="1" ht="12.75">
      <c r="D131" s="454"/>
      <c r="E131" s="455"/>
      <c r="M131" s="819"/>
      <c r="N131" s="818"/>
      <c r="O131" s="818"/>
      <c r="P131" s="818"/>
    </row>
    <row r="132" spans="4:16" s="438" customFormat="1" ht="12.75">
      <c r="D132" s="454"/>
      <c r="E132" s="455"/>
      <c r="M132" s="819"/>
      <c r="N132" s="818"/>
      <c r="O132" s="818"/>
      <c r="P132" s="818"/>
    </row>
    <row r="133" spans="4:16" s="438" customFormat="1" ht="12.75">
      <c r="D133" s="454"/>
      <c r="E133" s="455"/>
      <c r="M133" s="819"/>
      <c r="N133" s="818"/>
      <c r="O133" s="818"/>
      <c r="P133" s="818"/>
    </row>
    <row r="134" spans="4:16" s="438" customFormat="1" ht="12.75">
      <c r="D134" s="454"/>
      <c r="E134" s="455"/>
      <c r="M134" s="819"/>
      <c r="N134" s="818"/>
      <c r="O134" s="818"/>
      <c r="P134" s="818"/>
    </row>
    <row r="135" spans="4:16" s="438" customFormat="1" ht="12.75">
      <c r="D135" s="454"/>
      <c r="E135" s="455"/>
      <c r="M135" s="819"/>
      <c r="N135" s="818"/>
      <c r="O135" s="818"/>
      <c r="P135" s="818"/>
    </row>
    <row r="136" spans="4:16" s="438" customFormat="1" ht="12.75">
      <c r="D136" s="454"/>
      <c r="E136" s="455"/>
      <c r="M136" s="819"/>
      <c r="N136" s="818"/>
      <c r="O136" s="818"/>
      <c r="P136" s="818"/>
    </row>
    <row r="137" spans="4:16" s="438" customFormat="1" ht="12.75">
      <c r="D137" s="454"/>
      <c r="E137" s="455"/>
      <c r="M137" s="819"/>
      <c r="N137" s="818"/>
      <c r="O137" s="818"/>
      <c r="P137" s="818"/>
    </row>
    <row r="138" spans="4:16" s="438" customFormat="1" ht="12.75">
      <c r="D138" s="454"/>
      <c r="E138" s="455"/>
      <c r="M138" s="819"/>
      <c r="N138" s="818"/>
      <c r="O138" s="818"/>
      <c r="P138" s="818"/>
    </row>
    <row r="139" spans="4:16" s="438" customFormat="1" ht="12.75">
      <c r="D139" s="454"/>
      <c r="E139" s="455"/>
      <c r="M139" s="819"/>
      <c r="N139" s="818"/>
      <c r="O139" s="818"/>
      <c r="P139" s="818"/>
    </row>
    <row r="140" spans="4:16" s="438" customFormat="1" ht="12.75">
      <c r="D140" s="454"/>
      <c r="E140" s="455"/>
      <c r="M140" s="819"/>
      <c r="N140" s="818"/>
      <c r="O140" s="818"/>
      <c r="P140" s="818"/>
    </row>
    <row r="141" spans="4:16" s="438" customFormat="1" ht="12.75">
      <c r="D141" s="454"/>
      <c r="E141" s="455"/>
      <c r="M141" s="819"/>
      <c r="N141" s="818"/>
      <c r="O141" s="818"/>
      <c r="P141" s="818"/>
    </row>
    <row r="142" spans="4:16" s="438" customFormat="1" ht="12.75">
      <c r="D142" s="454"/>
      <c r="E142" s="455"/>
      <c r="M142" s="819"/>
      <c r="N142" s="818"/>
      <c r="O142" s="818"/>
      <c r="P142" s="818"/>
    </row>
    <row r="143" spans="4:16" s="438" customFormat="1" ht="12.75">
      <c r="D143" s="454"/>
      <c r="E143" s="455"/>
      <c r="M143" s="819"/>
      <c r="N143" s="818"/>
      <c r="O143" s="818"/>
      <c r="P143" s="818"/>
    </row>
    <row r="144" spans="4:16" s="438" customFormat="1" ht="12.75">
      <c r="D144" s="454"/>
      <c r="E144" s="455"/>
      <c r="M144" s="819"/>
      <c r="N144" s="818"/>
      <c r="O144" s="818"/>
      <c r="P144" s="818"/>
    </row>
    <row r="145" spans="4:16" s="438" customFormat="1" ht="12.75">
      <c r="D145" s="454"/>
      <c r="E145" s="455"/>
      <c r="M145" s="819"/>
      <c r="N145" s="818"/>
      <c r="O145" s="818"/>
      <c r="P145" s="818"/>
    </row>
    <row r="146" spans="4:16" s="438" customFormat="1" ht="12.75">
      <c r="D146" s="454"/>
      <c r="E146" s="455"/>
      <c r="M146" s="819"/>
      <c r="N146" s="818"/>
      <c r="O146" s="818"/>
      <c r="P146" s="818"/>
    </row>
    <row r="147" spans="4:16" s="438" customFormat="1" ht="12.75">
      <c r="D147" s="454"/>
      <c r="E147" s="455"/>
      <c r="M147" s="819"/>
      <c r="N147" s="818"/>
      <c r="O147" s="818"/>
      <c r="P147" s="818"/>
    </row>
    <row r="148" spans="4:16" s="438" customFormat="1" ht="12.75">
      <c r="D148" s="454"/>
      <c r="E148" s="455"/>
      <c r="M148" s="819"/>
      <c r="N148" s="818"/>
      <c r="O148" s="818"/>
      <c r="P148" s="818"/>
    </row>
    <row r="149" spans="4:16" s="438" customFormat="1" ht="12.75">
      <c r="D149" s="454"/>
      <c r="E149" s="455"/>
      <c r="M149" s="819"/>
      <c r="N149" s="818"/>
      <c r="O149" s="818"/>
      <c r="P149" s="818"/>
    </row>
    <row r="150" spans="4:16" s="438" customFormat="1" ht="12.75">
      <c r="D150" s="454"/>
      <c r="E150" s="455"/>
      <c r="M150" s="819"/>
      <c r="N150" s="818"/>
      <c r="O150" s="818"/>
      <c r="P150" s="818"/>
    </row>
    <row r="151" spans="4:16" s="438" customFormat="1" ht="12.75">
      <c r="D151" s="454"/>
      <c r="E151" s="455"/>
      <c r="M151" s="819"/>
      <c r="N151" s="818"/>
      <c r="O151" s="818"/>
      <c r="P151" s="818"/>
    </row>
    <row r="152" spans="4:16" s="438" customFormat="1" ht="12.75">
      <c r="D152" s="454"/>
      <c r="E152" s="455"/>
      <c r="M152" s="819"/>
      <c r="N152" s="818"/>
      <c r="O152" s="818"/>
      <c r="P152" s="818"/>
    </row>
    <row r="153" spans="4:16" s="438" customFormat="1" ht="12.75">
      <c r="D153" s="454"/>
      <c r="E153" s="455"/>
      <c r="M153" s="819"/>
      <c r="N153" s="818"/>
      <c r="O153" s="818"/>
      <c r="P153" s="818"/>
    </row>
    <row r="154" spans="4:16" s="438" customFormat="1" ht="12.75">
      <c r="D154" s="454"/>
      <c r="E154" s="455"/>
      <c r="M154" s="819"/>
      <c r="N154" s="818"/>
      <c r="O154" s="818"/>
      <c r="P154" s="818"/>
    </row>
    <row r="155" spans="4:16" s="438" customFormat="1" ht="12.75">
      <c r="D155" s="454"/>
      <c r="E155" s="455"/>
      <c r="M155" s="819"/>
      <c r="N155" s="818"/>
      <c r="O155" s="818"/>
      <c r="P155" s="818"/>
    </row>
    <row r="156" spans="4:16" s="438" customFormat="1" ht="12.75">
      <c r="D156" s="454"/>
      <c r="E156" s="455"/>
      <c r="M156" s="819"/>
      <c r="N156" s="818"/>
      <c r="O156" s="818"/>
      <c r="P156" s="818"/>
    </row>
    <row r="157" spans="4:16" s="438" customFormat="1" ht="12.75">
      <c r="D157" s="454"/>
      <c r="E157" s="455"/>
      <c r="M157" s="819"/>
      <c r="N157" s="818"/>
      <c r="O157" s="818"/>
      <c r="P157" s="818"/>
    </row>
    <row r="158" spans="4:16" s="438" customFormat="1" ht="12.75">
      <c r="D158" s="454"/>
      <c r="E158" s="455"/>
      <c r="M158" s="819"/>
      <c r="N158" s="818"/>
      <c r="O158" s="818"/>
      <c r="P158" s="818"/>
    </row>
    <row r="159" spans="4:16" s="438" customFormat="1" ht="12.75">
      <c r="D159" s="454"/>
      <c r="E159" s="455"/>
      <c r="M159" s="819"/>
      <c r="N159" s="818"/>
      <c r="O159" s="818"/>
      <c r="P159" s="818"/>
    </row>
    <row r="160" spans="4:16" s="438" customFormat="1" ht="12.75">
      <c r="D160" s="454"/>
      <c r="E160" s="455"/>
      <c r="M160" s="819"/>
      <c r="N160" s="818"/>
      <c r="O160" s="818"/>
      <c r="P160" s="818"/>
    </row>
    <row r="161" spans="4:16" s="438" customFormat="1" ht="12.75">
      <c r="D161" s="454"/>
      <c r="E161" s="455"/>
      <c r="M161" s="819"/>
      <c r="N161" s="818"/>
      <c r="O161" s="818"/>
      <c r="P161" s="818"/>
    </row>
    <row r="162" spans="4:16" s="438" customFormat="1" ht="12.75">
      <c r="D162" s="454"/>
      <c r="E162" s="455"/>
      <c r="M162" s="819"/>
      <c r="N162" s="818"/>
      <c r="O162" s="818"/>
      <c r="P162" s="818"/>
    </row>
    <row r="163" spans="4:16" s="438" customFormat="1" ht="12.75">
      <c r="D163" s="454"/>
      <c r="E163" s="455"/>
      <c r="M163" s="819"/>
      <c r="N163" s="818"/>
      <c r="O163" s="818"/>
      <c r="P163" s="818"/>
    </row>
    <row r="164" spans="4:16" s="438" customFormat="1" ht="12.75">
      <c r="D164" s="454"/>
      <c r="E164" s="455"/>
      <c r="M164" s="819"/>
      <c r="N164" s="818"/>
      <c r="O164" s="818"/>
      <c r="P164" s="818"/>
    </row>
    <row r="165" spans="4:16" s="438" customFormat="1" ht="12.75">
      <c r="D165" s="454"/>
      <c r="E165" s="455"/>
      <c r="M165" s="819"/>
      <c r="N165" s="818"/>
      <c r="O165" s="818"/>
      <c r="P165" s="818"/>
    </row>
    <row r="166" spans="4:16" s="438" customFormat="1" ht="12.75">
      <c r="D166" s="454"/>
      <c r="E166" s="455"/>
      <c r="M166" s="819"/>
      <c r="N166" s="818"/>
      <c r="O166" s="818"/>
      <c r="P166" s="818"/>
    </row>
    <row r="167" spans="4:16" s="438" customFormat="1" ht="12.75">
      <c r="D167" s="454"/>
      <c r="E167" s="455"/>
      <c r="M167" s="819"/>
      <c r="N167" s="818"/>
      <c r="O167" s="818"/>
      <c r="P167" s="818"/>
    </row>
    <row r="168" spans="4:16" s="438" customFormat="1" ht="12.75">
      <c r="D168" s="454"/>
      <c r="E168" s="455"/>
      <c r="M168" s="819"/>
      <c r="N168" s="818"/>
      <c r="O168" s="818"/>
      <c r="P168" s="818"/>
    </row>
    <row r="169" spans="4:16" s="438" customFormat="1" ht="12.75">
      <c r="D169" s="454"/>
      <c r="E169" s="455"/>
      <c r="M169" s="819"/>
      <c r="N169" s="818"/>
      <c r="O169" s="818"/>
      <c r="P169" s="818"/>
    </row>
    <row r="170" spans="4:16" s="438" customFormat="1" ht="12.75">
      <c r="D170" s="454"/>
      <c r="E170" s="455"/>
      <c r="M170" s="819"/>
      <c r="N170" s="818"/>
      <c r="O170" s="818"/>
      <c r="P170" s="818"/>
    </row>
    <row r="171" spans="4:16" s="438" customFormat="1" ht="12.75">
      <c r="D171" s="454"/>
      <c r="E171" s="455"/>
      <c r="M171" s="819"/>
      <c r="N171" s="818"/>
      <c r="O171" s="818"/>
      <c r="P171" s="818"/>
    </row>
    <row r="172" spans="4:16" s="438" customFormat="1" ht="12.75">
      <c r="D172" s="454"/>
      <c r="E172" s="455"/>
      <c r="M172" s="819"/>
      <c r="N172" s="818"/>
      <c r="O172" s="818"/>
      <c r="P172" s="818"/>
    </row>
    <row r="173" spans="4:16" s="438" customFormat="1" ht="12.75">
      <c r="D173" s="454"/>
      <c r="E173" s="455"/>
      <c r="M173" s="819"/>
      <c r="N173" s="818"/>
      <c r="O173" s="818"/>
      <c r="P173" s="818"/>
    </row>
    <row r="174" spans="4:16" s="438" customFormat="1" ht="12.75">
      <c r="D174" s="454"/>
      <c r="E174" s="455"/>
      <c r="M174" s="819"/>
      <c r="N174" s="818"/>
      <c r="O174" s="818"/>
      <c r="P174" s="818"/>
    </row>
    <row r="175" spans="4:16" s="438" customFormat="1" ht="12.75">
      <c r="D175" s="454"/>
      <c r="E175" s="455"/>
      <c r="M175" s="819"/>
      <c r="N175" s="818"/>
      <c r="O175" s="818"/>
      <c r="P175" s="818"/>
    </row>
    <row r="176" spans="4:16" s="438" customFormat="1" ht="12.75">
      <c r="D176" s="454"/>
      <c r="E176" s="455"/>
      <c r="M176" s="819"/>
      <c r="N176" s="818"/>
      <c r="O176" s="818"/>
      <c r="P176" s="818"/>
    </row>
    <row r="177" spans="4:16" s="438" customFormat="1" ht="12.75">
      <c r="D177" s="454"/>
      <c r="E177" s="455"/>
      <c r="M177" s="819"/>
      <c r="N177" s="818"/>
      <c r="O177" s="818"/>
      <c r="P177" s="818"/>
    </row>
    <row r="178" spans="4:16" s="438" customFormat="1" ht="12.75">
      <c r="D178" s="454"/>
      <c r="E178" s="455"/>
      <c r="M178" s="819"/>
      <c r="N178" s="818"/>
      <c r="O178" s="818"/>
      <c r="P178" s="818"/>
    </row>
    <row r="179" spans="4:16" s="438" customFormat="1" ht="12.75">
      <c r="D179" s="454"/>
      <c r="E179" s="455"/>
      <c r="M179" s="819"/>
      <c r="N179" s="818"/>
      <c r="O179" s="818"/>
      <c r="P179" s="818"/>
    </row>
    <row r="180" spans="4:16" s="438" customFormat="1" ht="12.75">
      <c r="D180" s="454"/>
      <c r="E180" s="455"/>
      <c r="M180" s="819"/>
      <c r="N180" s="818"/>
      <c r="O180" s="818"/>
      <c r="P180" s="818"/>
    </row>
    <row r="181" spans="4:16" s="438" customFormat="1" ht="12.75">
      <c r="D181" s="454"/>
      <c r="E181" s="455"/>
      <c r="M181" s="819"/>
      <c r="N181" s="818"/>
      <c r="O181" s="818"/>
      <c r="P181" s="818"/>
    </row>
    <row r="182" spans="4:16" s="438" customFormat="1" ht="12.75">
      <c r="D182" s="454"/>
      <c r="E182" s="455"/>
      <c r="M182" s="819"/>
      <c r="N182" s="818"/>
      <c r="O182" s="818"/>
      <c r="P182" s="818"/>
    </row>
    <row r="183" spans="4:16" s="438" customFormat="1" ht="12.75">
      <c r="D183" s="454"/>
      <c r="E183" s="455"/>
      <c r="M183" s="819"/>
      <c r="N183" s="818"/>
      <c r="O183" s="818"/>
      <c r="P183" s="818"/>
    </row>
    <row r="184" spans="4:16" s="438" customFormat="1" ht="12.75">
      <c r="D184" s="454"/>
      <c r="E184" s="455"/>
      <c r="M184" s="819"/>
      <c r="N184" s="818"/>
      <c r="O184" s="818"/>
      <c r="P184" s="818"/>
    </row>
    <row r="185" spans="4:16" s="438" customFormat="1" ht="12.75">
      <c r="D185" s="454"/>
      <c r="E185" s="455"/>
      <c r="M185" s="819"/>
      <c r="N185" s="818"/>
      <c r="O185" s="818"/>
      <c r="P185" s="818"/>
    </row>
    <row r="186" spans="4:16" s="438" customFormat="1" ht="12.75">
      <c r="D186" s="454"/>
      <c r="E186" s="455"/>
      <c r="M186" s="819"/>
      <c r="N186" s="818"/>
      <c r="O186" s="818"/>
      <c r="P186" s="818"/>
    </row>
    <row r="187" spans="4:16" s="438" customFormat="1" ht="12.75">
      <c r="D187" s="454"/>
      <c r="E187" s="455"/>
      <c r="M187" s="819"/>
      <c r="N187" s="818"/>
      <c r="O187" s="818"/>
      <c r="P187" s="818"/>
    </row>
    <row r="188" spans="4:16" s="438" customFormat="1" ht="12.75">
      <c r="D188" s="454"/>
      <c r="E188" s="455"/>
      <c r="M188" s="819"/>
      <c r="N188" s="818"/>
      <c r="O188" s="818"/>
      <c r="P188" s="818"/>
    </row>
    <row r="189" spans="4:16" s="438" customFormat="1" ht="12.75">
      <c r="D189" s="454"/>
      <c r="E189" s="455"/>
      <c r="M189" s="819"/>
      <c r="N189" s="818"/>
      <c r="O189" s="818"/>
      <c r="P189" s="818"/>
    </row>
    <row r="190" spans="4:16" s="438" customFormat="1" ht="12.75">
      <c r="D190" s="454"/>
      <c r="E190" s="455"/>
      <c r="M190" s="819"/>
      <c r="N190" s="818"/>
      <c r="O190" s="818"/>
      <c r="P190" s="818"/>
    </row>
    <row r="191" spans="4:16" s="438" customFormat="1" ht="12.75">
      <c r="D191" s="454"/>
      <c r="E191" s="455"/>
      <c r="M191" s="819"/>
      <c r="N191" s="818"/>
      <c r="O191" s="818"/>
      <c r="P191" s="818"/>
    </row>
    <row r="192" spans="4:16" s="438" customFormat="1" ht="12.75">
      <c r="D192" s="454"/>
      <c r="E192" s="455"/>
      <c r="M192" s="819"/>
      <c r="N192" s="818"/>
      <c r="O192" s="818"/>
      <c r="P192" s="818"/>
    </row>
    <row r="193" spans="4:16" s="438" customFormat="1" ht="12.75">
      <c r="D193" s="454"/>
      <c r="E193" s="455"/>
      <c r="M193" s="819"/>
      <c r="N193" s="818"/>
      <c r="O193" s="818"/>
      <c r="P193" s="818"/>
    </row>
    <row r="194" spans="4:16" s="438" customFormat="1" ht="12.75">
      <c r="D194" s="454"/>
      <c r="E194" s="455"/>
      <c r="M194" s="819"/>
      <c r="N194" s="818"/>
      <c r="O194" s="818"/>
      <c r="P194" s="818"/>
    </row>
    <row r="195" spans="4:16" s="438" customFormat="1" ht="12.75">
      <c r="D195" s="454"/>
      <c r="E195" s="455"/>
      <c r="M195" s="819"/>
      <c r="N195" s="818"/>
      <c r="O195" s="818"/>
      <c r="P195" s="818"/>
    </row>
    <row r="196" spans="4:16" s="438" customFormat="1" ht="12.75">
      <c r="D196" s="454"/>
      <c r="E196" s="455"/>
      <c r="M196" s="819"/>
      <c r="N196" s="818"/>
      <c r="O196" s="818"/>
      <c r="P196" s="818"/>
    </row>
    <row r="197" spans="4:16" s="438" customFormat="1" ht="12.75">
      <c r="D197" s="454"/>
      <c r="E197" s="455"/>
      <c r="M197" s="819"/>
      <c r="N197" s="818"/>
      <c r="O197" s="818"/>
      <c r="P197" s="818"/>
    </row>
    <row r="198" spans="4:16" s="438" customFormat="1" ht="12.75">
      <c r="D198" s="454"/>
      <c r="E198" s="455"/>
      <c r="M198" s="819"/>
      <c r="N198" s="818"/>
      <c r="O198" s="818"/>
      <c r="P198" s="818"/>
    </row>
    <row r="199" spans="4:16" s="438" customFormat="1" ht="12.75">
      <c r="D199" s="454"/>
      <c r="E199" s="455"/>
      <c r="M199" s="819"/>
      <c r="N199" s="818"/>
      <c r="O199" s="818"/>
      <c r="P199" s="818"/>
    </row>
    <row r="200" spans="4:16" s="438" customFormat="1" ht="12.75">
      <c r="D200" s="454"/>
      <c r="E200" s="455"/>
      <c r="M200" s="819"/>
      <c r="N200" s="818"/>
      <c r="O200" s="818"/>
      <c r="P200" s="818"/>
    </row>
    <row r="201" spans="4:16" s="438" customFormat="1" ht="12.75">
      <c r="D201" s="454"/>
      <c r="E201" s="455"/>
      <c r="M201" s="819"/>
      <c r="N201" s="818"/>
      <c r="O201" s="818"/>
      <c r="P201" s="818"/>
    </row>
    <row r="202" spans="4:16" s="438" customFormat="1" ht="12.75">
      <c r="D202" s="454"/>
      <c r="E202" s="455"/>
      <c r="M202" s="819"/>
      <c r="N202" s="818"/>
      <c r="O202" s="818"/>
      <c r="P202" s="818"/>
    </row>
    <row r="203" spans="4:16" s="438" customFormat="1" ht="12.75">
      <c r="D203" s="454"/>
      <c r="E203" s="455"/>
      <c r="M203" s="819"/>
      <c r="N203" s="818"/>
      <c r="O203" s="818"/>
      <c r="P203" s="818"/>
    </row>
    <row r="204" spans="4:16" s="438" customFormat="1" ht="12.75">
      <c r="D204" s="454"/>
      <c r="E204" s="455"/>
      <c r="M204" s="819"/>
      <c r="N204" s="818"/>
      <c r="O204" s="818"/>
      <c r="P204" s="818"/>
    </row>
    <row r="205" spans="4:16" s="438" customFormat="1" ht="12.75">
      <c r="D205" s="454"/>
      <c r="E205" s="455"/>
      <c r="M205" s="819"/>
      <c r="N205" s="818"/>
      <c r="O205" s="818"/>
      <c r="P205" s="818"/>
    </row>
    <row r="206" spans="4:16" s="438" customFormat="1" ht="12.75">
      <c r="D206" s="454"/>
      <c r="E206" s="455"/>
      <c r="M206" s="819"/>
      <c r="N206" s="818"/>
      <c r="O206" s="818"/>
      <c r="P206" s="818"/>
    </row>
    <row r="207" spans="4:16" s="438" customFormat="1" ht="12.75">
      <c r="D207" s="454"/>
      <c r="E207" s="455"/>
      <c r="M207" s="819"/>
      <c r="N207" s="818"/>
      <c r="O207" s="818"/>
      <c r="P207" s="818"/>
    </row>
    <row r="208" spans="4:16" s="438" customFormat="1" ht="12.75">
      <c r="D208" s="454"/>
      <c r="E208" s="455"/>
      <c r="M208" s="819"/>
      <c r="N208" s="818"/>
      <c r="O208" s="818"/>
      <c r="P208" s="818"/>
    </row>
    <row r="209" spans="4:16" s="438" customFormat="1" ht="12.75">
      <c r="D209" s="454"/>
      <c r="E209" s="455"/>
      <c r="M209" s="819"/>
      <c r="N209" s="818"/>
      <c r="O209" s="818"/>
      <c r="P209" s="818"/>
    </row>
    <row r="210" spans="4:16" s="438" customFormat="1" ht="12.75">
      <c r="D210" s="454"/>
      <c r="E210" s="455"/>
      <c r="M210" s="819"/>
      <c r="N210" s="818"/>
      <c r="O210" s="818"/>
      <c r="P210" s="818"/>
    </row>
    <row r="211" spans="4:16" s="438" customFormat="1" ht="12.75">
      <c r="D211" s="454"/>
      <c r="E211" s="455"/>
      <c r="M211" s="819"/>
      <c r="N211" s="818"/>
      <c r="O211" s="818"/>
      <c r="P211" s="818"/>
    </row>
    <row r="212" spans="4:16" s="438" customFormat="1" ht="12.75">
      <c r="D212" s="454"/>
      <c r="E212" s="455"/>
      <c r="M212" s="819"/>
      <c r="N212" s="818"/>
      <c r="O212" s="818"/>
      <c r="P212" s="818"/>
    </row>
    <row r="213" spans="4:16" s="438" customFormat="1" ht="12.75">
      <c r="D213" s="454"/>
      <c r="E213" s="455"/>
      <c r="M213" s="819"/>
      <c r="N213" s="818"/>
      <c r="O213" s="818"/>
      <c r="P213" s="818"/>
    </row>
    <row r="214" spans="4:16" s="438" customFormat="1" ht="12.75">
      <c r="D214" s="454"/>
      <c r="E214" s="455"/>
      <c r="M214" s="819"/>
      <c r="N214" s="818"/>
      <c r="O214" s="818"/>
      <c r="P214" s="818"/>
    </row>
    <row r="215" spans="4:16" s="438" customFormat="1" ht="12.75">
      <c r="D215" s="454"/>
      <c r="E215" s="455"/>
      <c r="M215" s="819"/>
      <c r="N215" s="818"/>
      <c r="O215" s="818"/>
      <c r="P215" s="818"/>
    </row>
    <row r="216" spans="4:16" s="438" customFormat="1" ht="12.75">
      <c r="D216" s="454"/>
      <c r="E216" s="455"/>
      <c r="M216" s="819"/>
      <c r="N216" s="818"/>
      <c r="O216" s="818"/>
      <c r="P216" s="818"/>
    </row>
    <row r="217" spans="4:16" s="438" customFormat="1" ht="12.75">
      <c r="D217" s="454"/>
      <c r="E217" s="455"/>
      <c r="M217" s="819"/>
      <c r="N217" s="818"/>
      <c r="O217" s="818"/>
      <c r="P217" s="818"/>
    </row>
    <row r="218" spans="4:16" s="438" customFormat="1" ht="12.75">
      <c r="D218" s="454"/>
      <c r="E218" s="455"/>
      <c r="M218" s="819"/>
      <c r="N218" s="818"/>
      <c r="O218" s="818"/>
      <c r="P218" s="818"/>
    </row>
    <row r="219" spans="4:16" s="438" customFormat="1" ht="12.75">
      <c r="D219" s="454"/>
      <c r="E219" s="455"/>
      <c r="M219" s="819"/>
      <c r="N219" s="818"/>
      <c r="O219" s="818"/>
      <c r="P219" s="818"/>
    </row>
    <row r="220" spans="4:16" s="438" customFormat="1" ht="12.75">
      <c r="D220" s="454"/>
      <c r="E220" s="455"/>
      <c r="M220" s="819"/>
      <c r="N220" s="818"/>
      <c r="O220" s="818"/>
      <c r="P220" s="818"/>
    </row>
    <row r="221" spans="4:16" s="438" customFormat="1" ht="12.75">
      <c r="D221" s="454"/>
      <c r="E221" s="455"/>
      <c r="M221" s="819"/>
      <c r="N221" s="818"/>
      <c r="O221" s="818"/>
      <c r="P221" s="818"/>
    </row>
    <row r="222" spans="4:16" s="438" customFormat="1" ht="12.75">
      <c r="D222" s="454"/>
      <c r="E222" s="455"/>
      <c r="M222" s="819"/>
      <c r="N222" s="818"/>
      <c r="O222" s="818"/>
      <c r="P222" s="818"/>
    </row>
    <row r="223" spans="4:16" s="438" customFormat="1" ht="12.75">
      <c r="D223" s="454"/>
      <c r="E223" s="455"/>
      <c r="M223" s="819"/>
      <c r="N223" s="818"/>
      <c r="O223" s="818"/>
      <c r="P223" s="818"/>
    </row>
    <row r="224" spans="4:16" s="438" customFormat="1" ht="12.75">
      <c r="D224" s="454"/>
      <c r="E224" s="455"/>
      <c r="M224" s="819"/>
      <c r="N224" s="818"/>
      <c r="O224" s="818"/>
      <c r="P224" s="818"/>
    </row>
    <row r="225" spans="4:16" s="438" customFormat="1" ht="12.75">
      <c r="D225" s="454"/>
      <c r="E225" s="455"/>
      <c r="M225" s="819"/>
      <c r="N225" s="818"/>
      <c r="O225" s="818"/>
      <c r="P225" s="818"/>
    </row>
    <row r="226" spans="4:16" s="438" customFormat="1" ht="12.75">
      <c r="D226" s="454"/>
      <c r="E226" s="455"/>
      <c r="M226" s="819"/>
      <c r="N226" s="818"/>
      <c r="O226" s="818"/>
      <c r="P226" s="818"/>
    </row>
    <row r="227" spans="4:16" s="438" customFormat="1" ht="12.75">
      <c r="D227" s="454"/>
      <c r="E227" s="455"/>
      <c r="M227" s="819"/>
      <c r="N227" s="818"/>
      <c r="O227" s="818"/>
      <c r="P227" s="818"/>
    </row>
    <row r="228" spans="4:16" s="438" customFormat="1" ht="12.75">
      <c r="D228" s="454"/>
      <c r="E228" s="455"/>
      <c r="M228" s="819"/>
      <c r="N228" s="818"/>
      <c r="O228" s="818"/>
      <c r="P228" s="818"/>
    </row>
    <row r="229" spans="4:16" s="438" customFormat="1" ht="12.75">
      <c r="D229" s="454"/>
      <c r="E229" s="455"/>
      <c r="M229" s="819"/>
      <c r="N229" s="818"/>
      <c r="O229" s="818"/>
      <c r="P229" s="818"/>
    </row>
    <row r="230" spans="4:16" s="438" customFormat="1" ht="12.75">
      <c r="D230" s="454"/>
      <c r="E230" s="455"/>
      <c r="M230" s="819"/>
      <c r="N230" s="818"/>
      <c r="O230" s="818"/>
      <c r="P230" s="818"/>
    </row>
    <row r="231" spans="4:16" s="438" customFormat="1" ht="12.75">
      <c r="D231" s="454"/>
      <c r="E231" s="455"/>
      <c r="M231" s="819"/>
      <c r="N231" s="818"/>
      <c r="O231" s="818"/>
      <c r="P231" s="818"/>
    </row>
    <row r="232" spans="4:16" s="438" customFormat="1" ht="12.75">
      <c r="D232" s="454"/>
      <c r="E232" s="455"/>
      <c r="M232" s="819"/>
      <c r="N232" s="818"/>
      <c r="O232" s="818"/>
      <c r="P232" s="818"/>
    </row>
    <row r="233" spans="4:16" s="438" customFormat="1" ht="12.75">
      <c r="D233" s="454"/>
      <c r="E233" s="455"/>
      <c r="M233" s="819"/>
      <c r="N233" s="818"/>
      <c r="O233" s="818"/>
      <c r="P233" s="818"/>
    </row>
    <row r="234" spans="4:16" s="438" customFormat="1" ht="12.75">
      <c r="D234" s="454"/>
      <c r="E234" s="455"/>
      <c r="M234" s="819"/>
      <c r="N234" s="818"/>
      <c r="O234" s="818"/>
      <c r="P234" s="818"/>
    </row>
    <row r="235" spans="4:16" s="438" customFormat="1" ht="12.75">
      <c r="D235" s="454"/>
      <c r="E235" s="455"/>
      <c r="M235" s="819"/>
      <c r="N235" s="818"/>
      <c r="O235" s="818"/>
      <c r="P235" s="818"/>
    </row>
    <row r="236" spans="4:16" s="438" customFormat="1" ht="12.75">
      <c r="D236" s="454"/>
      <c r="E236" s="455"/>
      <c r="M236" s="819"/>
      <c r="N236" s="818"/>
      <c r="O236" s="818"/>
      <c r="P236" s="818"/>
    </row>
    <row r="237" spans="4:16" s="438" customFormat="1" ht="12.75">
      <c r="D237" s="454"/>
      <c r="E237" s="455"/>
      <c r="M237" s="819"/>
      <c r="N237" s="818"/>
      <c r="O237" s="818"/>
      <c r="P237" s="818"/>
    </row>
    <row r="238" spans="4:16" s="438" customFormat="1" ht="12.75">
      <c r="D238" s="454"/>
      <c r="E238" s="455"/>
      <c r="M238" s="819"/>
      <c r="N238" s="818"/>
      <c r="O238" s="818"/>
      <c r="P238" s="818"/>
    </row>
    <row r="239" spans="4:16" s="438" customFormat="1" ht="12.75">
      <c r="D239" s="454"/>
      <c r="E239" s="455"/>
      <c r="M239" s="819"/>
      <c r="N239" s="818"/>
      <c r="O239" s="818"/>
      <c r="P239" s="818"/>
    </row>
    <row r="240" spans="4:16" s="438" customFormat="1" ht="12.75">
      <c r="D240" s="454"/>
      <c r="E240" s="455"/>
      <c r="M240" s="819"/>
      <c r="N240" s="818"/>
      <c r="O240" s="818"/>
      <c r="P240" s="818"/>
    </row>
    <row r="241" spans="4:16" s="438" customFormat="1" ht="12.75">
      <c r="D241" s="454"/>
      <c r="E241" s="455"/>
      <c r="M241" s="819"/>
      <c r="N241" s="818"/>
      <c r="O241" s="818"/>
      <c r="P241" s="818"/>
    </row>
    <row r="242" spans="4:16" s="438" customFormat="1" ht="12.75">
      <c r="D242" s="454"/>
      <c r="E242" s="455"/>
      <c r="M242" s="819"/>
      <c r="N242" s="818"/>
      <c r="O242" s="818"/>
      <c r="P242" s="818"/>
    </row>
    <row r="243" spans="4:16" s="438" customFormat="1" ht="12.75">
      <c r="D243" s="454"/>
      <c r="E243" s="455"/>
      <c r="M243" s="819"/>
      <c r="N243" s="818"/>
      <c r="O243" s="818"/>
      <c r="P243" s="818"/>
    </row>
    <row r="244" spans="4:16" s="438" customFormat="1" ht="12.75">
      <c r="D244" s="454"/>
      <c r="E244" s="455"/>
      <c r="M244" s="819"/>
      <c r="N244" s="818"/>
      <c r="O244" s="818"/>
      <c r="P244" s="818"/>
    </row>
    <row r="245" spans="4:16" s="438" customFormat="1" ht="12.75">
      <c r="D245" s="454"/>
      <c r="E245" s="455"/>
      <c r="M245" s="819"/>
      <c r="N245" s="818"/>
      <c r="O245" s="818"/>
      <c r="P245" s="818"/>
    </row>
    <row r="246" spans="4:16" s="438" customFormat="1" ht="12.75">
      <c r="D246" s="454"/>
      <c r="E246" s="455"/>
      <c r="M246" s="819"/>
      <c r="N246" s="818"/>
      <c r="O246" s="818"/>
      <c r="P246" s="818"/>
    </row>
    <row r="247" spans="4:16" s="438" customFormat="1" ht="12.75">
      <c r="D247" s="454"/>
      <c r="E247" s="455"/>
      <c r="M247" s="819"/>
      <c r="N247" s="818"/>
      <c r="O247" s="818"/>
      <c r="P247" s="818"/>
    </row>
    <row r="248" spans="4:16" s="438" customFormat="1" ht="12.75">
      <c r="D248" s="454"/>
      <c r="E248" s="455"/>
      <c r="M248" s="819"/>
      <c r="N248" s="818"/>
      <c r="O248" s="818"/>
      <c r="P248" s="818"/>
    </row>
    <row r="249" spans="4:16" s="438" customFormat="1" ht="12.75">
      <c r="D249" s="454"/>
      <c r="E249" s="455"/>
      <c r="M249" s="819"/>
      <c r="N249" s="818"/>
      <c r="O249" s="818"/>
      <c r="P249" s="818"/>
    </row>
    <row r="250" spans="4:16" s="438" customFormat="1" ht="12.75">
      <c r="D250" s="454"/>
      <c r="E250" s="455"/>
      <c r="M250" s="819"/>
      <c r="N250" s="818"/>
      <c r="O250" s="818"/>
      <c r="P250" s="818"/>
    </row>
    <row r="251" spans="4:16" s="438" customFormat="1" ht="12.75">
      <c r="D251" s="454"/>
      <c r="E251" s="455"/>
      <c r="M251" s="819"/>
      <c r="N251" s="818"/>
      <c r="O251" s="818"/>
      <c r="P251" s="818"/>
    </row>
    <row r="252" spans="4:16" s="438" customFormat="1" ht="12.75">
      <c r="D252" s="454"/>
      <c r="E252" s="455"/>
      <c r="M252" s="819"/>
      <c r="N252" s="818"/>
      <c r="O252" s="818"/>
      <c r="P252" s="818"/>
    </row>
    <row r="253" spans="4:16" s="438" customFormat="1" ht="12.75">
      <c r="D253" s="454"/>
      <c r="E253" s="455"/>
      <c r="M253" s="819"/>
      <c r="N253" s="818"/>
      <c r="O253" s="818"/>
      <c r="P253" s="818"/>
    </row>
    <row r="254" spans="4:16" s="438" customFormat="1" ht="12.75">
      <c r="D254" s="454"/>
      <c r="E254" s="455"/>
      <c r="M254" s="819"/>
      <c r="N254" s="818"/>
      <c r="O254" s="818"/>
      <c r="P254" s="818"/>
    </row>
    <row r="255" spans="4:16" s="438" customFormat="1" ht="12.75">
      <c r="D255" s="454"/>
      <c r="E255" s="455"/>
      <c r="M255" s="819"/>
      <c r="N255" s="818"/>
      <c r="O255" s="818"/>
      <c r="P255" s="818"/>
    </row>
    <row r="256" spans="4:16" s="438" customFormat="1" ht="12.75">
      <c r="D256" s="454"/>
      <c r="E256" s="455"/>
      <c r="M256" s="819"/>
      <c r="N256" s="818"/>
      <c r="O256" s="818"/>
      <c r="P256" s="818"/>
    </row>
    <row r="257" spans="4:16" s="438" customFormat="1" ht="12.75">
      <c r="D257" s="454"/>
      <c r="E257" s="455"/>
      <c r="M257" s="819"/>
      <c r="N257" s="818"/>
      <c r="O257" s="818"/>
      <c r="P257" s="818"/>
    </row>
    <row r="258" spans="4:16" s="438" customFormat="1" ht="12.75">
      <c r="D258" s="454"/>
      <c r="E258" s="455"/>
      <c r="M258" s="819"/>
      <c r="N258" s="818"/>
      <c r="O258" s="818"/>
      <c r="P258" s="818"/>
    </row>
    <row r="259" spans="4:16" s="438" customFormat="1" ht="12.75">
      <c r="D259" s="454"/>
      <c r="E259" s="455"/>
      <c r="M259" s="819"/>
      <c r="N259" s="818"/>
      <c r="O259" s="818"/>
      <c r="P259" s="818"/>
    </row>
    <row r="260" spans="4:16" s="438" customFormat="1" ht="12.75">
      <c r="D260" s="454"/>
      <c r="E260" s="455"/>
      <c r="M260" s="819"/>
      <c r="N260" s="818"/>
      <c r="O260" s="818"/>
      <c r="P260" s="818"/>
    </row>
    <row r="261" spans="4:16" s="438" customFormat="1" ht="12.75">
      <c r="D261" s="454"/>
      <c r="E261" s="455"/>
      <c r="M261" s="819"/>
      <c r="N261" s="818"/>
      <c r="O261" s="818"/>
      <c r="P261" s="818"/>
    </row>
    <row r="262" spans="4:16" s="438" customFormat="1" ht="12.75">
      <c r="D262" s="454"/>
      <c r="E262" s="455"/>
      <c r="M262" s="819"/>
      <c r="N262" s="818"/>
      <c r="O262" s="818"/>
      <c r="P262" s="818"/>
    </row>
    <row r="263" spans="4:16" s="438" customFormat="1" ht="12.75">
      <c r="D263" s="454"/>
      <c r="E263" s="455"/>
      <c r="M263" s="819"/>
      <c r="N263" s="818"/>
      <c r="O263" s="818"/>
      <c r="P263" s="818"/>
    </row>
    <row r="264" spans="4:16" s="438" customFormat="1" ht="12.75">
      <c r="D264" s="454"/>
      <c r="E264" s="455"/>
      <c r="M264" s="819"/>
      <c r="N264" s="818"/>
      <c r="O264" s="818"/>
      <c r="P264" s="818"/>
    </row>
    <row r="265" spans="4:16" s="438" customFormat="1" ht="12.75">
      <c r="D265" s="454"/>
      <c r="E265" s="455"/>
      <c r="M265" s="819"/>
      <c r="N265" s="818"/>
      <c r="O265" s="818"/>
      <c r="P265" s="818"/>
    </row>
    <row r="266" spans="4:16" s="438" customFormat="1" ht="12.75">
      <c r="D266" s="454"/>
      <c r="E266" s="455"/>
      <c r="M266" s="819"/>
      <c r="N266" s="818"/>
      <c r="O266" s="818"/>
      <c r="P266" s="818"/>
    </row>
    <row r="267" spans="4:16" s="438" customFormat="1" ht="12.75">
      <c r="D267" s="454"/>
      <c r="E267" s="455"/>
      <c r="M267" s="819"/>
      <c r="N267" s="818"/>
      <c r="O267" s="818"/>
      <c r="P267" s="818"/>
    </row>
    <row r="268" spans="4:16" s="438" customFormat="1" ht="12.75">
      <c r="D268" s="454"/>
      <c r="E268" s="455"/>
      <c r="M268" s="819"/>
      <c r="N268" s="818"/>
      <c r="O268" s="818"/>
      <c r="P268" s="818"/>
    </row>
    <row r="269" spans="4:16" s="438" customFormat="1" ht="12.75">
      <c r="D269" s="454"/>
      <c r="E269" s="455"/>
      <c r="M269" s="819"/>
      <c r="N269" s="818"/>
      <c r="O269" s="818"/>
      <c r="P269" s="818"/>
    </row>
    <row r="270" spans="4:16" s="438" customFormat="1" ht="12.75">
      <c r="D270" s="454"/>
      <c r="E270" s="455"/>
      <c r="M270" s="819"/>
      <c r="N270" s="818"/>
      <c r="O270" s="818"/>
      <c r="P270" s="818"/>
    </row>
    <row r="271" spans="4:16" s="438" customFormat="1" ht="12.75">
      <c r="D271" s="454"/>
      <c r="E271" s="455"/>
      <c r="M271" s="819"/>
      <c r="N271" s="818"/>
      <c r="O271" s="818"/>
      <c r="P271" s="818"/>
    </row>
    <row r="272" spans="4:16" s="438" customFormat="1" ht="12.75">
      <c r="D272" s="454"/>
      <c r="E272" s="455"/>
      <c r="M272" s="819"/>
      <c r="N272" s="818"/>
      <c r="O272" s="818"/>
      <c r="P272" s="818"/>
    </row>
    <row r="273" spans="4:16" s="438" customFormat="1" ht="12.75">
      <c r="D273" s="454"/>
      <c r="E273" s="455"/>
      <c r="M273" s="819"/>
      <c r="N273" s="818"/>
      <c r="O273" s="818"/>
      <c r="P273" s="818"/>
    </row>
    <row r="274" spans="4:16" s="438" customFormat="1" ht="12.75">
      <c r="D274" s="454"/>
      <c r="E274" s="455"/>
      <c r="M274" s="819"/>
      <c r="N274" s="818"/>
      <c r="O274" s="818"/>
      <c r="P274" s="818"/>
    </row>
    <row r="275" spans="4:16" s="438" customFormat="1" ht="12.75">
      <c r="D275" s="454"/>
      <c r="E275" s="455"/>
      <c r="M275" s="819"/>
      <c r="N275" s="818"/>
      <c r="O275" s="818"/>
      <c r="P275" s="818"/>
    </row>
    <row r="276" spans="4:16" s="438" customFormat="1" ht="12.75">
      <c r="D276" s="454"/>
      <c r="E276" s="455"/>
      <c r="M276" s="819"/>
      <c r="N276" s="818"/>
      <c r="O276" s="818"/>
      <c r="P276" s="818"/>
    </row>
    <row r="277" spans="4:16" s="438" customFormat="1" ht="12.75">
      <c r="D277" s="454"/>
      <c r="E277" s="455"/>
      <c r="M277" s="819"/>
      <c r="N277" s="818"/>
      <c r="O277" s="818"/>
      <c r="P277" s="818"/>
    </row>
    <row r="278" spans="4:16" s="438" customFormat="1" ht="12.75">
      <c r="D278" s="454"/>
      <c r="E278" s="455"/>
      <c r="M278" s="819"/>
      <c r="N278" s="818"/>
      <c r="O278" s="818"/>
      <c r="P278" s="818"/>
    </row>
    <row r="279" spans="4:16" s="438" customFormat="1" ht="12.75">
      <c r="D279" s="454"/>
      <c r="E279" s="455"/>
      <c r="M279" s="819"/>
      <c r="N279" s="818"/>
      <c r="O279" s="818"/>
      <c r="P279" s="818"/>
    </row>
    <row r="280" spans="4:16" s="438" customFormat="1" ht="12.75">
      <c r="D280" s="454"/>
      <c r="E280" s="455"/>
      <c r="M280" s="819"/>
      <c r="N280" s="818"/>
      <c r="O280" s="818"/>
      <c r="P280" s="818"/>
    </row>
    <row r="281" spans="4:16" s="438" customFormat="1" ht="12.75">
      <c r="D281" s="454"/>
      <c r="E281" s="455"/>
      <c r="M281" s="819"/>
      <c r="N281" s="818"/>
      <c r="O281" s="818"/>
      <c r="P281" s="818"/>
    </row>
    <row r="282" spans="4:16" s="438" customFormat="1" ht="12.75">
      <c r="D282" s="454"/>
      <c r="E282" s="455"/>
      <c r="M282" s="819"/>
      <c r="N282" s="818"/>
      <c r="O282" s="818"/>
      <c r="P282" s="818"/>
    </row>
    <row r="283" spans="4:16" s="438" customFormat="1" ht="12.75">
      <c r="D283" s="454"/>
      <c r="E283" s="455"/>
      <c r="M283" s="819"/>
      <c r="N283" s="818"/>
      <c r="O283" s="818"/>
      <c r="P283" s="818"/>
    </row>
    <row r="284" spans="4:16" s="438" customFormat="1" ht="12.75">
      <c r="D284" s="454"/>
      <c r="E284" s="455"/>
      <c r="M284" s="819"/>
      <c r="N284" s="818"/>
      <c r="O284" s="818"/>
      <c r="P284" s="818"/>
    </row>
    <row r="285" spans="4:16" s="438" customFormat="1" ht="12.75">
      <c r="D285" s="454"/>
      <c r="E285" s="455"/>
      <c r="M285" s="819"/>
      <c r="N285" s="818"/>
      <c r="O285" s="818"/>
      <c r="P285" s="818"/>
    </row>
    <row r="286" spans="4:16" s="438" customFormat="1" ht="12.75">
      <c r="D286" s="454"/>
      <c r="E286" s="455"/>
      <c r="M286" s="819"/>
      <c r="N286" s="818"/>
      <c r="O286" s="818"/>
      <c r="P286" s="818"/>
    </row>
    <row r="287" spans="4:16" s="438" customFormat="1" ht="12.75">
      <c r="D287" s="454"/>
      <c r="E287" s="455"/>
      <c r="M287" s="819"/>
      <c r="N287" s="818"/>
      <c r="O287" s="818"/>
      <c r="P287" s="818"/>
    </row>
    <row r="288" spans="4:16" s="438" customFormat="1" ht="12.75">
      <c r="D288" s="454"/>
      <c r="E288" s="455"/>
      <c r="M288" s="819"/>
      <c r="N288" s="818"/>
      <c r="O288" s="818"/>
      <c r="P288" s="818"/>
    </row>
    <row r="289" spans="4:16" s="438" customFormat="1" ht="12.75">
      <c r="D289" s="454"/>
      <c r="E289" s="455"/>
      <c r="M289" s="819"/>
      <c r="N289" s="818"/>
      <c r="O289" s="818"/>
      <c r="P289" s="818"/>
    </row>
    <row r="290" spans="4:16" s="438" customFormat="1" ht="12.75">
      <c r="D290" s="454"/>
      <c r="E290" s="455"/>
      <c r="M290" s="819"/>
      <c r="N290" s="818"/>
      <c r="O290" s="818"/>
      <c r="P290" s="818"/>
    </row>
    <row r="291" spans="4:16" s="438" customFormat="1" ht="12.75">
      <c r="D291" s="454"/>
      <c r="E291" s="455"/>
      <c r="M291" s="819"/>
      <c r="N291" s="818"/>
      <c r="O291" s="818"/>
      <c r="P291" s="818"/>
    </row>
    <row r="292" spans="4:16" s="438" customFormat="1" ht="12.75">
      <c r="D292" s="454"/>
      <c r="E292" s="455"/>
      <c r="M292" s="819"/>
      <c r="N292" s="818"/>
      <c r="O292" s="818"/>
      <c r="P292" s="818"/>
    </row>
    <row r="293" spans="4:16" s="438" customFormat="1" ht="12.75">
      <c r="D293" s="454"/>
      <c r="E293" s="455"/>
      <c r="M293" s="819"/>
      <c r="N293" s="818"/>
      <c r="O293" s="818"/>
      <c r="P293" s="818"/>
    </row>
    <row r="294" spans="4:16" s="438" customFormat="1" ht="12.75">
      <c r="D294" s="454"/>
      <c r="E294" s="455"/>
      <c r="M294" s="819"/>
      <c r="N294" s="818"/>
      <c r="O294" s="818"/>
      <c r="P294" s="818"/>
    </row>
    <row r="295" spans="4:16" s="438" customFormat="1" ht="12.75">
      <c r="D295" s="454"/>
      <c r="E295" s="455"/>
      <c r="M295" s="819"/>
      <c r="N295" s="818"/>
      <c r="O295" s="818"/>
      <c r="P295" s="818"/>
    </row>
    <row r="296" spans="4:16" s="438" customFormat="1" ht="12.75">
      <c r="D296" s="454"/>
      <c r="E296" s="455"/>
      <c r="M296" s="819"/>
      <c r="N296" s="818"/>
      <c r="O296" s="818"/>
      <c r="P296" s="818"/>
    </row>
    <row r="297" spans="4:16" s="438" customFormat="1" ht="12.75">
      <c r="D297" s="454"/>
      <c r="E297" s="455"/>
      <c r="M297" s="819"/>
      <c r="N297" s="818"/>
      <c r="O297" s="818"/>
      <c r="P297" s="818"/>
    </row>
    <row r="298" spans="4:16" s="438" customFormat="1" ht="12.75">
      <c r="D298" s="454"/>
      <c r="E298" s="455"/>
      <c r="M298" s="819"/>
      <c r="N298" s="818"/>
      <c r="O298" s="818"/>
      <c r="P298" s="818"/>
    </row>
    <row r="299" spans="4:16" s="438" customFormat="1" ht="12.75">
      <c r="D299" s="454"/>
      <c r="E299" s="455"/>
      <c r="M299" s="819"/>
      <c r="N299" s="818"/>
      <c r="O299" s="818"/>
      <c r="P299" s="818"/>
    </row>
    <row r="300" spans="4:16" s="438" customFormat="1" ht="12.75">
      <c r="D300" s="454"/>
      <c r="E300" s="455"/>
      <c r="M300" s="819"/>
      <c r="N300" s="818"/>
      <c r="O300" s="818"/>
      <c r="P300" s="818"/>
    </row>
    <row r="301" spans="4:16" s="438" customFormat="1" ht="12.75">
      <c r="D301" s="454"/>
      <c r="E301" s="455"/>
      <c r="M301" s="819"/>
      <c r="N301" s="818"/>
      <c r="O301" s="818"/>
      <c r="P301" s="818"/>
    </row>
    <row r="302" spans="4:16" s="438" customFormat="1" ht="12.75">
      <c r="D302" s="454"/>
      <c r="E302" s="455"/>
      <c r="M302" s="819"/>
      <c r="N302" s="818"/>
      <c r="O302" s="818"/>
      <c r="P302" s="818"/>
    </row>
    <row r="303" spans="4:16" s="438" customFormat="1" ht="12.75">
      <c r="D303" s="454"/>
      <c r="E303" s="455"/>
      <c r="M303" s="819"/>
      <c r="N303" s="818"/>
      <c r="O303" s="818"/>
      <c r="P303" s="818"/>
    </row>
    <row r="304" spans="4:16" s="438" customFormat="1" ht="12.75">
      <c r="D304" s="454"/>
      <c r="E304" s="455"/>
      <c r="M304" s="819"/>
      <c r="N304" s="818"/>
      <c r="O304" s="818"/>
      <c r="P304" s="818"/>
    </row>
    <row r="305" spans="4:16" s="438" customFormat="1" ht="12.75">
      <c r="D305" s="454"/>
      <c r="E305" s="455"/>
      <c r="M305" s="819"/>
      <c r="N305" s="818"/>
      <c r="O305" s="818"/>
      <c r="P305" s="818"/>
    </row>
    <row r="306" spans="4:16" s="438" customFormat="1" ht="12.75">
      <c r="D306" s="454"/>
      <c r="E306" s="455"/>
      <c r="M306" s="819"/>
      <c r="N306" s="818"/>
      <c r="O306" s="818"/>
      <c r="P306" s="818"/>
    </row>
    <row r="307" spans="4:16" s="438" customFormat="1" ht="12.75">
      <c r="D307" s="454"/>
      <c r="E307" s="455"/>
      <c r="M307" s="819"/>
      <c r="N307" s="818"/>
      <c r="O307" s="818"/>
      <c r="P307" s="818"/>
    </row>
    <row r="308" spans="4:16" s="438" customFormat="1" ht="12.75">
      <c r="D308" s="454"/>
      <c r="E308" s="455"/>
      <c r="M308" s="819"/>
      <c r="N308" s="818"/>
      <c r="O308" s="818"/>
      <c r="P308" s="818"/>
    </row>
    <row r="309" spans="4:16" s="438" customFormat="1" ht="12.75">
      <c r="D309" s="454"/>
      <c r="E309" s="455"/>
      <c r="M309" s="819"/>
      <c r="N309" s="818"/>
      <c r="O309" s="818"/>
      <c r="P309" s="818"/>
    </row>
    <row r="310" spans="4:16" s="438" customFormat="1" ht="12.75">
      <c r="D310" s="454"/>
      <c r="E310" s="455"/>
      <c r="M310" s="819"/>
      <c r="N310" s="818"/>
      <c r="O310" s="818"/>
      <c r="P310" s="818"/>
    </row>
    <row r="311" spans="4:16" s="438" customFormat="1" ht="12.75">
      <c r="D311" s="454"/>
      <c r="E311" s="455"/>
      <c r="M311" s="819"/>
      <c r="N311" s="818"/>
      <c r="O311" s="818"/>
      <c r="P311" s="818"/>
    </row>
    <row r="312" spans="4:16" s="438" customFormat="1" ht="12.75">
      <c r="D312" s="454"/>
      <c r="E312" s="455"/>
      <c r="M312" s="819"/>
      <c r="N312" s="818"/>
      <c r="O312" s="818"/>
      <c r="P312" s="818"/>
    </row>
    <row r="313" spans="4:16" s="438" customFormat="1" ht="12.75">
      <c r="D313" s="454"/>
      <c r="E313" s="455"/>
      <c r="M313" s="819"/>
      <c r="N313" s="818"/>
      <c r="O313" s="818"/>
      <c r="P313" s="818"/>
    </row>
    <row r="314" spans="4:16" s="438" customFormat="1" ht="12.75">
      <c r="D314" s="454"/>
      <c r="E314" s="455"/>
      <c r="M314" s="819"/>
      <c r="N314" s="818"/>
      <c r="O314" s="818"/>
      <c r="P314" s="818"/>
    </row>
    <row r="315" spans="4:16" s="438" customFormat="1" ht="12.75">
      <c r="D315" s="454"/>
      <c r="E315" s="455"/>
      <c r="M315" s="819"/>
      <c r="N315" s="818"/>
      <c r="O315" s="818"/>
      <c r="P315" s="818"/>
    </row>
    <row r="316" spans="4:16" s="438" customFormat="1" ht="12.75">
      <c r="D316" s="454"/>
      <c r="E316" s="455"/>
      <c r="M316" s="819"/>
      <c r="N316" s="818"/>
      <c r="O316" s="818"/>
      <c r="P316" s="818"/>
    </row>
    <row r="317" spans="4:16" s="438" customFormat="1" ht="12.75">
      <c r="D317" s="454"/>
      <c r="E317" s="455"/>
      <c r="M317" s="819"/>
      <c r="N317" s="818"/>
      <c r="O317" s="818"/>
      <c r="P317" s="818"/>
    </row>
    <row r="318" spans="4:16" s="438" customFormat="1" ht="12.75">
      <c r="D318" s="454"/>
      <c r="E318" s="455"/>
      <c r="M318" s="819"/>
      <c r="N318" s="818"/>
      <c r="O318" s="818"/>
      <c r="P318" s="818"/>
    </row>
    <row r="319" spans="4:16" s="438" customFormat="1" ht="12.75">
      <c r="D319" s="454"/>
      <c r="E319" s="455"/>
      <c r="M319" s="819"/>
      <c r="N319" s="818"/>
      <c r="O319" s="818"/>
      <c r="P319" s="818"/>
    </row>
    <row r="320" spans="4:16" s="438" customFormat="1" ht="12.75">
      <c r="D320" s="454"/>
      <c r="E320" s="455"/>
      <c r="M320" s="819"/>
      <c r="N320" s="818"/>
      <c r="O320" s="818"/>
      <c r="P320" s="818"/>
    </row>
    <row r="321" spans="4:16" s="438" customFormat="1" ht="12.75">
      <c r="D321" s="454"/>
      <c r="E321" s="455"/>
      <c r="M321" s="819"/>
      <c r="N321" s="818"/>
      <c r="O321" s="818"/>
      <c r="P321" s="818"/>
    </row>
    <row r="322" spans="4:16" s="438" customFormat="1" ht="12.75">
      <c r="D322" s="454"/>
      <c r="E322" s="455"/>
      <c r="M322" s="819"/>
      <c r="N322" s="818"/>
      <c r="O322" s="818"/>
      <c r="P322" s="818"/>
    </row>
    <row r="323" spans="4:16" s="438" customFormat="1" ht="12.75">
      <c r="D323" s="454"/>
      <c r="E323" s="455"/>
      <c r="M323" s="819"/>
      <c r="N323" s="818"/>
      <c r="O323" s="818"/>
      <c r="P323" s="818"/>
    </row>
    <row r="324" spans="4:16" s="438" customFormat="1" ht="12.75">
      <c r="D324" s="454"/>
      <c r="E324" s="455"/>
      <c r="M324" s="819"/>
      <c r="N324" s="818"/>
      <c r="O324" s="818"/>
      <c r="P324" s="818"/>
    </row>
    <row r="325" spans="4:16" s="438" customFormat="1" ht="12.75">
      <c r="D325" s="454"/>
      <c r="E325" s="455"/>
      <c r="M325" s="819"/>
      <c r="N325" s="818"/>
      <c r="O325" s="818"/>
      <c r="P325" s="818"/>
    </row>
    <row r="326" spans="4:16" s="438" customFormat="1" ht="12.75">
      <c r="D326" s="454"/>
      <c r="E326" s="455"/>
      <c r="M326" s="819"/>
      <c r="N326" s="818"/>
      <c r="O326" s="818"/>
      <c r="P326" s="818"/>
    </row>
    <row r="327" spans="4:16" s="438" customFormat="1" ht="12.75">
      <c r="D327" s="454"/>
      <c r="E327" s="455"/>
      <c r="M327" s="819"/>
      <c r="N327" s="818"/>
      <c r="O327" s="818"/>
      <c r="P327" s="818"/>
    </row>
    <row r="328" spans="4:16" s="438" customFormat="1" ht="12.75">
      <c r="D328" s="454"/>
      <c r="E328" s="455"/>
      <c r="M328" s="819"/>
      <c r="N328" s="818"/>
      <c r="O328" s="818"/>
      <c r="P328" s="818"/>
    </row>
    <row r="329" spans="4:16" s="438" customFormat="1" ht="12.75">
      <c r="D329" s="454"/>
      <c r="E329" s="455"/>
      <c r="M329" s="819"/>
      <c r="N329" s="818"/>
      <c r="O329" s="818"/>
      <c r="P329" s="818"/>
    </row>
    <row r="330" spans="4:16" s="438" customFormat="1" ht="12.75">
      <c r="D330" s="454"/>
      <c r="E330" s="455"/>
      <c r="M330" s="819"/>
      <c r="N330" s="818"/>
      <c r="O330" s="818"/>
      <c r="P330" s="818"/>
    </row>
    <row r="331" spans="4:16" s="438" customFormat="1" ht="12.75">
      <c r="D331" s="454"/>
      <c r="E331" s="455"/>
      <c r="M331" s="819"/>
      <c r="N331" s="818"/>
      <c r="O331" s="818"/>
      <c r="P331" s="818"/>
    </row>
    <row r="332" spans="4:16" s="438" customFormat="1" ht="12.75">
      <c r="D332" s="454"/>
      <c r="E332" s="455"/>
      <c r="M332" s="819"/>
      <c r="N332" s="818"/>
      <c r="O332" s="818"/>
      <c r="P332" s="818"/>
    </row>
    <row r="333" spans="4:16" s="438" customFormat="1" ht="12.75">
      <c r="D333" s="454"/>
      <c r="E333" s="455"/>
      <c r="M333" s="819"/>
      <c r="N333" s="818"/>
      <c r="O333" s="818"/>
      <c r="P333" s="818"/>
    </row>
    <row r="334" spans="4:16" s="438" customFormat="1" ht="12.75">
      <c r="D334" s="454"/>
      <c r="E334" s="455"/>
      <c r="M334" s="819"/>
      <c r="N334" s="818"/>
      <c r="O334" s="818"/>
      <c r="P334" s="818"/>
    </row>
    <row r="335" spans="4:16" s="438" customFormat="1" ht="12.75">
      <c r="D335" s="454"/>
      <c r="E335" s="455"/>
      <c r="M335" s="819"/>
      <c r="N335" s="818"/>
      <c r="O335" s="818"/>
      <c r="P335" s="818"/>
    </row>
    <row r="336" spans="4:16" s="438" customFormat="1" ht="12.75">
      <c r="D336" s="454"/>
      <c r="E336" s="455"/>
      <c r="M336" s="819"/>
      <c r="N336" s="818"/>
      <c r="O336" s="818"/>
      <c r="P336" s="818"/>
    </row>
    <row r="337" spans="4:16" s="438" customFormat="1" ht="12.75">
      <c r="D337" s="454"/>
      <c r="E337" s="455"/>
      <c r="M337" s="819"/>
      <c r="N337" s="818"/>
      <c r="O337" s="818"/>
      <c r="P337" s="818"/>
    </row>
    <row r="338" spans="4:16" s="438" customFormat="1" ht="12.75">
      <c r="D338" s="454"/>
      <c r="E338" s="455"/>
      <c r="M338" s="819"/>
      <c r="N338" s="818"/>
      <c r="O338" s="818"/>
      <c r="P338" s="818"/>
    </row>
    <row r="339" spans="4:16" s="438" customFormat="1" ht="12.75">
      <c r="D339" s="454"/>
      <c r="E339" s="455"/>
      <c r="M339" s="819"/>
      <c r="N339" s="818"/>
      <c r="O339" s="818"/>
      <c r="P339" s="818"/>
    </row>
    <row r="340" spans="4:16" s="438" customFormat="1" ht="12.75">
      <c r="D340" s="454"/>
      <c r="E340" s="455"/>
      <c r="M340" s="819"/>
      <c r="N340" s="818"/>
      <c r="O340" s="818"/>
      <c r="P340" s="818"/>
    </row>
    <row r="341" spans="4:16" s="438" customFormat="1" ht="12.75">
      <c r="D341" s="454"/>
      <c r="E341" s="455"/>
      <c r="M341" s="819"/>
      <c r="N341" s="818"/>
      <c r="O341" s="818"/>
      <c r="P341" s="818"/>
    </row>
    <row r="342" spans="4:16" s="438" customFormat="1" ht="12.75">
      <c r="D342" s="454"/>
      <c r="E342" s="455"/>
      <c r="M342" s="819"/>
      <c r="N342" s="818"/>
      <c r="O342" s="818"/>
      <c r="P342" s="818"/>
    </row>
    <row r="343" spans="4:16" s="438" customFormat="1" ht="12.75">
      <c r="D343" s="454"/>
      <c r="E343" s="455"/>
      <c r="M343" s="819"/>
      <c r="N343" s="818"/>
      <c r="O343" s="818"/>
      <c r="P343" s="818"/>
    </row>
    <row r="344" spans="4:16" s="438" customFormat="1" ht="12.75">
      <c r="D344" s="454"/>
      <c r="E344" s="455"/>
      <c r="M344" s="819"/>
      <c r="N344" s="818"/>
      <c r="O344" s="818"/>
      <c r="P344" s="818"/>
    </row>
    <row r="345" spans="4:16" s="438" customFormat="1" ht="12.75">
      <c r="D345" s="454"/>
      <c r="E345" s="455"/>
      <c r="M345" s="819"/>
      <c r="N345" s="818"/>
      <c r="O345" s="818"/>
      <c r="P345" s="818"/>
    </row>
    <row r="346" spans="4:16" s="438" customFormat="1" ht="12.75">
      <c r="D346" s="454"/>
      <c r="E346" s="455"/>
      <c r="M346" s="819"/>
      <c r="N346" s="818"/>
      <c r="O346" s="818"/>
      <c r="P346" s="818"/>
    </row>
    <row r="347" spans="4:16" s="438" customFormat="1" ht="12.75">
      <c r="D347" s="454"/>
      <c r="E347" s="455"/>
      <c r="M347" s="819"/>
      <c r="N347" s="818"/>
      <c r="O347" s="818"/>
      <c r="P347" s="818"/>
    </row>
    <row r="348" spans="4:16" s="438" customFormat="1" ht="12.75">
      <c r="D348" s="454"/>
      <c r="E348" s="455"/>
      <c r="M348" s="819"/>
      <c r="N348" s="818"/>
      <c r="O348" s="818"/>
      <c r="P348" s="818"/>
    </row>
    <row r="349" spans="4:16" s="438" customFormat="1" ht="12.75">
      <c r="D349" s="454"/>
      <c r="E349" s="455"/>
      <c r="M349" s="819"/>
      <c r="N349" s="818"/>
      <c r="O349" s="818"/>
      <c r="P349" s="818"/>
    </row>
    <row r="350" spans="4:16" s="438" customFormat="1" ht="12.75">
      <c r="D350" s="454"/>
      <c r="E350" s="455"/>
      <c r="M350" s="819"/>
      <c r="N350" s="818"/>
      <c r="O350" s="818"/>
      <c r="P350" s="818"/>
    </row>
    <row r="351" spans="4:16" s="438" customFormat="1" ht="12.75">
      <c r="D351" s="454"/>
      <c r="E351" s="455"/>
      <c r="M351" s="819"/>
      <c r="N351" s="818"/>
      <c r="O351" s="818"/>
      <c r="P351" s="818"/>
    </row>
    <row r="352" spans="4:16" s="438" customFormat="1" ht="12.75">
      <c r="D352" s="454"/>
      <c r="E352" s="455"/>
      <c r="M352" s="819"/>
      <c r="N352" s="818"/>
      <c r="O352" s="818"/>
      <c r="P352" s="818"/>
    </row>
    <row r="353" spans="4:16" s="438" customFormat="1" ht="12.75">
      <c r="D353" s="454"/>
      <c r="E353" s="455"/>
      <c r="M353" s="819"/>
      <c r="N353" s="818"/>
      <c r="O353" s="818"/>
      <c r="P353" s="818"/>
    </row>
    <row r="354" spans="4:16" s="438" customFormat="1" ht="12.75">
      <c r="D354" s="454"/>
      <c r="E354" s="455"/>
      <c r="M354" s="819"/>
      <c r="N354" s="818"/>
      <c r="O354" s="818"/>
      <c r="P354" s="818"/>
    </row>
    <row r="355" spans="4:16" s="438" customFormat="1" ht="12.75">
      <c r="D355" s="454"/>
      <c r="E355" s="455"/>
      <c r="M355" s="819"/>
      <c r="N355" s="818"/>
      <c r="O355" s="818"/>
      <c r="P355" s="818"/>
    </row>
    <row r="356" spans="4:16" s="438" customFormat="1" ht="12.75">
      <c r="D356" s="454"/>
      <c r="E356" s="455"/>
      <c r="M356" s="819"/>
      <c r="N356" s="818"/>
      <c r="O356" s="818"/>
      <c r="P356" s="818"/>
    </row>
    <row r="357" spans="4:16" s="438" customFormat="1" ht="12.75">
      <c r="D357" s="454"/>
      <c r="E357" s="455"/>
      <c r="M357" s="819"/>
      <c r="N357" s="818"/>
      <c r="O357" s="818"/>
      <c r="P357" s="818"/>
    </row>
    <row r="358" spans="4:16" s="438" customFormat="1" ht="12.75">
      <c r="D358" s="454"/>
      <c r="E358" s="455"/>
      <c r="M358" s="819"/>
      <c r="N358" s="818"/>
      <c r="O358" s="818"/>
      <c r="P358" s="818"/>
    </row>
    <row r="359" spans="4:16" s="438" customFormat="1" ht="12.75">
      <c r="D359" s="454"/>
      <c r="E359" s="455"/>
      <c r="M359" s="819"/>
      <c r="N359" s="818"/>
      <c r="O359" s="818"/>
      <c r="P359" s="818"/>
    </row>
    <row r="360" spans="4:16" s="438" customFormat="1" ht="12.75">
      <c r="D360" s="454"/>
      <c r="E360" s="455"/>
      <c r="M360" s="819"/>
      <c r="N360" s="818"/>
      <c r="O360" s="818"/>
      <c r="P360" s="818"/>
    </row>
    <row r="361" spans="4:16" s="438" customFormat="1" ht="12.75">
      <c r="D361" s="454"/>
      <c r="E361" s="455"/>
      <c r="M361" s="819"/>
      <c r="N361" s="818"/>
      <c r="O361" s="818"/>
      <c r="P361" s="818"/>
    </row>
    <row r="362" spans="4:16" s="438" customFormat="1" ht="12.75">
      <c r="D362" s="454"/>
      <c r="E362" s="455"/>
      <c r="M362" s="819"/>
      <c r="N362" s="818"/>
      <c r="O362" s="818"/>
      <c r="P362" s="818"/>
    </row>
    <row r="363" spans="4:16" s="438" customFormat="1" ht="12.75">
      <c r="D363" s="454"/>
      <c r="E363" s="455"/>
      <c r="M363" s="819"/>
      <c r="N363" s="818"/>
      <c r="O363" s="818"/>
      <c r="P363" s="818"/>
    </row>
    <row r="364" spans="4:16" s="438" customFormat="1" ht="12.75">
      <c r="D364" s="454"/>
      <c r="E364" s="455"/>
      <c r="M364" s="819"/>
      <c r="N364" s="818"/>
      <c r="O364" s="818"/>
      <c r="P364" s="818"/>
    </row>
    <row r="365" spans="4:16" s="438" customFormat="1" ht="12.75">
      <c r="D365" s="454"/>
      <c r="E365" s="455"/>
      <c r="M365" s="819"/>
      <c r="N365" s="818"/>
      <c r="O365" s="818"/>
      <c r="P365" s="818"/>
    </row>
    <row r="366" spans="4:16" s="438" customFormat="1" ht="12.75">
      <c r="D366" s="454"/>
      <c r="E366" s="455"/>
      <c r="M366" s="819"/>
      <c r="N366" s="818"/>
      <c r="O366" s="818"/>
      <c r="P366" s="818"/>
    </row>
    <row r="367" spans="4:16" s="438" customFormat="1" ht="12.75">
      <c r="D367" s="454"/>
      <c r="E367" s="455"/>
      <c r="M367" s="819"/>
      <c r="N367" s="818"/>
      <c r="O367" s="818"/>
      <c r="P367" s="818"/>
    </row>
    <row r="368" spans="4:16" s="438" customFormat="1" ht="12.75">
      <c r="D368" s="454"/>
      <c r="E368" s="455"/>
      <c r="M368" s="819"/>
      <c r="N368" s="818"/>
      <c r="O368" s="818"/>
      <c r="P368" s="818"/>
    </row>
    <row r="369" spans="4:16" s="438" customFormat="1" ht="12.75">
      <c r="D369" s="454"/>
      <c r="E369" s="455"/>
      <c r="M369" s="819"/>
      <c r="N369" s="818"/>
      <c r="O369" s="818"/>
      <c r="P369" s="818"/>
    </row>
    <row r="370" spans="4:16" s="438" customFormat="1" ht="12.75">
      <c r="D370" s="454"/>
      <c r="E370" s="455"/>
      <c r="M370" s="819"/>
      <c r="N370" s="818"/>
      <c r="O370" s="818"/>
      <c r="P370" s="818"/>
    </row>
    <row r="371" spans="4:16" s="438" customFormat="1" ht="12.75">
      <c r="D371" s="454"/>
      <c r="E371" s="455"/>
      <c r="M371" s="819"/>
      <c r="N371" s="818"/>
      <c r="O371" s="818"/>
      <c r="P371" s="818"/>
    </row>
    <row r="372" spans="4:16" s="438" customFormat="1" ht="12.75">
      <c r="D372" s="454"/>
      <c r="E372" s="455"/>
      <c r="M372" s="819"/>
      <c r="N372" s="818"/>
      <c r="O372" s="818"/>
      <c r="P372" s="818"/>
    </row>
    <row r="373" spans="4:16" s="438" customFormat="1" ht="12.75">
      <c r="D373" s="454"/>
      <c r="E373" s="455"/>
      <c r="M373" s="819"/>
      <c r="N373" s="818"/>
      <c r="O373" s="818"/>
      <c r="P373" s="818"/>
    </row>
    <row r="374" spans="4:16" s="438" customFormat="1" ht="12.75">
      <c r="D374" s="454"/>
      <c r="E374" s="455"/>
      <c r="M374" s="819"/>
      <c r="N374" s="818"/>
      <c r="O374" s="818"/>
      <c r="P374" s="818"/>
    </row>
    <row r="375" spans="4:16" s="438" customFormat="1" ht="12.75">
      <c r="D375" s="454"/>
      <c r="E375" s="455"/>
      <c r="M375" s="819"/>
      <c r="N375" s="818"/>
      <c r="O375" s="818"/>
      <c r="P375" s="818"/>
    </row>
    <row r="376" spans="4:16" s="438" customFormat="1" ht="12.75">
      <c r="D376" s="454"/>
      <c r="E376" s="455"/>
      <c r="M376" s="819"/>
      <c r="N376" s="818"/>
      <c r="O376" s="818"/>
      <c r="P376" s="818"/>
    </row>
    <row r="377" spans="4:16" s="438" customFormat="1" ht="12.75">
      <c r="D377" s="454"/>
      <c r="E377" s="455"/>
      <c r="M377" s="819"/>
      <c r="N377" s="818"/>
      <c r="O377" s="818"/>
      <c r="P377" s="818"/>
    </row>
    <row r="378" spans="4:16" s="438" customFormat="1" ht="12.75">
      <c r="D378" s="454"/>
      <c r="E378" s="455"/>
      <c r="M378" s="819"/>
      <c r="N378" s="818"/>
      <c r="O378" s="818"/>
      <c r="P378" s="818"/>
    </row>
    <row r="379" spans="4:16" s="438" customFormat="1" ht="12.75">
      <c r="D379" s="454"/>
      <c r="E379" s="455"/>
      <c r="M379" s="819"/>
      <c r="N379" s="818"/>
      <c r="O379" s="818"/>
      <c r="P379" s="818"/>
    </row>
    <row r="380" spans="4:16" s="438" customFormat="1" ht="12.75">
      <c r="D380" s="454"/>
      <c r="E380" s="455"/>
      <c r="M380" s="819"/>
      <c r="N380" s="818"/>
      <c r="O380" s="818"/>
      <c r="P380" s="818"/>
    </row>
    <row r="381" spans="4:16" s="438" customFormat="1" ht="12.75">
      <c r="D381" s="454"/>
      <c r="E381" s="455"/>
      <c r="M381" s="819"/>
      <c r="N381" s="818"/>
      <c r="O381" s="818"/>
      <c r="P381" s="818"/>
    </row>
    <row r="382" spans="4:16" s="438" customFormat="1" ht="12.75">
      <c r="D382" s="454"/>
      <c r="E382" s="455"/>
      <c r="M382" s="819"/>
      <c r="N382" s="818"/>
      <c r="O382" s="818"/>
      <c r="P382" s="818"/>
    </row>
    <row r="383" spans="4:16" s="438" customFormat="1" ht="12.75">
      <c r="D383" s="454"/>
      <c r="E383" s="455"/>
      <c r="M383" s="819"/>
      <c r="N383" s="818"/>
      <c r="O383" s="818"/>
      <c r="P383" s="818"/>
    </row>
    <row r="384" spans="4:16" s="438" customFormat="1" ht="12.75">
      <c r="D384" s="454"/>
      <c r="E384" s="455"/>
      <c r="M384" s="819"/>
      <c r="N384" s="818"/>
      <c r="O384" s="818"/>
      <c r="P384" s="818"/>
    </row>
    <row r="385" spans="4:16" s="438" customFormat="1" ht="12.75">
      <c r="D385" s="454"/>
      <c r="E385" s="455"/>
      <c r="M385" s="819"/>
      <c r="N385" s="818"/>
      <c r="O385" s="818"/>
      <c r="P385" s="818"/>
    </row>
    <row r="386" spans="4:16" s="438" customFormat="1" ht="12.75">
      <c r="D386" s="454"/>
      <c r="E386" s="455"/>
      <c r="M386" s="819"/>
      <c r="N386" s="818"/>
      <c r="O386" s="818"/>
      <c r="P386" s="818"/>
    </row>
    <row r="387" spans="4:16" s="438" customFormat="1" ht="12.75">
      <c r="D387" s="454"/>
      <c r="E387" s="455"/>
      <c r="M387" s="819"/>
      <c r="N387" s="818"/>
      <c r="O387" s="818"/>
      <c r="P387" s="818"/>
    </row>
    <row r="388" spans="4:16" s="438" customFormat="1" ht="12.75">
      <c r="D388" s="454"/>
      <c r="E388" s="455"/>
      <c r="M388" s="819"/>
      <c r="N388" s="818"/>
      <c r="O388" s="818"/>
      <c r="P388" s="818"/>
    </row>
    <row r="389" spans="4:16" s="438" customFormat="1" ht="12.75">
      <c r="D389" s="454"/>
      <c r="E389" s="455"/>
      <c r="M389" s="819"/>
      <c r="N389" s="818"/>
      <c r="O389" s="818"/>
      <c r="P389" s="818"/>
    </row>
    <row r="390" spans="4:16" s="438" customFormat="1" ht="12.75">
      <c r="D390" s="454"/>
      <c r="E390" s="455"/>
      <c r="M390" s="819"/>
      <c r="N390" s="818"/>
      <c r="O390" s="818"/>
      <c r="P390" s="818"/>
    </row>
    <row r="391" spans="4:16" s="438" customFormat="1" ht="12.75">
      <c r="D391" s="454"/>
      <c r="E391" s="455"/>
      <c r="M391" s="819"/>
      <c r="N391" s="818"/>
      <c r="O391" s="818"/>
      <c r="P391" s="818"/>
    </row>
    <row r="392" spans="4:16" s="438" customFormat="1" ht="12.75">
      <c r="D392" s="454"/>
      <c r="E392" s="455"/>
      <c r="M392" s="819"/>
      <c r="N392" s="818"/>
      <c r="O392" s="818"/>
      <c r="P392" s="818"/>
    </row>
    <row r="393" spans="4:16" s="438" customFormat="1" ht="12.75">
      <c r="D393" s="454"/>
      <c r="E393" s="455"/>
      <c r="M393" s="819"/>
      <c r="N393" s="818"/>
      <c r="O393" s="818"/>
      <c r="P393" s="818"/>
    </row>
    <row r="394" spans="4:16" s="438" customFormat="1" ht="12.75">
      <c r="D394" s="454"/>
      <c r="E394" s="455"/>
      <c r="M394" s="819"/>
      <c r="N394" s="818"/>
      <c r="O394" s="818"/>
      <c r="P394" s="818"/>
    </row>
    <row r="395" spans="4:16" s="438" customFormat="1" ht="12.75">
      <c r="D395" s="454"/>
      <c r="E395" s="455"/>
      <c r="M395" s="819"/>
      <c r="N395" s="818"/>
      <c r="O395" s="818"/>
      <c r="P395" s="818"/>
    </row>
    <row r="396" spans="4:16" s="438" customFormat="1" ht="12.75">
      <c r="D396" s="454"/>
      <c r="E396" s="455"/>
      <c r="M396" s="819"/>
      <c r="N396" s="818"/>
      <c r="O396" s="818"/>
      <c r="P396" s="818"/>
    </row>
    <row r="397" spans="4:16" s="438" customFormat="1" ht="12.75">
      <c r="D397" s="454"/>
      <c r="E397" s="455"/>
      <c r="M397" s="819"/>
      <c r="N397" s="818"/>
      <c r="O397" s="818"/>
      <c r="P397" s="818"/>
    </row>
    <row r="398" spans="4:16" s="438" customFormat="1" ht="12.75">
      <c r="D398" s="454"/>
      <c r="E398" s="455"/>
      <c r="M398" s="819"/>
      <c r="N398" s="818"/>
      <c r="O398" s="818"/>
      <c r="P398" s="818"/>
    </row>
    <row r="399" spans="4:16" s="438" customFormat="1" ht="12.75">
      <c r="D399" s="454"/>
      <c r="E399" s="455"/>
      <c r="M399" s="819"/>
      <c r="N399" s="818"/>
      <c r="O399" s="818"/>
      <c r="P399" s="818"/>
    </row>
    <row r="400" spans="4:16" s="438" customFormat="1" ht="12.75">
      <c r="D400" s="454"/>
      <c r="E400" s="455"/>
      <c r="M400" s="819"/>
      <c r="N400" s="818"/>
      <c r="O400" s="818"/>
      <c r="P400" s="818"/>
    </row>
    <row r="401" spans="4:16" s="438" customFormat="1" ht="12.75">
      <c r="D401" s="454"/>
      <c r="E401" s="455"/>
      <c r="M401" s="819"/>
      <c r="N401" s="818"/>
      <c r="O401" s="818"/>
      <c r="P401" s="818"/>
    </row>
    <row r="402" spans="4:16" s="438" customFormat="1" ht="12.75">
      <c r="D402" s="454"/>
      <c r="E402" s="455"/>
      <c r="M402" s="819"/>
      <c r="N402" s="818"/>
      <c r="O402" s="818"/>
      <c r="P402" s="818"/>
    </row>
    <row r="403" spans="4:16" s="438" customFormat="1" ht="12.75">
      <c r="D403" s="454"/>
      <c r="E403" s="455"/>
      <c r="M403" s="819"/>
      <c r="N403" s="818"/>
      <c r="O403" s="818"/>
      <c r="P403" s="818"/>
    </row>
    <row r="404" spans="4:16" s="438" customFormat="1" ht="12.75">
      <c r="D404" s="454"/>
      <c r="E404" s="455"/>
      <c r="M404" s="819"/>
      <c r="N404" s="818"/>
      <c r="O404" s="818"/>
      <c r="P404" s="818"/>
    </row>
    <row r="405" spans="4:16" s="438" customFormat="1" ht="12.75">
      <c r="D405" s="454"/>
      <c r="E405" s="455"/>
      <c r="M405" s="819"/>
      <c r="N405" s="818"/>
      <c r="O405" s="818"/>
      <c r="P405" s="818"/>
    </row>
    <row r="406" spans="4:16" s="438" customFormat="1" ht="12.75">
      <c r="D406" s="454"/>
      <c r="E406" s="455"/>
      <c r="M406" s="819"/>
      <c r="N406" s="818"/>
      <c r="O406" s="818"/>
      <c r="P406" s="818"/>
    </row>
    <row r="407" spans="4:16" s="438" customFormat="1" ht="12.75">
      <c r="D407" s="454"/>
      <c r="E407" s="455"/>
      <c r="M407" s="819"/>
      <c r="N407" s="818"/>
      <c r="O407" s="818"/>
      <c r="P407" s="818"/>
    </row>
    <row r="408" spans="4:16" s="438" customFormat="1" ht="12.75">
      <c r="D408" s="454"/>
      <c r="E408" s="455"/>
      <c r="M408" s="819"/>
      <c r="N408" s="818"/>
      <c r="O408" s="818"/>
      <c r="P408" s="818"/>
    </row>
    <row r="409" spans="4:16" s="438" customFormat="1" ht="12.75">
      <c r="D409" s="454"/>
      <c r="E409" s="455"/>
      <c r="M409" s="819"/>
      <c r="N409" s="818"/>
      <c r="O409" s="818"/>
      <c r="P409" s="818"/>
    </row>
    <row r="410" spans="4:16" s="438" customFormat="1" ht="12.75">
      <c r="D410" s="454"/>
      <c r="E410" s="455"/>
      <c r="M410" s="819"/>
      <c r="N410" s="818"/>
      <c r="O410" s="818"/>
      <c r="P410" s="818"/>
    </row>
    <row r="411" spans="4:16" s="438" customFormat="1" ht="12.75">
      <c r="D411" s="454"/>
      <c r="E411" s="455"/>
      <c r="M411" s="819"/>
      <c r="N411" s="818"/>
      <c r="O411" s="818"/>
      <c r="P411" s="818"/>
    </row>
    <row r="412" spans="4:16" s="438" customFormat="1" ht="12.75">
      <c r="D412" s="454"/>
      <c r="E412" s="455"/>
      <c r="M412" s="819"/>
      <c r="N412" s="818"/>
      <c r="O412" s="818"/>
      <c r="P412" s="818"/>
    </row>
    <row r="413" spans="4:16" s="438" customFormat="1" ht="12.75">
      <c r="D413" s="454"/>
      <c r="E413" s="455"/>
      <c r="M413" s="819"/>
      <c r="N413" s="818"/>
      <c r="O413" s="818"/>
      <c r="P413" s="818"/>
    </row>
    <row r="414" spans="4:16" s="438" customFormat="1" ht="12.75">
      <c r="D414" s="454"/>
      <c r="E414" s="455"/>
      <c r="M414" s="819"/>
      <c r="N414" s="818"/>
      <c r="O414" s="818"/>
      <c r="P414" s="818"/>
    </row>
    <row r="415" spans="4:16" s="438" customFormat="1" ht="12.75">
      <c r="D415" s="454"/>
      <c r="E415" s="455"/>
      <c r="M415" s="819"/>
      <c r="N415" s="818"/>
      <c r="O415" s="818"/>
      <c r="P415" s="818"/>
    </row>
    <row r="416" spans="4:16" s="438" customFormat="1" ht="12.75">
      <c r="D416" s="454"/>
      <c r="E416" s="455"/>
      <c r="M416" s="819"/>
      <c r="N416" s="818"/>
      <c r="O416" s="818"/>
      <c r="P416" s="818"/>
    </row>
    <row r="417" spans="4:16" s="438" customFormat="1" ht="12.75">
      <c r="D417" s="454"/>
      <c r="E417" s="455"/>
      <c r="M417" s="819"/>
      <c r="N417" s="818"/>
      <c r="O417" s="818"/>
      <c r="P417" s="818"/>
    </row>
    <row r="418" spans="4:16" s="438" customFormat="1" ht="12.75">
      <c r="D418" s="454"/>
      <c r="E418" s="455"/>
      <c r="M418" s="819"/>
      <c r="N418" s="818"/>
      <c r="O418" s="818"/>
      <c r="P418" s="818"/>
    </row>
    <row r="419" spans="4:16" s="438" customFormat="1" ht="12.75">
      <c r="D419" s="454"/>
      <c r="E419" s="455"/>
      <c r="M419" s="819"/>
      <c r="N419" s="818"/>
      <c r="O419" s="818"/>
      <c r="P419" s="818"/>
    </row>
    <row r="420" spans="4:16" s="438" customFormat="1" ht="12.75">
      <c r="D420" s="454"/>
      <c r="E420" s="455"/>
      <c r="M420" s="819"/>
      <c r="N420" s="818"/>
      <c r="O420" s="818"/>
      <c r="P420" s="818"/>
    </row>
    <row r="421" spans="4:16" s="438" customFormat="1" ht="12.75">
      <c r="D421" s="454"/>
      <c r="E421" s="455"/>
      <c r="M421" s="819"/>
      <c r="N421" s="818"/>
      <c r="O421" s="818"/>
      <c r="P421" s="818"/>
    </row>
    <row r="422" spans="4:16" s="438" customFormat="1" ht="12.75">
      <c r="D422" s="454"/>
      <c r="E422" s="455"/>
      <c r="M422" s="819"/>
      <c r="N422" s="818"/>
      <c r="O422" s="818"/>
      <c r="P422" s="818"/>
    </row>
    <row r="423" spans="4:16" s="438" customFormat="1" ht="12.75">
      <c r="D423" s="454"/>
      <c r="E423" s="455"/>
      <c r="M423" s="819"/>
      <c r="N423" s="818"/>
      <c r="O423" s="818"/>
      <c r="P423" s="818"/>
    </row>
    <row r="424" spans="4:16" s="438" customFormat="1" ht="12.75">
      <c r="D424" s="454"/>
      <c r="E424" s="455"/>
      <c r="M424" s="819"/>
      <c r="N424" s="818"/>
      <c r="O424" s="818"/>
      <c r="P424" s="818"/>
    </row>
    <row r="425" spans="4:16" s="438" customFormat="1" ht="12.75">
      <c r="D425" s="454"/>
      <c r="E425" s="455"/>
      <c r="M425" s="819"/>
      <c r="N425" s="818"/>
      <c r="O425" s="818"/>
      <c r="P425" s="818"/>
    </row>
    <row r="426" spans="4:16" s="438" customFormat="1" ht="12.75">
      <c r="D426" s="454"/>
      <c r="E426" s="455"/>
      <c r="M426" s="819"/>
      <c r="N426" s="818"/>
      <c r="O426" s="818"/>
      <c r="P426" s="818"/>
    </row>
    <row r="427" spans="4:16" s="438" customFormat="1" ht="12.75">
      <c r="D427" s="454"/>
      <c r="E427" s="455"/>
      <c r="M427" s="819"/>
      <c r="N427" s="818"/>
      <c r="O427" s="818"/>
      <c r="P427" s="818"/>
    </row>
    <row r="428" spans="4:16" s="438" customFormat="1" ht="12.75">
      <c r="D428" s="454"/>
      <c r="E428" s="455"/>
      <c r="M428" s="819"/>
      <c r="N428" s="818"/>
      <c r="O428" s="818"/>
      <c r="P428" s="818"/>
    </row>
    <row r="429" spans="4:16" s="438" customFormat="1" ht="12.75">
      <c r="D429" s="454"/>
      <c r="E429" s="455"/>
      <c r="M429" s="819"/>
      <c r="N429" s="818"/>
      <c r="O429" s="818"/>
      <c r="P429" s="818"/>
    </row>
    <row r="430" spans="4:16" s="438" customFormat="1" ht="12.75">
      <c r="D430" s="454"/>
      <c r="E430" s="455"/>
      <c r="M430" s="819"/>
      <c r="N430" s="818"/>
      <c r="O430" s="818"/>
      <c r="P430" s="818"/>
    </row>
    <row r="431" spans="4:16" s="438" customFormat="1" ht="12.75">
      <c r="D431" s="454"/>
      <c r="E431" s="455"/>
      <c r="M431" s="819"/>
      <c r="N431" s="818"/>
      <c r="O431" s="818"/>
      <c r="P431" s="818"/>
    </row>
    <row r="432" spans="4:16" s="438" customFormat="1" ht="12.75">
      <c r="D432" s="454"/>
      <c r="E432" s="455"/>
      <c r="M432" s="819"/>
      <c r="N432" s="818"/>
      <c r="O432" s="818"/>
      <c r="P432" s="818"/>
    </row>
    <row r="433" spans="4:16" s="438" customFormat="1" ht="12.75">
      <c r="D433" s="454"/>
      <c r="E433" s="455"/>
      <c r="M433" s="819"/>
      <c r="N433" s="818"/>
      <c r="O433" s="818"/>
      <c r="P433" s="818"/>
    </row>
    <row r="434" spans="4:16" s="438" customFormat="1" ht="12.75">
      <c r="D434" s="454"/>
      <c r="E434" s="455"/>
      <c r="M434" s="819"/>
      <c r="N434" s="818"/>
      <c r="O434" s="818"/>
      <c r="P434" s="818"/>
    </row>
    <row r="435" spans="4:16" s="438" customFormat="1" ht="12.75">
      <c r="D435" s="454"/>
      <c r="E435" s="455"/>
      <c r="M435" s="819"/>
      <c r="N435" s="818"/>
      <c r="O435" s="818"/>
      <c r="P435" s="818"/>
    </row>
    <row r="436" spans="4:16" s="438" customFormat="1" ht="12.75">
      <c r="D436" s="454"/>
      <c r="E436" s="455"/>
      <c r="M436" s="819"/>
      <c r="N436" s="818"/>
      <c r="O436" s="818"/>
      <c r="P436" s="818"/>
    </row>
    <row r="437" spans="4:16" s="438" customFormat="1" ht="12.75">
      <c r="D437" s="454"/>
      <c r="E437" s="455"/>
      <c r="M437" s="819"/>
      <c r="N437" s="818"/>
      <c r="O437" s="818"/>
      <c r="P437" s="818"/>
    </row>
    <row r="438" spans="4:16" s="438" customFormat="1" ht="12.75">
      <c r="D438" s="454"/>
      <c r="E438" s="455"/>
      <c r="M438" s="819"/>
      <c r="N438" s="818"/>
      <c r="O438" s="818"/>
      <c r="P438" s="818"/>
    </row>
    <row r="439" spans="4:16" s="438" customFormat="1" ht="12.75">
      <c r="D439" s="454"/>
      <c r="E439" s="455"/>
      <c r="M439" s="819"/>
      <c r="N439" s="818"/>
      <c r="O439" s="818"/>
      <c r="P439" s="818"/>
    </row>
    <row r="440" spans="4:16" s="438" customFormat="1" ht="12.75">
      <c r="D440" s="454"/>
      <c r="E440" s="455"/>
      <c r="M440" s="819"/>
      <c r="N440" s="818"/>
      <c r="O440" s="818"/>
      <c r="P440" s="818"/>
    </row>
    <row r="441" spans="4:16" s="438" customFormat="1" ht="12.75">
      <c r="D441" s="454"/>
      <c r="E441" s="455"/>
      <c r="M441" s="819"/>
      <c r="N441" s="818"/>
      <c r="O441" s="818"/>
      <c r="P441" s="818"/>
    </row>
    <row r="442" spans="4:16" s="438" customFormat="1" ht="12.75">
      <c r="D442" s="454"/>
      <c r="E442" s="455"/>
      <c r="M442" s="819"/>
      <c r="N442" s="818"/>
      <c r="O442" s="818"/>
      <c r="P442" s="818"/>
    </row>
    <row r="443" spans="4:16" s="438" customFormat="1" ht="12.75">
      <c r="D443" s="454"/>
      <c r="E443" s="455"/>
      <c r="M443" s="819"/>
      <c r="N443" s="818"/>
      <c r="O443" s="818"/>
      <c r="P443" s="818"/>
    </row>
    <row r="444" spans="4:16" s="438" customFormat="1" ht="12.75">
      <c r="D444" s="454"/>
      <c r="E444" s="455"/>
      <c r="M444" s="819"/>
      <c r="N444" s="818"/>
      <c r="O444" s="818"/>
      <c r="P444" s="818"/>
    </row>
    <row r="445" spans="4:16" s="438" customFormat="1" ht="12.75">
      <c r="D445" s="454"/>
      <c r="E445" s="455"/>
      <c r="M445" s="819"/>
      <c r="N445" s="818"/>
      <c r="O445" s="818"/>
      <c r="P445" s="818"/>
    </row>
    <row r="446" spans="4:16" s="438" customFormat="1" ht="12.75">
      <c r="D446" s="454"/>
      <c r="E446" s="455"/>
      <c r="M446" s="819"/>
      <c r="N446" s="818"/>
      <c r="O446" s="818"/>
      <c r="P446" s="818"/>
    </row>
    <row r="447" spans="4:16" s="438" customFormat="1" ht="12.75">
      <c r="D447" s="454"/>
      <c r="E447" s="455"/>
      <c r="M447" s="819"/>
      <c r="N447" s="818"/>
      <c r="O447" s="818"/>
      <c r="P447" s="818"/>
    </row>
    <row r="448" spans="4:16" s="438" customFormat="1" ht="12.75">
      <c r="D448" s="454"/>
      <c r="E448" s="455"/>
      <c r="M448" s="819"/>
      <c r="N448" s="818"/>
      <c r="O448" s="818"/>
      <c r="P448" s="818"/>
    </row>
    <row r="449" spans="4:16" s="438" customFormat="1" ht="12.75">
      <c r="D449" s="454"/>
      <c r="E449" s="455"/>
      <c r="M449" s="819"/>
      <c r="N449" s="818"/>
      <c r="O449" s="818"/>
      <c r="P449" s="818"/>
    </row>
    <row r="450" spans="4:16" s="438" customFormat="1" ht="12.75">
      <c r="D450" s="454"/>
      <c r="E450" s="455"/>
      <c r="M450" s="819"/>
      <c r="N450" s="818"/>
      <c r="O450" s="818"/>
      <c r="P450" s="818"/>
    </row>
    <row r="451" spans="4:16" s="438" customFormat="1" ht="12.75">
      <c r="D451" s="454"/>
      <c r="E451" s="455"/>
      <c r="M451" s="819"/>
      <c r="N451" s="818"/>
      <c r="O451" s="818"/>
      <c r="P451" s="818"/>
    </row>
    <row r="452" spans="4:16" s="438" customFormat="1" ht="12.75">
      <c r="D452" s="454"/>
      <c r="E452" s="455"/>
      <c r="M452" s="819"/>
      <c r="N452" s="818"/>
      <c r="O452" s="818"/>
      <c r="P452" s="818"/>
    </row>
    <row r="453" spans="4:16" s="438" customFormat="1" ht="12.75">
      <c r="D453" s="454"/>
      <c r="E453" s="455"/>
      <c r="M453" s="819"/>
      <c r="N453" s="818"/>
      <c r="O453" s="818"/>
      <c r="P453" s="818"/>
    </row>
    <row r="454" spans="4:16" s="438" customFormat="1" ht="12.75">
      <c r="D454" s="454"/>
      <c r="E454" s="455"/>
      <c r="M454" s="819"/>
      <c r="N454" s="818"/>
      <c r="O454" s="818"/>
      <c r="P454" s="818"/>
    </row>
    <row r="455" spans="4:16" s="438" customFormat="1" ht="12.75">
      <c r="D455" s="454"/>
      <c r="E455" s="455"/>
      <c r="M455" s="819"/>
      <c r="N455" s="818"/>
      <c r="O455" s="818"/>
      <c r="P455" s="818"/>
    </row>
    <row r="456" spans="4:16" s="438" customFormat="1" ht="12.75">
      <c r="D456" s="454"/>
      <c r="E456" s="455"/>
      <c r="M456" s="819"/>
      <c r="N456" s="818"/>
      <c r="O456" s="818"/>
      <c r="P456" s="818"/>
    </row>
    <row r="457" spans="4:16" s="438" customFormat="1" ht="12.75">
      <c r="D457" s="454"/>
      <c r="E457" s="455"/>
      <c r="M457" s="819"/>
      <c r="N457" s="818"/>
      <c r="O457" s="818"/>
      <c r="P457" s="818"/>
    </row>
    <row r="458" spans="4:16" s="438" customFormat="1" ht="12.75">
      <c r="D458" s="454"/>
      <c r="E458" s="455"/>
      <c r="M458" s="819"/>
      <c r="N458" s="818"/>
      <c r="O458" s="818"/>
      <c r="P458" s="818"/>
    </row>
    <row r="459" spans="4:16" s="438" customFormat="1" ht="12.75">
      <c r="D459" s="454"/>
      <c r="E459" s="455"/>
      <c r="M459" s="819"/>
      <c r="N459" s="818"/>
      <c r="O459" s="818"/>
      <c r="P459" s="818"/>
    </row>
    <row r="460" spans="4:16" s="438" customFormat="1" ht="12.75">
      <c r="D460" s="454"/>
      <c r="E460" s="455"/>
      <c r="M460" s="819"/>
      <c r="N460" s="818"/>
      <c r="O460" s="818"/>
      <c r="P460" s="818"/>
    </row>
    <row r="461" spans="4:16" s="438" customFormat="1" ht="12.75">
      <c r="D461" s="454"/>
      <c r="E461" s="455"/>
      <c r="M461" s="819"/>
      <c r="N461" s="818"/>
      <c r="O461" s="818"/>
      <c r="P461" s="818"/>
    </row>
    <row r="462" spans="4:16" s="438" customFormat="1" ht="12.75">
      <c r="D462" s="454"/>
      <c r="E462" s="455"/>
      <c r="M462" s="819"/>
      <c r="N462" s="818"/>
      <c r="O462" s="818"/>
      <c r="P462" s="818"/>
    </row>
    <row r="463" spans="4:16" s="438" customFormat="1" ht="12.75">
      <c r="D463" s="454"/>
      <c r="E463" s="455"/>
      <c r="M463" s="819"/>
      <c r="N463" s="818"/>
      <c r="O463" s="818"/>
      <c r="P463" s="818"/>
    </row>
    <row r="464" spans="4:16" s="438" customFormat="1" ht="12.75">
      <c r="D464" s="454"/>
      <c r="E464" s="455"/>
      <c r="M464" s="819"/>
      <c r="N464" s="818"/>
      <c r="O464" s="818"/>
      <c r="P464" s="818"/>
    </row>
    <row r="465" spans="4:16" s="438" customFormat="1" ht="12.75">
      <c r="D465" s="454"/>
      <c r="E465" s="455"/>
      <c r="M465" s="819"/>
      <c r="N465" s="818"/>
      <c r="O465" s="818"/>
      <c r="P465" s="818"/>
    </row>
    <row r="466" spans="4:16" s="438" customFormat="1" ht="12.75">
      <c r="D466" s="454"/>
      <c r="E466" s="455"/>
      <c r="M466" s="819"/>
      <c r="N466" s="818"/>
      <c r="O466" s="818"/>
      <c r="P466" s="818"/>
    </row>
    <row r="467" spans="4:16" s="438" customFormat="1" ht="12.75">
      <c r="D467" s="454"/>
      <c r="E467" s="455"/>
      <c r="M467" s="819"/>
      <c r="N467" s="818"/>
      <c r="O467" s="818"/>
      <c r="P467" s="818"/>
    </row>
    <row r="468" spans="4:16" s="438" customFormat="1" ht="12.75">
      <c r="D468" s="454"/>
      <c r="E468" s="455"/>
      <c r="M468" s="819"/>
      <c r="N468" s="818"/>
      <c r="O468" s="818"/>
      <c r="P468" s="818"/>
    </row>
    <row r="469" spans="4:16" s="438" customFormat="1" ht="12.75">
      <c r="D469" s="454"/>
      <c r="E469" s="455"/>
      <c r="M469" s="819"/>
      <c r="N469" s="818"/>
      <c r="O469" s="818"/>
      <c r="P469" s="818"/>
    </row>
    <row r="470" spans="4:16" s="438" customFormat="1" ht="12.75">
      <c r="D470" s="454"/>
      <c r="E470" s="455"/>
      <c r="M470" s="819"/>
      <c r="N470" s="818"/>
      <c r="O470" s="818"/>
      <c r="P470" s="818"/>
    </row>
    <row r="471" spans="4:16" s="438" customFormat="1" ht="12.75">
      <c r="D471" s="454"/>
      <c r="E471" s="455"/>
      <c r="M471" s="819"/>
      <c r="N471" s="818"/>
      <c r="O471" s="818"/>
      <c r="P471" s="818"/>
    </row>
    <row r="472" spans="4:16" s="438" customFormat="1" ht="12.75">
      <c r="D472" s="454"/>
      <c r="E472" s="455"/>
      <c r="M472" s="819"/>
      <c r="N472" s="818"/>
      <c r="O472" s="818"/>
      <c r="P472" s="818"/>
    </row>
    <row r="473" spans="4:16" s="438" customFormat="1" ht="12.75">
      <c r="D473" s="454"/>
      <c r="E473" s="455"/>
      <c r="M473" s="819"/>
      <c r="N473" s="818"/>
      <c r="O473" s="818"/>
      <c r="P473" s="818"/>
    </row>
    <row r="474" spans="4:16" s="438" customFormat="1" ht="12.75">
      <c r="D474" s="454"/>
      <c r="E474" s="455"/>
      <c r="M474" s="819"/>
      <c r="N474" s="818"/>
      <c r="O474" s="818"/>
      <c r="P474" s="818"/>
    </row>
    <row r="475" spans="4:16" s="438" customFormat="1" ht="12.75">
      <c r="D475" s="454"/>
      <c r="E475" s="455"/>
      <c r="M475" s="819"/>
      <c r="N475" s="818"/>
      <c r="O475" s="818"/>
      <c r="P475" s="818"/>
    </row>
    <row r="476" spans="4:16" s="438" customFormat="1" ht="12.75">
      <c r="D476" s="454"/>
      <c r="E476" s="455"/>
      <c r="M476" s="819"/>
      <c r="N476" s="818"/>
      <c r="O476" s="818"/>
      <c r="P476" s="818"/>
    </row>
    <row r="477" spans="4:16" s="438" customFormat="1" ht="12.75">
      <c r="D477" s="454"/>
      <c r="E477" s="455"/>
      <c r="M477" s="819"/>
      <c r="N477" s="818"/>
      <c r="O477" s="818"/>
      <c r="P477" s="818"/>
    </row>
    <row r="478" spans="4:16" s="438" customFormat="1" ht="12.75">
      <c r="D478" s="454"/>
      <c r="E478" s="455"/>
      <c r="M478" s="819"/>
      <c r="N478" s="818"/>
      <c r="O478" s="818"/>
      <c r="P478" s="818"/>
    </row>
    <row r="479" spans="4:16" s="438" customFormat="1" ht="12.75">
      <c r="D479" s="454"/>
      <c r="E479" s="455"/>
      <c r="M479" s="819"/>
      <c r="N479" s="818"/>
      <c r="O479" s="818"/>
      <c r="P479" s="818"/>
    </row>
    <row r="480" spans="4:16" s="438" customFormat="1" ht="12.75">
      <c r="D480" s="454"/>
      <c r="E480" s="455"/>
      <c r="M480" s="819"/>
      <c r="N480" s="818"/>
      <c r="O480" s="818"/>
      <c r="P480" s="818"/>
    </row>
    <row r="481" spans="4:16" s="438" customFormat="1" ht="12.75">
      <c r="D481" s="454"/>
      <c r="E481" s="455"/>
      <c r="M481" s="819"/>
      <c r="N481" s="818"/>
      <c r="O481" s="818"/>
      <c r="P481" s="818"/>
    </row>
    <row r="482" spans="4:16" s="438" customFormat="1" ht="12.75">
      <c r="D482" s="454"/>
      <c r="E482" s="455"/>
      <c r="M482" s="819"/>
      <c r="N482" s="818"/>
      <c r="O482" s="818"/>
      <c r="P482" s="818"/>
    </row>
    <row r="483" spans="4:16" s="438" customFormat="1" ht="12.75">
      <c r="D483" s="454"/>
      <c r="E483" s="455"/>
      <c r="M483" s="819"/>
      <c r="N483" s="818"/>
      <c r="O483" s="818"/>
      <c r="P483" s="818"/>
    </row>
    <row r="484" spans="4:16" s="438" customFormat="1" ht="12.75">
      <c r="D484" s="454"/>
      <c r="E484" s="455"/>
      <c r="M484" s="819"/>
      <c r="N484" s="818"/>
      <c r="O484" s="818"/>
      <c r="P484" s="818"/>
    </row>
    <row r="485" spans="4:16" s="438" customFormat="1" ht="12.75">
      <c r="D485" s="454"/>
      <c r="E485" s="455"/>
      <c r="M485" s="819"/>
      <c r="N485" s="818"/>
      <c r="O485" s="818"/>
      <c r="P485" s="818"/>
    </row>
    <row r="486" spans="4:16" s="438" customFormat="1" ht="12.75">
      <c r="D486" s="454"/>
      <c r="E486" s="455"/>
      <c r="M486" s="819"/>
      <c r="N486" s="818"/>
      <c r="O486" s="818"/>
      <c r="P486" s="818"/>
    </row>
    <row r="487" spans="4:16" s="438" customFormat="1" ht="12.75">
      <c r="D487" s="454"/>
      <c r="E487" s="455"/>
      <c r="M487" s="819"/>
      <c r="N487" s="818"/>
      <c r="O487" s="818"/>
      <c r="P487" s="818"/>
    </row>
    <row r="488" spans="4:16" s="438" customFormat="1" ht="12.75">
      <c r="D488" s="454"/>
      <c r="E488" s="455"/>
      <c r="M488" s="819"/>
      <c r="N488" s="818"/>
      <c r="O488" s="818"/>
      <c r="P488" s="818"/>
    </row>
    <row r="489" spans="4:16" s="438" customFormat="1" ht="12.75">
      <c r="D489" s="454"/>
      <c r="E489" s="455"/>
      <c r="M489" s="819"/>
      <c r="N489" s="818"/>
      <c r="O489" s="818"/>
      <c r="P489" s="818"/>
    </row>
    <row r="490" spans="4:16" s="438" customFormat="1" ht="12.75">
      <c r="D490" s="454"/>
      <c r="E490" s="455"/>
      <c r="M490" s="819"/>
      <c r="N490" s="818"/>
      <c r="O490" s="818"/>
      <c r="P490" s="818"/>
    </row>
    <row r="491" spans="4:16" s="438" customFormat="1" ht="12.75">
      <c r="D491" s="454"/>
      <c r="E491" s="455"/>
      <c r="M491" s="819"/>
      <c r="N491" s="818"/>
      <c r="O491" s="818"/>
      <c r="P491" s="818"/>
    </row>
    <row r="492" spans="4:16" s="438" customFormat="1" ht="12.75">
      <c r="D492" s="454"/>
      <c r="E492" s="455"/>
      <c r="M492" s="819"/>
      <c r="N492" s="818"/>
      <c r="O492" s="818"/>
      <c r="P492" s="818"/>
    </row>
    <row r="493" spans="4:16" s="438" customFormat="1" ht="12.75">
      <c r="D493" s="454"/>
      <c r="E493" s="455"/>
      <c r="M493" s="819"/>
      <c r="N493" s="818"/>
      <c r="O493" s="818"/>
      <c r="P493" s="818"/>
    </row>
    <row r="494" spans="4:16" s="438" customFormat="1" ht="12.75">
      <c r="D494" s="454"/>
      <c r="E494" s="455"/>
      <c r="M494" s="819"/>
      <c r="N494" s="818"/>
      <c r="O494" s="818"/>
      <c r="P494" s="818"/>
    </row>
    <row r="495" spans="4:16" s="438" customFormat="1" ht="12.75">
      <c r="D495" s="454"/>
      <c r="E495" s="455"/>
      <c r="M495" s="819"/>
      <c r="N495" s="818"/>
      <c r="O495" s="818"/>
      <c r="P495" s="818"/>
    </row>
    <row r="496" spans="4:16" s="438" customFormat="1" ht="12.75">
      <c r="D496" s="454"/>
      <c r="E496" s="455"/>
      <c r="M496" s="819"/>
      <c r="N496" s="818"/>
      <c r="O496" s="818"/>
      <c r="P496" s="818"/>
    </row>
    <row r="497" spans="4:16" s="438" customFormat="1" ht="12.75">
      <c r="D497" s="454"/>
      <c r="E497" s="455"/>
      <c r="M497" s="819"/>
      <c r="N497" s="818"/>
      <c r="O497" s="818"/>
      <c r="P497" s="818"/>
    </row>
    <row r="498" spans="4:16" s="438" customFormat="1" ht="12.75">
      <c r="D498" s="454"/>
      <c r="E498" s="455"/>
      <c r="M498" s="819"/>
      <c r="N498" s="818"/>
      <c r="O498" s="818"/>
      <c r="P498" s="818"/>
    </row>
    <row r="499" spans="4:16" s="438" customFormat="1" ht="12.75">
      <c r="D499" s="454"/>
      <c r="E499" s="455"/>
      <c r="M499" s="819"/>
      <c r="N499" s="818"/>
      <c r="O499" s="818"/>
      <c r="P499" s="818"/>
    </row>
    <row r="500" spans="4:16" s="438" customFormat="1" ht="12.75">
      <c r="D500" s="454"/>
      <c r="E500" s="455"/>
      <c r="M500" s="819"/>
      <c r="N500" s="818"/>
      <c r="O500" s="818"/>
      <c r="P500" s="818"/>
    </row>
    <row r="501" spans="4:16" s="438" customFormat="1" ht="12.75">
      <c r="D501" s="454"/>
      <c r="E501" s="455"/>
      <c r="M501" s="819"/>
      <c r="N501" s="818"/>
      <c r="O501" s="818"/>
      <c r="P501" s="818"/>
    </row>
    <row r="502" spans="4:16" s="438" customFormat="1" ht="12.75">
      <c r="D502" s="454"/>
      <c r="E502" s="455"/>
      <c r="M502" s="819"/>
      <c r="N502" s="818"/>
      <c r="O502" s="818"/>
      <c r="P502" s="818"/>
    </row>
    <row r="503" spans="4:16" s="438" customFormat="1" ht="12.75">
      <c r="D503" s="454"/>
      <c r="E503" s="455"/>
      <c r="M503" s="819"/>
      <c r="N503" s="818"/>
      <c r="O503" s="818"/>
      <c r="P503" s="818"/>
    </row>
    <row r="504" spans="4:16" s="438" customFormat="1" ht="12.75">
      <c r="D504" s="454"/>
      <c r="E504" s="455"/>
      <c r="M504" s="819"/>
      <c r="N504" s="818"/>
      <c r="O504" s="818"/>
      <c r="P504" s="818"/>
    </row>
    <row r="505" spans="4:16" s="438" customFormat="1" ht="12.75">
      <c r="D505" s="454"/>
      <c r="E505" s="455"/>
      <c r="M505" s="819"/>
      <c r="N505" s="818"/>
      <c r="O505" s="818"/>
      <c r="P505" s="818"/>
    </row>
    <row r="506" spans="4:16" s="438" customFormat="1" ht="12.75">
      <c r="D506" s="454"/>
      <c r="E506" s="455"/>
      <c r="M506" s="819"/>
      <c r="N506" s="818"/>
      <c r="O506" s="818"/>
      <c r="P506" s="818"/>
    </row>
    <row r="507" spans="4:16" s="438" customFormat="1" ht="12.75">
      <c r="D507" s="454"/>
      <c r="E507" s="455"/>
      <c r="M507" s="819"/>
      <c r="N507" s="818"/>
      <c r="O507" s="818"/>
      <c r="P507" s="818"/>
    </row>
    <row r="508" spans="4:16" s="438" customFormat="1" ht="12.75">
      <c r="D508" s="454"/>
      <c r="E508" s="455"/>
      <c r="M508" s="819"/>
      <c r="N508" s="818"/>
      <c r="O508" s="818"/>
      <c r="P508" s="818"/>
    </row>
    <row r="509" spans="4:16" s="438" customFormat="1" ht="12.75">
      <c r="D509" s="454"/>
      <c r="E509" s="455"/>
      <c r="M509" s="819"/>
      <c r="N509" s="818"/>
      <c r="O509" s="818"/>
      <c r="P509" s="818"/>
    </row>
    <row r="510" spans="4:16" s="438" customFormat="1" ht="12.75">
      <c r="D510" s="454"/>
      <c r="E510" s="455"/>
      <c r="M510" s="819"/>
      <c r="N510" s="818"/>
      <c r="O510" s="818"/>
      <c r="P510" s="818"/>
    </row>
    <row r="511" spans="4:16" s="438" customFormat="1" ht="12.75">
      <c r="D511" s="454"/>
      <c r="E511" s="455"/>
      <c r="M511" s="819"/>
      <c r="N511" s="818"/>
      <c r="O511" s="818"/>
      <c r="P511" s="818"/>
    </row>
    <row r="512" spans="4:16" s="438" customFormat="1" ht="12.75">
      <c r="D512" s="454"/>
      <c r="E512" s="455"/>
      <c r="M512" s="819"/>
      <c r="N512" s="818"/>
      <c r="O512" s="818"/>
      <c r="P512" s="818"/>
    </row>
    <row r="513" spans="4:16" s="438" customFormat="1" ht="12.75">
      <c r="D513" s="454"/>
      <c r="E513" s="455"/>
      <c r="M513" s="819"/>
      <c r="N513" s="818"/>
      <c r="O513" s="818"/>
      <c r="P513" s="818"/>
    </row>
    <row r="514" spans="4:16" s="438" customFormat="1" ht="12.75">
      <c r="D514" s="454"/>
      <c r="E514" s="455"/>
      <c r="M514" s="819"/>
      <c r="N514" s="818"/>
      <c r="O514" s="818"/>
      <c r="P514" s="818"/>
    </row>
    <row r="515" spans="4:16" s="438" customFormat="1" ht="12.75">
      <c r="D515" s="454"/>
      <c r="E515" s="455"/>
      <c r="M515" s="819"/>
      <c r="N515" s="818"/>
      <c r="O515" s="818"/>
      <c r="P515" s="818"/>
    </row>
    <row r="516" spans="4:16" s="438" customFormat="1" ht="12.75">
      <c r="D516" s="454"/>
      <c r="E516" s="455"/>
      <c r="M516" s="819"/>
      <c r="N516" s="818"/>
      <c r="O516" s="818"/>
      <c r="P516" s="818"/>
    </row>
    <row r="517" spans="4:16" s="438" customFormat="1" ht="12.75">
      <c r="D517" s="454"/>
      <c r="E517" s="455"/>
      <c r="M517" s="819"/>
      <c r="N517" s="818"/>
      <c r="O517" s="818"/>
      <c r="P517" s="818"/>
    </row>
    <row r="518" spans="4:16" s="438" customFormat="1" ht="12.75">
      <c r="D518" s="454"/>
      <c r="E518" s="455"/>
      <c r="M518" s="819"/>
      <c r="N518" s="818"/>
      <c r="O518" s="818"/>
      <c r="P518" s="818"/>
    </row>
    <row r="519" spans="4:16" s="438" customFormat="1" ht="12.75">
      <c r="D519" s="454"/>
      <c r="E519" s="455"/>
      <c r="M519" s="819"/>
      <c r="N519" s="818"/>
      <c r="O519" s="818"/>
      <c r="P519" s="818"/>
    </row>
    <row r="520" spans="4:16" s="438" customFormat="1" ht="12.75">
      <c r="D520" s="454"/>
      <c r="E520" s="455"/>
      <c r="M520" s="819"/>
      <c r="N520" s="818"/>
      <c r="O520" s="818"/>
      <c r="P520" s="818"/>
    </row>
    <row r="521" spans="4:16" s="438" customFormat="1" ht="12.75">
      <c r="D521" s="454"/>
      <c r="E521" s="455"/>
      <c r="M521" s="819"/>
      <c r="N521" s="818"/>
      <c r="O521" s="818"/>
      <c r="P521" s="818"/>
    </row>
    <row r="522" spans="4:16" s="438" customFormat="1" ht="12.75">
      <c r="D522" s="454"/>
      <c r="E522" s="455"/>
      <c r="M522" s="819"/>
      <c r="N522" s="818"/>
      <c r="O522" s="818"/>
      <c r="P522" s="818"/>
    </row>
    <row r="523" spans="4:16" s="438" customFormat="1" ht="12.75">
      <c r="D523" s="454"/>
      <c r="E523" s="455"/>
      <c r="M523" s="819"/>
      <c r="N523" s="818"/>
      <c r="O523" s="818"/>
      <c r="P523" s="818"/>
    </row>
    <row r="524" spans="4:16" s="438" customFormat="1" ht="12.75">
      <c r="D524" s="454"/>
      <c r="E524" s="455"/>
      <c r="M524" s="819"/>
      <c r="N524" s="818"/>
      <c r="O524" s="818"/>
      <c r="P524" s="818"/>
    </row>
    <row r="525" spans="4:16" s="438" customFormat="1" ht="12.75">
      <c r="D525" s="454"/>
      <c r="E525" s="455"/>
      <c r="M525" s="819"/>
      <c r="N525" s="818"/>
      <c r="O525" s="818"/>
      <c r="P525" s="818"/>
    </row>
    <row r="526" spans="4:16" s="438" customFormat="1" ht="12.75">
      <c r="D526" s="454"/>
      <c r="E526" s="455"/>
      <c r="M526" s="819"/>
      <c r="N526" s="818"/>
      <c r="O526" s="818"/>
      <c r="P526" s="818"/>
    </row>
    <row r="527" spans="4:16" s="438" customFormat="1" ht="12.75">
      <c r="D527" s="454"/>
      <c r="E527" s="455"/>
      <c r="M527" s="819"/>
      <c r="N527" s="818"/>
      <c r="O527" s="818"/>
      <c r="P527" s="818"/>
    </row>
    <row r="528" spans="4:16" s="438" customFormat="1" ht="12.75">
      <c r="D528" s="454"/>
      <c r="E528" s="455"/>
      <c r="M528" s="819"/>
      <c r="N528" s="818"/>
      <c r="O528" s="818"/>
      <c r="P528" s="818"/>
    </row>
    <row r="529" spans="4:16" s="438" customFormat="1" ht="12.75">
      <c r="D529" s="454"/>
      <c r="E529" s="455"/>
      <c r="M529" s="819"/>
      <c r="N529" s="818"/>
      <c r="O529" s="818"/>
      <c r="P529" s="818"/>
    </row>
    <row r="530" spans="4:16" s="438" customFormat="1" ht="12.75">
      <c r="D530" s="454"/>
      <c r="E530" s="455"/>
      <c r="M530" s="819"/>
      <c r="N530" s="818"/>
      <c r="O530" s="818"/>
      <c r="P530" s="818"/>
    </row>
    <row r="531" spans="4:16" s="438" customFormat="1" ht="12.75">
      <c r="D531" s="454"/>
      <c r="E531" s="455"/>
      <c r="M531" s="819"/>
      <c r="N531" s="818"/>
      <c r="O531" s="818"/>
      <c r="P531" s="818"/>
    </row>
    <row r="532" spans="4:16" s="438" customFormat="1" ht="12.75">
      <c r="D532" s="454"/>
      <c r="E532" s="455"/>
      <c r="M532" s="819"/>
      <c r="N532" s="818"/>
      <c r="O532" s="818"/>
      <c r="P532" s="818"/>
    </row>
    <row r="533" spans="4:16" s="438" customFormat="1" ht="12.75">
      <c r="D533" s="454"/>
      <c r="E533" s="455"/>
      <c r="M533" s="819"/>
      <c r="N533" s="818"/>
      <c r="O533" s="818"/>
      <c r="P533" s="818"/>
    </row>
    <row r="534" spans="4:16" s="438" customFormat="1" ht="12.75">
      <c r="D534" s="454"/>
      <c r="E534" s="455"/>
      <c r="M534" s="819"/>
      <c r="N534" s="818"/>
      <c r="O534" s="818"/>
      <c r="P534" s="818"/>
    </row>
    <row r="535" spans="4:16" s="438" customFormat="1" ht="12.75">
      <c r="D535" s="454"/>
      <c r="E535" s="455"/>
      <c r="M535" s="819"/>
      <c r="N535" s="818"/>
      <c r="O535" s="818"/>
      <c r="P535" s="818"/>
    </row>
    <row r="536" spans="4:16" s="438" customFormat="1" ht="12.75">
      <c r="D536" s="454"/>
      <c r="E536" s="455"/>
      <c r="M536" s="819"/>
      <c r="N536" s="818"/>
      <c r="O536" s="818"/>
      <c r="P536" s="818"/>
    </row>
    <row r="537" spans="4:16" s="438" customFormat="1" ht="12.75">
      <c r="D537" s="454"/>
      <c r="E537" s="455"/>
      <c r="M537" s="819"/>
      <c r="N537" s="818"/>
      <c r="O537" s="818"/>
      <c r="P537" s="818"/>
    </row>
    <row r="538" spans="4:16" s="438" customFormat="1" ht="12.75">
      <c r="D538" s="454"/>
      <c r="E538" s="455"/>
      <c r="M538" s="819"/>
      <c r="N538" s="818"/>
      <c r="O538" s="818"/>
      <c r="P538" s="818"/>
    </row>
    <row r="539" spans="4:16" s="438" customFormat="1" ht="12.75">
      <c r="D539" s="454"/>
      <c r="E539" s="455"/>
      <c r="M539" s="819"/>
      <c r="N539" s="818"/>
      <c r="O539" s="818"/>
      <c r="P539" s="818"/>
    </row>
    <row r="540" spans="4:16" s="438" customFormat="1" ht="12.75">
      <c r="D540" s="454"/>
      <c r="E540" s="455"/>
      <c r="M540" s="819"/>
      <c r="N540" s="818"/>
      <c r="O540" s="818"/>
      <c r="P540" s="818"/>
    </row>
    <row r="541" spans="4:16" s="438" customFormat="1" ht="12.75">
      <c r="D541" s="454"/>
      <c r="E541" s="455"/>
      <c r="M541" s="819"/>
      <c r="N541" s="818"/>
      <c r="O541" s="818"/>
      <c r="P541" s="818"/>
    </row>
    <row r="542" spans="4:16" s="438" customFormat="1" ht="12.75">
      <c r="D542" s="454"/>
      <c r="E542" s="455"/>
      <c r="M542" s="819"/>
      <c r="N542" s="818"/>
      <c r="O542" s="818"/>
      <c r="P542" s="818"/>
    </row>
    <row r="543" spans="4:16" s="438" customFormat="1" ht="12.75">
      <c r="D543" s="454"/>
      <c r="E543" s="455"/>
      <c r="M543" s="819"/>
      <c r="N543" s="818"/>
      <c r="O543" s="818"/>
      <c r="P543" s="818"/>
    </row>
    <row r="544" spans="4:16" s="438" customFormat="1" ht="12.75">
      <c r="D544" s="454"/>
      <c r="E544" s="455"/>
      <c r="M544" s="819"/>
      <c r="N544" s="818"/>
      <c r="O544" s="818"/>
      <c r="P544" s="818"/>
    </row>
    <row r="545" spans="4:16" s="438" customFormat="1" ht="12.75">
      <c r="D545" s="454"/>
      <c r="E545" s="455"/>
      <c r="M545" s="819"/>
      <c r="N545" s="818"/>
      <c r="O545" s="818"/>
      <c r="P545" s="818"/>
    </row>
    <row r="546" spans="4:16" s="438" customFormat="1" ht="12.75">
      <c r="D546" s="454"/>
      <c r="E546" s="455"/>
      <c r="M546" s="819"/>
      <c r="N546" s="818"/>
      <c r="O546" s="818"/>
      <c r="P546" s="818"/>
    </row>
    <row r="547" spans="4:16" s="438" customFormat="1" ht="12.75">
      <c r="D547" s="454"/>
      <c r="E547" s="455"/>
      <c r="M547" s="819"/>
      <c r="N547" s="818"/>
      <c r="O547" s="818"/>
      <c r="P547" s="818"/>
    </row>
    <row r="548" spans="4:16" s="438" customFormat="1" ht="12.75">
      <c r="D548" s="454"/>
      <c r="E548" s="455"/>
      <c r="M548" s="819"/>
      <c r="N548" s="818"/>
      <c r="O548" s="818"/>
      <c r="P548" s="818"/>
    </row>
    <row r="549" spans="4:16" s="438" customFormat="1" ht="12.75">
      <c r="D549" s="454"/>
      <c r="E549" s="455"/>
      <c r="M549" s="819"/>
      <c r="N549" s="818"/>
      <c r="O549" s="818"/>
      <c r="P549" s="818"/>
    </row>
    <row r="550" spans="4:16" s="438" customFormat="1" ht="12.75">
      <c r="D550" s="454"/>
      <c r="E550" s="455"/>
      <c r="M550" s="819"/>
      <c r="N550" s="818"/>
      <c r="O550" s="818"/>
      <c r="P550" s="818"/>
    </row>
    <row r="551" spans="1:16" s="438" customFormat="1" ht="12.75">
      <c r="A551" s="462"/>
      <c r="B551" s="462"/>
      <c r="C551" s="462"/>
      <c r="D551" s="463"/>
      <c r="E551" s="464"/>
      <c r="M551" s="819"/>
      <c r="N551" s="818"/>
      <c r="O551" s="818"/>
      <c r="P551" s="818"/>
    </row>
    <row r="552" spans="1:16" s="438" customFormat="1" ht="12.75">
      <c r="A552" s="462"/>
      <c r="B552" s="462"/>
      <c r="C552" s="462"/>
      <c r="D552" s="463"/>
      <c r="E552" s="464"/>
      <c r="M552" s="819"/>
      <c r="N552" s="818"/>
      <c r="O552" s="818"/>
      <c r="P552" s="818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fitToHeight="2"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N569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4.28125" style="462" customWidth="1"/>
    <col min="2" max="2" width="18.140625" style="462" customWidth="1"/>
    <col min="3" max="3" width="15.28125" style="462" customWidth="1"/>
    <col min="4" max="4" width="15.140625" style="462" customWidth="1"/>
    <col min="5" max="5" width="4.140625" style="465" customWidth="1"/>
    <col min="6" max="6" width="10.7109375" style="780" hidden="1" customWidth="1"/>
    <col min="7" max="7" width="11.7109375" style="462" hidden="1" customWidth="1"/>
    <col min="8" max="8" width="0" style="462" hidden="1" customWidth="1"/>
    <col min="9" max="9" width="10.7109375" style="462" hidden="1" customWidth="1"/>
    <col min="10" max="10" width="0" style="462" hidden="1" customWidth="1"/>
    <col min="11" max="11" width="10.7109375" style="462" hidden="1" customWidth="1"/>
    <col min="12" max="14" width="0" style="462" hidden="1" customWidth="1"/>
    <col min="15" max="16384" width="10.7109375" style="462" customWidth="1"/>
  </cols>
  <sheetData>
    <row r="1" spans="1:3" ht="12.75">
      <c r="A1" s="379"/>
      <c r="B1" s="755" t="s">
        <v>426</v>
      </c>
      <c r="C1" s="379"/>
    </row>
    <row r="2" spans="1:3" ht="12.75">
      <c r="A2" s="379"/>
      <c r="B2" s="756" t="s">
        <v>427</v>
      </c>
      <c r="C2" s="379"/>
    </row>
    <row r="3" spans="1:3" ht="12.75">
      <c r="A3" s="379"/>
      <c r="B3" s="379"/>
      <c r="C3" s="379"/>
    </row>
    <row r="4" spans="1:3" ht="12.75">
      <c r="A4" s="752" t="s">
        <v>260</v>
      </c>
      <c r="B4" s="757">
        <v>42339</v>
      </c>
      <c r="C4" s="379"/>
    </row>
    <row r="5" spans="1:3" ht="12.75">
      <c r="A5" s="752" t="s">
        <v>425</v>
      </c>
      <c r="B5" s="758" t="s">
        <v>428</v>
      </c>
      <c r="C5" s="379"/>
    </row>
    <row r="7" spans="1:14" s="438" customFormat="1" ht="49.5" customHeight="1">
      <c r="A7" s="935" t="s">
        <v>106</v>
      </c>
      <c r="B7" s="936"/>
      <c r="C7" s="937"/>
      <c r="D7" s="437">
        <f>CPYG!D7</f>
        <v>2016</v>
      </c>
      <c r="E7" s="466"/>
      <c r="F7" s="819"/>
      <c r="G7" s="818"/>
      <c r="H7" s="818"/>
      <c r="I7" s="818"/>
      <c r="J7" s="818"/>
      <c r="K7" s="818"/>
      <c r="L7" s="818"/>
      <c r="M7" s="818"/>
      <c r="N7" s="818"/>
    </row>
    <row r="8" spans="1:14" s="438" customFormat="1" ht="25.5" customHeight="1">
      <c r="A8" s="943" t="str">
        <f>CPYG!A8</f>
        <v>EMPRESA PÚBLICA: AUDITORIO DE TENERIFE, S.A.U.</v>
      </c>
      <c r="B8" s="944"/>
      <c r="C8" s="944"/>
      <c r="D8" s="437" t="s">
        <v>108</v>
      </c>
      <c r="E8" s="381"/>
      <c r="F8" s="819"/>
      <c r="G8" s="818"/>
      <c r="H8" s="818"/>
      <c r="I8" s="818"/>
      <c r="J8" s="818"/>
      <c r="K8" s="818"/>
      <c r="L8" s="818"/>
      <c r="M8" s="818"/>
      <c r="N8" s="818"/>
    </row>
    <row r="9" spans="1:14" s="438" customFormat="1" ht="24.75" customHeight="1">
      <c r="A9" s="942" t="s">
        <v>429</v>
      </c>
      <c r="B9" s="942"/>
      <c r="C9" s="942"/>
      <c r="D9" s="942"/>
      <c r="E9" s="439"/>
      <c r="F9" s="819"/>
      <c r="G9" s="818"/>
      <c r="H9" s="818"/>
      <c r="I9" s="818"/>
      <c r="J9" s="818"/>
      <c r="K9" s="818"/>
      <c r="L9" s="818"/>
      <c r="M9" s="818"/>
      <c r="N9" s="818"/>
    </row>
    <row r="10" spans="1:14" s="438" customFormat="1" ht="48" customHeight="1">
      <c r="A10" s="440" t="s">
        <v>405</v>
      </c>
      <c r="B10" s="225" t="s">
        <v>545</v>
      </c>
      <c r="C10" s="467" t="s">
        <v>431</v>
      </c>
      <c r="D10" s="467" t="s">
        <v>546</v>
      </c>
      <c r="E10" s="468"/>
      <c r="F10" s="831" t="s">
        <v>458</v>
      </c>
      <c r="G10" s="818"/>
      <c r="H10" s="818"/>
      <c r="I10" s="818"/>
      <c r="J10" s="818"/>
      <c r="K10" s="818"/>
      <c r="L10" s="818"/>
      <c r="M10" s="818"/>
      <c r="N10" s="818"/>
    </row>
    <row r="11" spans="1:14" s="438" customFormat="1" ht="22.5" customHeight="1">
      <c r="A11" s="469" t="s">
        <v>147</v>
      </c>
      <c r="B11" s="513">
        <f>B12+B28+B32</f>
        <v>943083.3600000003</v>
      </c>
      <c r="C11" s="513">
        <f>C12+C28+C32</f>
        <v>1085823.23</v>
      </c>
      <c r="D11" s="513">
        <f>D12+D28+D32</f>
        <v>1353492.5025000004</v>
      </c>
      <c r="E11" s="445"/>
      <c r="F11" s="832">
        <f>+D11-C11</f>
        <v>267669.2725000004</v>
      </c>
      <c r="G11" s="818"/>
      <c r="H11" s="818"/>
      <c r="I11" s="818"/>
      <c r="J11" s="818"/>
      <c r="K11" s="818"/>
      <c r="L11" s="818"/>
      <c r="M11" s="818"/>
      <c r="N11" s="818"/>
    </row>
    <row r="12" spans="1:14" s="438" customFormat="1" ht="19.5" customHeight="1">
      <c r="A12" s="470" t="s">
        <v>148</v>
      </c>
      <c r="B12" s="550">
        <f>+B13+B16+B17+B20+B21+B24+B25+B26+B27</f>
        <v>938376.8800000004</v>
      </c>
      <c r="C12" s="550">
        <f>+C13+C16+C17+C20+C21+C24+C25+C26+C27</f>
        <v>938376.8800000001</v>
      </c>
      <c r="D12" s="550">
        <f>+D13+D16+D17+D20+D21+D24+D25+D26+D27</f>
        <v>938376.8825000005</v>
      </c>
      <c r="E12" s="460"/>
      <c r="F12" s="833"/>
      <c r="G12" s="818"/>
      <c r="H12" s="818"/>
      <c r="I12" s="818"/>
      <c r="J12" s="818"/>
      <c r="K12" s="818"/>
      <c r="L12" s="818"/>
      <c r="M12" s="818"/>
      <c r="N12" s="818"/>
    </row>
    <row r="13" spans="1:14" s="438" customFormat="1" ht="19.5" customHeight="1">
      <c r="A13" s="470" t="s">
        <v>149</v>
      </c>
      <c r="B13" s="551">
        <f>SUM(B14:B15)</f>
        <v>1462287.83</v>
      </c>
      <c r="C13" s="551">
        <f>SUM(C14:C15)</f>
        <v>1462287.83</v>
      </c>
      <c r="D13" s="551">
        <f>SUM(D14:D15)</f>
        <v>1462287.83</v>
      </c>
      <c r="E13" s="456"/>
      <c r="F13" s="833"/>
      <c r="G13" s="818"/>
      <c r="H13" s="818"/>
      <c r="I13" s="818"/>
      <c r="J13" s="818"/>
      <c r="K13" s="818"/>
      <c r="L13" s="818"/>
      <c r="M13" s="818"/>
      <c r="N13" s="818"/>
    </row>
    <row r="14" spans="1:14" s="438" customFormat="1" ht="19.5" customHeight="1">
      <c r="A14" s="471" t="s">
        <v>11</v>
      </c>
      <c r="B14" s="545">
        <v>1462287.83</v>
      </c>
      <c r="C14" s="545">
        <v>1462287.83</v>
      </c>
      <c r="D14" s="545">
        <v>1462287.83</v>
      </c>
      <c r="E14" s="456"/>
      <c r="F14" s="833"/>
      <c r="G14" s="818"/>
      <c r="H14" s="818"/>
      <c r="I14" s="818"/>
      <c r="J14" s="818"/>
      <c r="K14" s="818"/>
      <c r="L14" s="818"/>
      <c r="M14" s="818"/>
      <c r="N14" s="818"/>
    </row>
    <row r="15" spans="1:14" s="438" customFormat="1" ht="19.5" customHeight="1">
      <c r="A15" s="471" t="s">
        <v>12</v>
      </c>
      <c r="B15" s="545"/>
      <c r="C15" s="545"/>
      <c r="D15" s="545"/>
      <c r="E15" s="456"/>
      <c r="F15" s="833"/>
      <c r="G15" s="818"/>
      <c r="H15" s="818"/>
      <c r="I15" s="818"/>
      <c r="J15" s="818"/>
      <c r="K15" s="818"/>
      <c r="L15" s="818"/>
      <c r="M15" s="818"/>
      <c r="N15" s="818"/>
    </row>
    <row r="16" spans="1:14" s="438" customFormat="1" ht="19.5" customHeight="1">
      <c r="A16" s="470" t="s">
        <v>109</v>
      </c>
      <c r="B16" s="545"/>
      <c r="C16" s="545"/>
      <c r="D16" s="545"/>
      <c r="E16" s="456"/>
      <c r="F16" s="833"/>
      <c r="G16" s="818"/>
      <c r="H16" s="818"/>
      <c r="I16" s="818"/>
      <c r="J16" s="818"/>
      <c r="K16" s="818"/>
      <c r="L16" s="818"/>
      <c r="M16" s="818"/>
      <c r="N16" s="818"/>
    </row>
    <row r="17" spans="1:14" s="438" customFormat="1" ht="19.5" customHeight="1">
      <c r="A17" s="470" t="s">
        <v>150</v>
      </c>
      <c r="B17" s="551">
        <f>SUM(B18:B19)</f>
        <v>127147.36</v>
      </c>
      <c r="C17" s="551">
        <f>SUM(C18:C19)</f>
        <v>127147.36</v>
      </c>
      <c r="D17" s="551">
        <f>SUM(D18:D19)</f>
        <v>127147.36</v>
      </c>
      <c r="E17" s="456"/>
      <c r="F17" s="833"/>
      <c r="G17" s="818"/>
      <c r="H17" s="818"/>
      <c r="I17" s="818"/>
      <c r="J17" s="818"/>
      <c r="K17" s="818"/>
      <c r="L17" s="818"/>
      <c r="M17" s="818"/>
      <c r="N17" s="818"/>
    </row>
    <row r="18" spans="1:14" s="438" customFormat="1" ht="19.5" customHeight="1">
      <c r="A18" s="471" t="s">
        <v>13</v>
      </c>
      <c r="B18" s="545">
        <v>15899.41</v>
      </c>
      <c r="C18" s="545">
        <v>15899.41</v>
      </c>
      <c r="D18" s="545">
        <v>15899.41</v>
      </c>
      <c r="E18" s="456"/>
      <c r="F18" s="833"/>
      <c r="G18" s="818"/>
      <c r="H18" s="818"/>
      <c r="I18" s="818"/>
      <c r="J18" s="818"/>
      <c r="K18" s="818"/>
      <c r="L18" s="818"/>
      <c r="M18" s="818"/>
      <c r="N18" s="818"/>
    </row>
    <row r="19" spans="1:14" s="438" customFormat="1" ht="19.5" customHeight="1">
      <c r="A19" s="471" t="s">
        <v>14</v>
      </c>
      <c r="B19" s="545">
        <v>111247.95</v>
      </c>
      <c r="C19" s="545">
        <v>111247.95</v>
      </c>
      <c r="D19" s="545">
        <v>111247.95</v>
      </c>
      <c r="E19" s="456"/>
      <c r="F19" s="833"/>
      <c r="G19" s="818"/>
      <c r="H19" s="818"/>
      <c r="I19" s="818"/>
      <c r="J19" s="818"/>
      <c r="K19" s="818"/>
      <c r="L19" s="818"/>
      <c r="M19" s="818"/>
      <c r="N19" s="818"/>
    </row>
    <row r="20" spans="1:14" s="438" customFormat="1" ht="19.5" customHeight="1">
      <c r="A20" s="764" t="s">
        <v>15</v>
      </c>
      <c r="B20" s="545"/>
      <c r="C20" s="545"/>
      <c r="D20" s="545"/>
      <c r="E20" s="456"/>
      <c r="F20" s="833"/>
      <c r="G20" s="818"/>
      <c r="H20" s="818"/>
      <c r="I20" s="818"/>
      <c r="J20" s="818"/>
      <c r="K20" s="818"/>
      <c r="L20" s="818"/>
      <c r="M20" s="818"/>
      <c r="N20" s="818"/>
    </row>
    <row r="21" spans="1:14" s="438" customFormat="1" ht="19.5" customHeight="1">
      <c r="A21" s="470" t="s">
        <v>110</v>
      </c>
      <c r="B21" s="551">
        <f>SUM(B22:B23)</f>
        <v>-686715.55</v>
      </c>
      <c r="C21" s="551">
        <f>SUM(C22:C23)</f>
        <v>-651058.31</v>
      </c>
      <c r="D21" s="551">
        <f>SUM(D22:D23)</f>
        <v>-651058.31</v>
      </c>
      <c r="E21" s="456"/>
      <c r="F21" s="833"/>
      <c r="G21" s="818"/>
      <c r="H21" s="818"/>
      <c r="I21" s="818"/>
      <c r="J21" s="818"/>
      <c r="K21" s="818"/>
      <c r="L21" s="818"/>
      <c r="M21" s="818"/>
      <c r="N21" s="818"/>
    </row>
    <row r="22" spans="1:14" s="438" customFormat="1" ht="19.5" customHeight="1">
      <c r="A22" s="471" t="s">
        <v>16</v>
      </c>
      <c r="B22" s="545"/>
      <c r="C22" s="545"/>
      <c r="D22" s="545"/>
      <c r="E22" s="456"/>
      <c r="F22" s="833"/>
      <c r="G22" s="818"/>
      <c r="H22" s="818"/>
      <c r="I22" s="818"/>
      <c r="J22" s="818"/>
      <c r="K22" s="818"/>
      <c r="L22" s="818"/>
      <c r="M22" s="818"/>
      <c r="N22" s="818"/>
    </row>
    <row r="23" spans="1:14" s="438" customFormat="1" ht="19.5" customHeight="1">
      <c r="A23" s="471" t="s">
        <v>151</v>
      </c>
      <c r="B23" s="545">
        <v>-686715.55</v>
      </c>
      <c r="C23" s="546">
        <v>-651058.31</v>
      </c>
      <c r="D23" s="546">
        <v>-651058.31</v>
      </c>
      <c r="E23" s="456"/>
      <c r="F23" s="833"/>
      <c r="G23" s="818"/>
      <c r="H23" s="818"/>
      <c r="I23" s="818"/>
      <c r="J23" s="818"/>
      <c r="K23" s="818"/>
      <c r="L23" s="818"/>
      <c r="M23" s="818"/>
      <c r="N23" s="818"/>
    </row>
    <row r="24" spans="1:14" s="438" customFormat="1" ht="19.5" customHeight="1">
      <c r="A24" s="470" t="s">
        <v>18</v>
      </c>
      <c r="B24" s="546">
        <v>1968428.3</v>
      </c>
      <c r="C24" s="546">
        <f>+'Transf. y subv.'!D40</f>
        <v>1913775.36</v>
      </c>
      <c r="D24" s="546">
        <f>+'Transf. y subv.'!E40</f>
        <v>1952647.8000000003</v>
      </c>
      <c r="E24" s="456"/>
      <c r="F24" s="833">
        <f>+D24-C24</f>
        <v>38872.44000000018</v>
      </c>
      <c r="G24" s="818"/>
      <c r="H24" s="818"/>
      <c r="I24" s="818"/>
      <c r="J24" s="818"/>
      <c r="K24" s="818"/>
      <c r="L24" s="818"/>
      <c r="M24" s="818"/>
      <c r="N24" s="818"/>
    </row>
    <row r="25" spans="1:14" s="438" customFormat="1" ht="19.5" customHeight="1">
      <c r="A25" s="470" t="s">
        <v>19</v>
      </c>
      <c r="B25" s="547">
        <f>CPYG!B111</f>
        <v>-1932771.06</v>
      </c>
      <c r="C25" s="548">
        <f>CPYG!C111</f>
        <v>-1913775.36</v>
      </c>
      <c r="D25" s="548">
        <f>CPYG!D111</f>
        <v>-1952647.7975</v>
      </c>
      <c r="E25" s="472"/>
      <c r="F25" s="833">
        <f>+D25-C25</f>
        <v>-38872.4375</v>
      </c>
      <c r="G25" s="818"/>
      <c r="H25" s="818"/>
      <c r="I25" s="818"/>
      <c r="J25" s="818"/>
      <c r="K25" s="818"/>
      <c r="L25" s="818"/>
      <c r="M25" s="818"/>
      <c r="N25" s="818"/>
    </row>
    <row r="26" spans="1:14" s="438" customFormat="1" ht="19.5" customHeight="1">
      <c r="A26" s="470" t="s">
        <v>20</v>
      </c>
      <c r="B26" s="545"/>
      <c r="C26" s="545"/>
      <c r="D26" s="545"/>
      <c r="E26" s="456"/>
      <c r="F26" s="833"/>
      <c r="G26" s="818"/>
      <c r="H26" s="818"/>
      <c r="I26" s="834">
        <f>+F32-400000</f>
        <v>-132330.72999999998</v>
      </c>
      <c r="J26" s="818"/>
      <c r="K26" s="818"/>
      <c r="L26" s="818"/>
      <c r="M26" s="818"/>
      <c r="N26" s="818"/>
    </row>
    <row r="27" spans="1:14" s="438" customFormat="1" ht="19.5" customHeight="1">
      <c r="A27" s="470" t="s">
        <v>21</v>
      </c>
      <c r="B27" s="545"/>
      <c r="C27" s="545"/>
      <c r="D27" s="545"/>
      <c r="E27" s="456"/>
      <c r="F27" s="833"/>
      <c r="G27" s="818"/>
      <c r="H27" s="818"/>
      <c r="I27" s="818"/>
      <c r="J27" s="818"/>
      <c r="K27" s="818"/>
      <c r="L27" s="818"/>
      <c r="M27" s="818"/>
      <c r="N27" s="818"/>
    </row>
    <row r="28" spans="1:14" s="438" customFormat="1" ht="19.5" customHeight="1">
      <c r="A28" s="470" t="s">
        <v>22</v>
      </c>
      <c r="B28" s="550">
        <f>SUM(B29:B31)</f>
        <v>0</v>
      </c>
      <c r="C28" s="550">
        <f>SUM(C29:C31)</f>
        <v>0</v>
      </c>
      <c r="D28" s="550">
        <f>SUM(D29:D31)</f>
        <v>0</v>
      </c>
      <c r="E28" s="460"/>
      <c r="F28" s="833"/>
      <c r="G28" s="818"/>
      <c r="H28" s="818"/>
      <c r="I28" s="818"/>
      <c r="J28" s="818"/>
      <c r="K28" s="818"/>
      <c r="L28" s="818"/>
      <c r="M28" s="818"/>
      <c r="N28" s="818"/>
    </row>
    <row r="29" spans="1:14" s="438" customFormat="1" ht="19.5" customHeight="1">
      <c r="A29" s="470" t="s">
        <v>23</v>
      </c>
      <c r="B29" s="545"/>
      <c r="C29" s="545"/>
      <c r="D29" s="545"/>
      <c r="E29" s="456"/>
      <c r="F29" s="833"/>
      <c r="G29" s="818"/>
      <c r="H29" s="818"/>
      <c r="I29" s="818"/>
      <c r="J29" s="818"/>
      <c r="K29" s="818"/>
      <c r="L29" s="818"/>
      <c r="M29" s="818"/>
      <c r="N29" s="818"/>
    </row>
    <row r="30" spans="1:14" s="438" customFormat="1" ht="19.5" customHeight="1">
      <c r="A30" s="470" t="s">
        <v>24</v>
      </c>
      <c r="B30" s="545"/>
      <c r="C30" s="545"/>
      <c r="D30" s="545"/>
      <c r="E30" s="456"/>
      <c r="F30" s="833"/>
      <c r="G30" s="818"/>
      <c r="H30" s="818"/>
      <c r="I30" s="818"/>
      <c r="J30" s="818"/>
      <c r="K30" s="818"/>
      <c r="L30" s="818"/>
      <c r="M30" s="818"/>
      <c r="N30" s="818"/>
    </row>
    <row r="31" spans="1:14" s="438" customFormat="1" ht="19.5" customHeight="1">
      <c r="A31" s="470" t="s">
        <v>25</v>
      </c>
      <c r="B31" s="545"/>
      <c r="C31" s="546"/>
      <c r="D31" s="546"/>
      <c r="E31" s="456"/>
      <c r="F31" s="833"/>
      <c r="G31" s="818"/>
      <c r="H31" s="818"/>
      <c r="I31" s="818"/>
      <c r="J31" s="818"/>
      <c r="K31" s="818"/>
      <c r="L31" s="818"/>
      <c r="M31" s="818"/>
      <c r="N31" s="818"/>
    </row>
    <row r="32" spans="1:14" s="438" customFormat="1" ht="19.5" customHeight="1">
      <c r="A32" s="470" t="s">
        <v>26</v>
      </c>
      <c r="B32" s="545">
        <v>4706.48</v>
      </c>
      <c r="C32" s="546">
        <f>1856.3+145590.05</f>
        <v>147446.34999999998</v>
      </c>
      <c r="D32" s="546">
        <f>111115.62+304000</f>
        <v>415115.62</v>
      </c>
      <c r="E32" s="456"/>
      <c r="F32" s="833">
        <f>+D32-C32</f>
        <v>267669.27</v>
      </c>
      <c r="G32" s="834"/>
      <c r="H32" s="818"/>
      <c r="I32" s="834">
        <f>+C32+400000</f>
        <v>547446.35</v>
      </c>
      <c r="J32" s="818"/>
      <c r="K32" s="834">
        <f>+I32-D32</f>
        <v>132330.72999999998</v>
      </c>
      <c r="L32" s="818"/>
      <c r="M32" s="818"/>
      <c r="N32" s="818"/>
    </row>
    <row r="33" spans="1:14" s="438" customFormat="1" ht="19.5" customHeight="1">
      <c r="A33" s="469" t="s">
        <v>152</v>
      </c>
      <c r="B33" s="550">
        <f>B34+B38+B43+B44+B45+B46+B9+B47</f>
        <v>5291.94</v>
      </c>
      <c r="C33" s="550">
        <f>C34+C38+C43+C44+C45+C46+C9+C47</f>
        <v>7998.26</v>
      </c>
      <c r="D33" s="550">
        <f>D34+D38+D43+D44+D45+D46+D9+D47</f>
        <v>107894.23000000001</v>
      </c>
      <c r="E33" s="460"/>
      <c r="F33" s="832">
        <f>+D33-C33</f>
        <v>99895.97000000002</v>
      </c>
      <c r="G33" s="818"/>
      <c r="H33" s="818"/>
      <c r="I33" s="818"/>
      <c r="J33" s="818"/>
      <c r="K33" s="818"/>
      <c r="L33" s="818"/>
      <c r="M33" s="818"/>
      <c r="N33" s="818"/>
    </row>
    <row r="34" spans="1:14" s="438" customFormat="1" ht="19.5" customHeight="1">
      <c r="A34" s="444" t="s">
        <v>27</v>
      </c>
      <c r="B34" s="552">
        <f>SUM(B35:B37)</f>
        <v>4115.32</v>
      </c>
      <c r="C34" s="552">
        <f>SUM(C35:C37)</f>
        <v>4115.32</v>
      </c>
      <c r="D34" s="552">
        <f>SUM(D35:D37)</f>
        <v>4115.32</v>
      </c>
      <c r="E34" s="456"/>
      <c r="F34" s="833"/>
      <c r="G34" s="818"/>
      <c r="H34" s="818"/>
      <c r="I34" s="834">
        <f>+D32-400000</f>
        <v>15115.619999999995</v>
      </c>
      <c r="J34" s="818"/>
      <c r="K34" s="834">
        <f>+I34-C32</f>
        <v>-132330.72999999998</v>
      </c>
      <c r="L34" s="818"/>
      <c r="M34" s="818"/>
      <c r="N34" s="818"/>
    </row>
    <row r="35" spans="1:14" s="438" customFormat="1" ht="19.5" customHeight="1">
      <c r="A35" s="447" t="s">
        <v>408</v>
      </c>
      <c r="B35" s="546">
        <v>4115.32</v>
      </c>
      <c r="C35" s="546">
        <v>4115.32</v>
      </c>
      <c r="D35" s="546">
        <v>4115.32</v>
      </c>
      <c r="E35" s="456"/>
      <c r="F35" s="833"/>
      <c r="G35" s="818"/>
      <c r="H35" s="818"/>
      <c r="I35" s="818"/>
      <c r="J35" s="818"/>
      <c r="K35" s="818"/>
      <c r="L35" s="818"/>
      <c r="M35" s="818"/>
      <c r="N35" s="818"/>
    </row>
    <row r="36" spans="1:14" s="438" customFormat="1" ht="28.5" customHeight="1">
      <c r="A36" s="473" t="s">
        <v>409</v>
      </c>
      <c r="B36" s="546"/>
      <c r="C36" s="546"/>
      <c r="D36" s="546"/>
      <c r="E36" s="456"/>
      <c r="F36" s="833"/>
      <c r="G36" s="818"/>
      <c r="H36" s="818"/>
      <c r="I36" s="818"/>
      <c r="J36" s="818"/>
      <c r="K36" s="818"/>
      <c r="L36" s="818"/>
      <c r="M36" s="818"/>
      <c r="N36" s="818"/>
    </row>
    <row r="37" spans="1:14" s="438" customFormat="1" ht="19.5" customHeight="1">
      <c r="A37" s="447" t="s">
        <v>410</v>
      </c>
      <c r="B37" s="549"/>
      <c r="C37" s="549"/>
      <c r="D37" s="549"/>
      <c r="E37" s="460"/>
      <c r="F37" s="833"/>
      <c r="G37" s="818"/>
      <c r="H37" s="818"/>
      <c r="I37" s="818"/>
      <c r="J37" s="818"/>
      <c r="K37" s="818"/>
      <c r="L37" s="818"/>
      <c r="M37" s="818"/>
      <c r="N37" s="818"/>
    </row>
    <row r="38" spans="1:14" s="438" customFormat="1" ht="19.5" customHeight="1">
      <c r="A38" s="444" t="s">
        <v>28</v>
      </c>
      <c r="B38" s="552">
        <f>SUM(B39:B42)</f>
        <v>0</v>
      </c>
      <c r="C38" s="552">
        <f>SUM(C39:C42)</f>
        <v>0</v>
      </c>
      <c r="D38" s="552">
        <f>SUM(D39:D42)</f>
        <v>0</v>
      </c>
      <c r="E38" s="456"/>
      <c r="F38" s="833"/>
      <c r="G38" s="818"/>
      <c r="H38" s="834">
        <f>+F33+F48</f>
        <v>134524.76999999996</v>
      </c>
      <c r="I38" s="818"/>
      <c r="J38" s="818"/>
      <c r="K38" s="818"/>
      <c r="L38" s="818"/>
      <c r="M38" s="818"/>
      <c r="N38" s="818"/>
    </row>
    <row r="39" spans="1:14" s="438" customFormat="1" ht="19.5" customHeight="1">
      <c r="A39" s="447" t="s">
        <v>30</v>
      </c>
      <c r="B39" s="549"/>
      <c r="C39" s="549"/>
      <c r="D39" s="549"/>
      <c r="E39" s="460"/>
      <c r="F39" s="833"/>
      <c r="G39" s="818"/>
      <c r="H39" s="818"/>
      <c r="I39" s="818"/>
      <c r="J39" s="818"/>
      <c r="K39" s="818"/>
      <c r="L39" s="818"/>
      <c r="M39" s="818"/>
      <c r="N39" s="818"/>
    </row>
    <row r="40" spans="1:14" s="438" customFormat="1" ht="19.5" customHeight="1">
      <c r="A40" s="447" t="s">
        <v>41</v>
      </c>
      <c r="B40" s="546"/>
      <c r="C40" s="546"/>
      <c r="D40" s="546"/>
      <c r="E40" s="456"/>
      <c r="F40" s="833"/>
      <c r="G40" s="818"/>
      <c r="H40" s="818"/>
      <c r="I40" s="818"/>
      <c r="J40" s="818"/>
      <c r="K40" s="818"/>
      <c r="L40" s="818"/>
      <c r="M40" s="818"/>
      <c r="N40" s="818"/>
    </row>
    <row r="41" spans="1:14" s="438" customFormat="1" ht="19.5" customHeight="1">
      <c r="A41" s="447" t="s">
        <v>31</v>
      </c>
      <c r="B41" s="546"/>
      <c r="C41" s="546"/>
      <c r="D41" s="546"/>
      <c r="E41" s="456"/>
      <c r="F41" s="833"/>
      <c r="G41" s="818"/>
      <c r="H41" s="818"/>
      <c r="I41" s="818"/>
      <c r="J41" s="818"/>
      <c r="K41" s="818"/>
      <c r="L41" s="818"/>
      <c r="M41" s="818"/>
      <c r="N41" s="818"/>
    </row>
    <row r="42" spans="1:14" s="438" customFormat="1" ht="19.5" customHeight="1">
      <c r="A42" s="447" t="s">
        <v>411</v>
      </c>
      <c r="B42" s="546"/>
      <c r="C42" s="546"/>
      <c r="D42" s="546"/>
      <c r="E42" s="456"/>
      <c r="F42" s="833"/>
      <c r="G42" s="818"/>
      <c r="H42" s="818"/>
      <c r="I42" s="818"/>
      <c r="J42" s="818"/>
      <c r="K42" s="818"/>
      <c r="L42" s="818"/>
      <c r="M42" s="818"/>
      <c r="N42" s="818"/>
    </row>
    <row r="43" spans="1:14" s="438" customFormat="1" ht="19.5" customHeight="1">
      <c r="A43" s="763" t="s">
        <v>32</v>
      </c>
      <c r="B43" s="549"/>
      <c r="C43" s="549"/>
      <c r="D43" s="549"/>
      <c r="E43" s="456"/>
      <c r="F43" s="833"/>
      <c r="G43" s="818"/>
      <c r="H43" s="834"/>
      <c r="I43" s="818"/>
      <c r="J43" s="818"/>
      <c r="K43" s="818"/>
      <c r="L43" s="818"/>
      <c r="M43" s="818"/>
      <c r="N43" s="818"/>
    </row>
    <row r="44" spans="1:14" s="438" customFormat="1" ht="19.5" customHeight="1">
      <c r="A44" s="444" t="s">
        <v>33</v>
      </c>
      <c r="B44" s="549">
        <v>1176.62</v>
      </c>
      <c r="C44" s="549">
        <f>464.07+3418.87</f>
        <v>3882.94</v>
      </c>
      <c r="D44" s="549">
        <f>27778.91+76000</f>
        <v>103778.91</v>
      </c>
      <c r="E44" s="456"/>
      <c r="F44" s="833">
        <f>+D44-C44</f>
        <v>99895.97</v>
      </c>
      <c r="G44" s="818"/>
      <c r="H44" s="818"/>
      <c r="I44" s="818"/>
      <c r="J44" s="818"/>
      <c r="K44" s="818"/>
      <c r="L44" s="818"/>
      <c r="M44" s="818"/>
      <c r="N44" s="818"/>
    </row>
    <row r="45" spans="1:14" s="438" customFormat="1" ht="19.5" customHeight="1">
      <c r="A45" s="444" t="s">
        <v>34</v>
      </c>
      <c r="B45" s="549"/>
      <c r="C45" s="549"/>
      <c r="D45" s="549"/>
      <c r="E45" s="460"/>
      <c r="F45" s="833"/>
      <c r="G45" s="818"/>
      <c r="H45" s="818"/>
      <c r="I45" s="818"/>
      <c r="J45" s="818"/>
      <c r="K45" s="818"/>
      <c r="L45" s="818"/>
      <c r="M45" s="818"/>
      <c r="N45" s="818"/>
    </row>
    <row r="46" spans="1:14" s="438" customFormat="1" ht="19.5" customHeight="1">
      <c r="A46" s="444" t="s">
        <v>412</v>
      </c>
      <c r="B46" s="549"/>
      <c r="C46" s="549"/>
      <c r="D46" s="549"/>
      <c r="E46" s="460"/>
      <c r="F46" s="833"/>
      <c r="G46" s="818"/>
      <c r="H46" s="818"/>
      <c r="I46" s="818"/>
      <c r="J46" s="818"/>
      <c r="K46" s="818"/>
      <c r="L46" s="818"/>
      <c r="M46" s="818"/>
      <c r="N46" s="818"/>
    </row>
    <row r="47" spans="1:14" s="438" customFormat="1" ht="19.5" customHeight="1">
      <c r="A47" s="444" t="s">
        <v>413</v>
      </c>
      <c r="B47" s="549"/>
      <c r="C47" s="549"/>
      <c r="D47" s="549"/>
      <c r="E47" s="460"/>
      <c r="F47" s="833"/>
      <c r="G47" s="818"/>
      <c r="H47" s="818"/>
      <c r="I47" s="818"/>
      <c r="J47" s="818"/>
      <c r="K47" s="818"/>
      <c r="L47" s="818"/>
      <c r="M47" s="818"/>
      <c r="N47" s="818"/>
    </row>
    <row r="48" spans="1:14" s="438" customFormat="1" ht="19.5" customHeight="1">
      <c r="A48" s="469" t="s">
        <v>104</v>
      </c>
      <c r="B48" s="552">
        <f>+B49+B50+B54+B59+B60+B63+B64</f>
        <v>906041.15</v>
      </c>
      <c r="C48" s="552">
        <f>+C49+C50+C54+C59+C60+C63+C64</f>
        <v>834834.52</v>
      </c>
      <c r="D48" s="552">
        <f>+D49+D50+D54+D59+D60+D63+D64</f>
        <v>869463.32</v>
      </c>
      <c r="E48" s="460"/>
      <c r="F48" s="832">
        <f>+D48-C48</f>
        <v>34628.79999999993</v>
      </c>
      <c r="G48" s="818"/>
      <c r="H48" s="818"/>
      <c r="I48" s="818"/>
      <c r="J48" s="818"/>
      <c r="K48" s="818"/>
      <c r="L48" s="818"/>
      <c r="M48" s="818"/>
      <c r="N48" s="818"/>
    </row>
    <row r="49" spans="1:14" s="438" customFormat="1" ht="30" customHeight="1">
      <c r="A49" s="474" t="s">
        <v>38</v>
      </c>
      <c r="B49" s="549"/>
      <c r="C49" s="549"/>
      <c r="D49" s="549"/>
      <c r="E49" s="460"/>
      <c r="F49" s="833"/>
      <c r="G49" s="818"/>
      <c r="H49" s="818"/>
      <c r="I49" s="818"/>
      <c r="J49" s="818"/>
      <c r="K49" s="818"/>
      <c r="L49" s="818"/>
      <c r="M49" s="818"/>
      <c r="N49" s="818"/>
    </row>
    <row r="50" spans="1:14" s="438" customFormat="1" ht="19.5" customHeight="1">
      <c r="A50" s="444" t="s">
        <v>39</v>
      </c>
      <c r="B50" s="552">
        <f>+B51+B52+B53</f>
        <v>0</v>
      </c>
      <c r="C50" s="552">
        <f>+C51+C52+C53</f>
        <v>0</v>
      </c>
      <c r="D50" s="552">
        <f>+D51+D52+D53</f>
        <v>0</v>
      </c>
      <c r="E50" s="460"/>
      <c r="F50" s="833"/>
      <c r="G50" s="818"/>
      <c r="H50" s="818"/>
      <c r="I50" s="818"/>
      <c r="J50" s="818"/>
      <c r="K50" s="818"/>
      <c r="L50" s="818"/>
      <c r="M50" s="818"/>
      <c r="N50" s="818"/>
    </row>
    <row r="51" spans="1:14" s="438" customFormat="1" ht="19.5" customHeight="1">
      <c r="A51" s="447" t="s">
        <v>408</v>
      </c>
      <c r="B51" s="549"/>
      <c r="C51" s="549"/>
      <c r="D51" s="549"/>
      <c r="E51" s="460"/>
      <c r="F51" s="833"/>
      <c r="G51" s="818"/>
      <c r="H51" s="818"/>
      <c r="I51" s="818"/>
      <c r="J51" s="818"/>
      <c r="K51" s="818"/>
      <c r="L51" s="818"/>
      <c r="M51" s="818"/>
      <c r="N51" s="818"/>
    </row>
    <row r="52" spans="1:14" s="438" customFormat="1" ht="28.5" customHeight="1">
      <c r="A52" s="473" t="s">
        <v>409</v>
      </c>
      <c r="B52" s="549"/>
      <c r="C52" s="549"/>
      <c r="D52" s="549"/>
      <c r="E52" s="460"/>
      <c r="F52" s="833"/>
      <c r="G52" s="818"/>
      <c r="H52" s="818"/>
      <c r="I52" s="818"/>
      <c r="J52" s="818"/>
      <c r="K52" s="818"/>
      <c r="L52" s="818"/>
      <c r="M52" s="818"/>
      <c r="N52" s="818"/>
    </row>
    <row r="53" spans="1:14" s="438" customFormat="1" ht="19.5" customHeight="1">
      <c r="A53" s="447" t="s">
        <v>410</v>
      </c>
      <c r="B53" s="549"/>
      <c r="C53" s="549"/>
      <c r="D53" s="549"/>
      <c r="E53" s="460"/>
      <c r="F53" s="833"/>
      <c r="G53" s="818"/>
      <c r="H53" s="818"/>
      <c r="I53" s="818"/>
      <c r="J53" s="818"/>
      <c r="K53" s="818"/>
      <c r="L53" s="818"/>
      <c r="M53" s="818"/>
      <c r="N53" s="818"/>
    </row>
    <row r="54" spans="1:14" s="438" customFormat="1" ht="19.5" customHeight="1">
      <c r="A54" s="444" t="s">
        <v>40</v>
      </c>
      <c r="B54" s="552">
        <f>SUM(B55:B58)</f>
        <v>247594.5</v>
      </c>
      <c r="C54" s="552">
        <f>SUM(C55:C58)</f>
        <v>254564.85</v>
      </c>
      <c r="D54" s="552">
        <f>SUM(D55:D58)</f>
        <v>271879.25</v>
      </c>
      <c r="E54" s="456"/>
      <c r="F54" s="833">
        <f>+D54-C54</f>
        <v>17314.399999999994</v>
      </c>
      <c r="G54" s="818"/>
      <c r="H54" s="818"/>
      <c r="I54" s="818"/>
      <c r="J54" s="818"/>
      <c r="K54" s="818"/>
      <c r="L54" s="818"/>
      <c r="M54" s="818"/>
      <c r="N54" s="818"/>
    </row>
    <row r="55" spans="1:14" s="438" customFormat="1" ht="19.5" customHeight="1">
      <c r="A55" s="447" t="s">
        <v>30</v>
      </c>
      <c r="B55" s="546"/>
      <c r="C55" s="546"/>
      <c r="D55" s="546"/>
      <c r="E55" s="456"/>
      <c r="F55" s="833"/>
      <c r="G55" s="818"/>
      <c r="H55" s="818"/>
      <c r="I55" s="818"/>
      <c r="J55" s="818"/>
      <c r="K55" s="818"/>
      <c r="L55" s="818"/>
      <c r="M55" s="818"/>
      <c r="N55" s="818"/>
    </row>
    <row r="56" spans="1:14" s="438" customFormat="1" ht="19.5" customHeight="1">
      <c r="A56" s="447" t="s">
        <v>41</v>
      </c>
      <c r="B56" s="546"/>
      <c r="C56" s="546"/>
      <c r="D56" s="546"/>
      <c r="F56" s="833"/>
      <c r="G56" s="818"/>
      <c r="H56" s="818"/>
      <c r="I56" s="818"/>
      <c r="J56" s="818"/>
      <c r="K56" s="818"/>
      <c r="L56" s="818"/>
      <c r="M56" s="818"/>
      <c r="N56" s="818"/>
    </row>
    <row r="57" spans="1:14" s="438" customFormat="1" ht="19.5" customHeight="1">
      <c r="A57" s="447" t="s">
        <v>31</v>
      </c>
      <c r="B57" s="549"/>
      <c r="C57" s="549"/>
      <c r="D57" s="549"/>
      <c r="E57" s="460"/>
      <c r="F57" s="833"/>
      <c r="G57" s="818"/>
      <c r="H57" s="818"/>
      <c r="I57" s="818"/>
      <c r="J57" s="818"/>
      <c r="K57" s="818"/>
      <c r="L57" s="818"/>
      <c r="M57" s="818"/>
      <c r="N57" s="818"/>
    </row>
    <row r="58" spans="1:14" s="438" customFormat="1" ht="19.5" customHeight="1">
      <c r="A58" s="447" t="s">
        <v>414</v>
      </c>
      <c r="B58" s="546">
        <v>247594.5</v>
      </c>
      <c r="C58" s="546">
        <v>254564.85</v>
      </c>
      <c r="D58" s="546">
        <v>271879.25</v>
      </c>
      <c r="E58" s="460"/>
      <c r="F58" s="833"/>
      <c r="G58" s="818"/>
      <c r="H58" s="818"/>
      <c r="I58" s="818"/>
      <c r="J58" s="818"/>
      <c r="K58" s="818"/>
      <c r="L58" s="818"/>
      <c r="M58" s="818"/>
      <c r="N58" s="818"/>
    </row>
    <row r="59" spans="1:14" s="438" customFormat="1" ht="19.5" customHeight="1">
      <c r="A59" s="763" t="s">
        <v>42</v>
      </c>
      <c r="B59" s="549"/>
      <c r="C59" s="549"/>
      <c r="D59" s="549"/>
      <c r="E59" s="460"/>
      <c r="F59" s="833"/>
      <c r="G59" s="818"/>
      <c r="H59" s="818"/>
      <c r="I59" s="818"/>
      <c r="J59" s="818"/>
      <c r="K59" s="818"/>
      <c r="L59" s="818"/>
      <c r="M59" s="818"/>
      <c r="N59" s="818"/>
    </row>
    <row r="60" spans="1:14" s="438" customFormat="1" ht="19.5" customHeight="1">
      <c r="A60" s="444" t="s">
        <v>43</v>
      </c>
      <c r="B60" s="552">
        <f>SUM(B61:B62)</f>
        <v>658446.65</v>
      </c>
      <c r="C60" s="552">
        <f>SUM(C61:C62)</f>
        <v>580269.67</v>
      </c>
      <c r="D60" s="552">
        <f>SUM(D61:D62)</f>
        <v>597584.07</v>
      </c>
      <c r="E60" s="456"/>
      <c r="F60" s="833">
        <f>+D60-C60</f>
        <v>17314.399999999907</v>
      </c>
      <c r="G60" s="818"/>
      <c r="H60" s="818"/>
      <c r="I60" s="818"/>
      <c r="J60" s="818"/>
      <c r="K60" s="818"/>
      <c r="L60" s="818"/>
      <c r="M60" s="818"/>
      <c r="N60" s="818"/>
    </row>
    <row r="61" spans="1:14" s="438" customFormat="1" ht="19.5" customHeight="1">
      <c r="A61" s="447" t="s">
        <v>44</v>
      </c>
      <c r="B61" s="546"/>
      <c r="C61" s="546"/>
      <c r="D61" s="546"/>
      <c r="E61" s="456"/>
      <c r="F61" s="833"/>
      <c r="G61" s="818"/>
      <c r="H61" s="818"/>
      <c r="I61" s="818"/>
      <c r="J61" s="818"/>
      <c r="K61" s="818"/>
      <c r="L61" s="818"/>
      <c r="M61" s="818"/>
      <c r="N61" s="818"/>
    </row>
    <row r="62" spans="1:14" s="438" customFormat="1" ht="19.5" customHeight="1">
      <c r="A62" s="447" t="s">
        <v>415</v>
      </c>
      <c r="B62" s="546">
        <v>658446.65</v>
      </c>
      <c r="C62" s="546">
        <v>580269.67</v>
      </c>
      <c r="D62" s="546">
        <v>597584.07</v>
      </c>
      <c r="E62" s="456"/>
      <c r="F62" s="833"/>
      <c r="G62" s="818"/>
      <c r="H62" s="818"/>
      <c r="I62" s="818"/>
      <c r="J62" s="818"/>
      <c r="K62" s="818"/>
      <c r="L62" s="818"/>
      <c r="M62" s="818"/>
      <c r="N62" s="818"/>
    </row>
    <row r="63" spans="1:14" s="438" customFormat="1" ht="19.5" customHeight="1">
      <c r="A63" s="444" t="s">
        <v>65</v>
      </c>
      <c r="B63" s="549"/>
      <c r="C63" s="549"/>
      <c r="D63" s="549"/>
      <c r="E63" s="460"/>
      <c r="F63" s="833"/>
      <c r="G63" s="818"/>
      <c r="H63" s="818"/>
      <c r="I63" s="818"/>
      <c r="J63" s="818"/>
      <c r="K63" s="818"/>
      <c r="L63" s="818"/>
      <c r="M63" s="818"/>
      <c r="N63" s="818"/>
    </row>
    <row r="64" spans="1:14" s="438" customFormat="1" ht="19.5" customHeight="1">
      <c r="A64" s="444" t="s">
        <v>416</v>
      </c>
      <c r="B64" s="549"/>
      <c r="C64" s="549"/>
      <c r="D64" s="549"/>
      <c r="E64" s="460"/>
      <c r="F64" s="833"/>
      <c r="G64" s="818"/>
      <c r="H64" s="818"/>
      <c r="I64" s="818"/>
      <c r="J64" s="818"/>
      <c r="K64" s="818"/>
      <c r="L64" s="818"/>
      <c r="M64" s="818"/>
      <c r="N64" s="818"/>
    </row>
    <row r="65" spans="1:14" s="438" customFormat="1" ht="30" customHeight="1">
      <c r="A65" s="450" t="s">
        <v>105</v>
      </c>
      <c r="B65" s="553">
        <f>B48+B33+B11</f>
        <v>1854416.4500000002</v>
      </c>
      <c r="C65" s="553">
        <f>C48+C33+C11</f>
        <v>1928656.01</v>
      </c>
      <c r="D65" s="553">
        <f>D48+D33+D11</f>
        <v>2330850.0525</v>
      </c>
      <c r="E65" s="445"/>
      <c r="F65" s="833">
        <f>+D65-C65</f>
        <v>402194.0425000002</v>
      </c>
      <c r="G65" s="818"/>
      <c r="H65" s="818"/>
      <c r="I65" s="818"/>
      <c r="J65" s="818"/>
      <c r="K65" s="818"/>
      <c r="L65" s="818"/>
      <c r="M65" s="818"/>
      <c r="N65" s="818"/>
    </row>
    <row r="66" spans="2:14" s="438" customFormat="1" ht="12.75">
      <c r="B66" s="448"/>
      <c r="C66" s="448"/>
      <c r="D66" s="448"/>
      <c r="E66" s="475"/>
      <c r="F66" s="819"/>
      <c r="G66" s="818"/>
      <c r="H66" s="818"/>
      <c r="I66" s="818"/>
      <c r="J66" s="818"/>
      <c r="K66" s="818"/>
      <c r="L66" s="818"/>
      <c r="M66" s="818"/>
      <c r="N66" s="818"/>
    </row>
    <row r="67" spans="2:14" s="438" customFormat="1" ht="12.75">
      <c r="B67" s="448"/>
      <c r="C67" s="448"/>
      <c r="D67" s="448"/>
      <c r="E67" s="475"/>
      <c r="F67" s="819"/>
      <c r="G67" s="818"/>
      <c r="H67" s="818"/>
      <c r="I67" s="818"/>
      <c r="J67" s="818"/>
      <c r="K67" s="818"/>
      <c r="L67" s="818"/>
      <c r="M67" s="818"/>
      <c r="N67" s="818"/>
    </row>
    <row r="68" spans="1:14" s="438" customFormat="1" ht="12.75" hidden="1">
      <c r="A68" s="453" t="s">
        <v>45</v>
      </c>
      <c r="B68" s="448"/>
      <c r="C68" s="448"/>
      <c r="D68" s="448"/>
      <c r="E68" s="475"/>
      <c r="F68" s="819"/>
      <c r="G68" s="818"/>
      <c r="H68" s="818"/>
      <c r="I68" s="818"/>
      <c r="J68" s="818"/>
      <c r="K68" s="818"/>
      <c r="L68" s="818"/>
      <c r="M68" s="818"/>
      <c r="N68" s="818"/>
    </row>
    <row r="69" spans="5:14" s="438" customFormat="1" ht="12.75">
      <c r="E69" s="449"/>
      <c r="F69" s="819"/>
      <c r="G69" s="818"/>
      <c r="H69" s="818"/>
      <c r="I69" s="818"/>
      <c r="J69" s="818"/>
      <c r="K69" s="818"/>
      <c r="L69" s="818"/>
      <c r="M69" s="818"/>
      <c r="N69" s="818"/>
    </row>
    <row r="70" spans="2:14" s="438" customFormat="1" ht="12.75">
      <c r="B70" s="448"/>
      <c r="C70" s="448"/>
      <c r="D70" s="448"/>
      <c r="E70" s="475"/>
      <c r="F70" s="819"/>
      <c r="G70" s="818"/>
      <c r="H70" s="818"/>
      <c r="I70" s="818"/>
      <c r="J70" s="818"/>
      <c r="K70" s="818"/>
      <c r="L70" s="818"/>
      <c r="M70" s="818"/>
      <c r="N70" s="818"/>
    </row>
    <row r="71" spans="2:14" s="438" customFormat="1" ht="12.75" hidden="1">
      <c r="B71" s="448"/>
      <c r="C71" s="448"/>
      <c r="D71" s="448"/>
      <c r="E71" s="475"/>
      <c r="F71" s="819"/>
      <c r="G71" s="818"/>
      <c r="H71" s="818"/>
      <c r="I71" s="818"/>
      <c r="J71" s="818"/>
      <c r="K71" s="818"/>
      <c r="L71" s="818"/>
      <c r="M71" s="818"/>
      <c r="N71" s="818"/>
    </row>
    <row r="72" spans="1:14" s="438" customFormat="1" ht="12.75" hidden="1">
      <c r="A72" s="438" t="s">
        <v>66</v>
      </c>
      <c r="B72" s="448">
        <f>+ACTIVO!B48</f>
        <v>1854416.4500000002</v>
      </c>
      <c r="C72" s="448">
        <f>+ACTIVO!C48</f>
        <v>1928656.01</v>
      </c>
      <c r="D72" s="448">
        <f>+ACTIVO!D48</f>
        <v>2330850.0524999998</v>
      </c>
      <c r="E72" s="475"/>
      <c r="F72" s="819"/>
      <c r="G72" s="818"/>
      <c r="H72" s="818"/>
      <c r="I72" s="818"/>
      <c r="J72" s="818"/>
      <c r="K72" s="818"/>
      <c r="L72" s="818"/>
      <c r="M72" s="818"/>
      <c r="N72" s="818"/>
    </row>
    <row r="73" spans="1:14" s="438" customFormat="1" ht="12.75" hidden="1">
      <c r="A73" s="449" t="s">
        <v>64</v>
      </c>
      <c r="B73" s="458">
        <f>+B65-B72</f>
        <v>0</v>
      </c>
      <c r="C73" s="458">
        <f>+C65-C72</f>
        <v>0</v>
      </c>
      <c r="D73" s="458">
        <f>+D65-D72</f>
        <v>0</v>
      </c>
      <c r="E73" s="456"/>
      <c r="F73" s="819"/>
      <c r="G73" s="818"/>
      <c r="H73" s="818"/>
      <c r="I73" s="818"/>
      <c r="J73" s="818"/>
      <c r="K73" s="818"/>
      <c r="L73" s="818"/>
      <c r="M73" s="818"/>
      <c r="N73" s="818"/>
    </row>
    <row r="74" spans="5:14" s="438" customFormat="1" ht="12.75" hidden="1">
      <c r="E74" s="449"/>
      <c r="F74" s="819"/>
      <c r="G74" s="818"/>
      <c r="H74" s="818"/>
      <c r="I74" s="818"/>
      <c r="J74" s="818"/>
      <c r="K74" s="818"/>
      <c r="L74" s="818"/>
      <c r="M74" s="818"/>
      <c r="N74" s="818"/>
    </row>
    <row r="75" spans="4:14" s="438" customFormat="1" ht="12.75" hidden="1">
      <c r="D75" s="448"/>
      <c r="E75" s="475"/>
      <c r="F75" s="819"/>
      <c r="G75" s="818"/>
      <c r="H75" s="818"/>
      <c r="I75" s="818"/>
      <c r="J75" s="818"/>
      <c r="K75" s="818"/>
      <c r="L75" s="818"/>
      <c r="M75" s="818"/>
      <c r="N75" s="818"/>
    </row>
    <row r="76" spans="5:14" s="438" customFormat="1" ht="12.75">
      <c r="E76" s="449"/>
      <c r="F76" s="819"/>
      <c r="G76" s="818"/>
      <c r="H76" s="818"/>
      <c r="I76" s="818"/>
      <c r="J76" s="818"/>
      <c r="K76" s="818"/>
      <c r="L76" s="818"/>
      <c r="M76" s="818"/>
      <c r="N76" s="818"/>
    </row>
    <row r="77" spans="5:6" s="438" customFormat="1" ht="12.75">
      <c r="E77" s="449"/>
      <c r="F77" s="781"/>
    </row>
    <row r="78" spans="5:6" s="438" customFormat="1" ht="12.75">
      <c r="E78" s="449"/>
      <c r="F78" s="781"/>
    </row>
    <row r="79" spans="5:6" s="438" customFormat="1" ht="12.75">
      <c r="E79" s="449"/>
      <c r="F79" s="781"/>
    </row>
    <row r="80" spans="5:6" s="438" customFormat="1" ht="12.75">
      <c r="E80" s="449"/>
      <c r="F80" s="781"/>
    </row>
    <row r="81" spans="5:6" s="438" customFormat="1" ht="12.75">
      <c r="E81" s="449"/>
      <c r="F81" s="781"/>
    </row>
    <row r="82" spans="5:6" s="438" customFormat="1" ht="12.75">
      <c r="E82" s="449"/>
      <c r="F82" s="781"/>
    </row>
    <row r="83" spans="5:6" s="438" customFormat="1" ht="12.75">
      <c r="E83" s="449"/>
      <c r="F83" s="781"/>
    </row>
    <row r="84" spans="5:6" s="438" customFormat="1" ht="12.75">
      <c r="E84" s="449"/>
      <c r="F84" s="781"/>
    </row>
    <row r="85" spans="5:6" s="438" customFormat="1" ht="12.75">
      <c r="E85" s="449"/>
      <c r="F85" s="781"/>
    </row>
    <row r="86" spans="5:6" s="438" customFormat="1" ht="12.75">
      <c r="E86" s="449"/>
      <c r="F86" s="781"/>
    </row>
    <row r="87" spans="5:6" s="438" customFormat="1" ht="12.75">
      <c r="E87" s="449"/>
      <c r="F87" s="781"/>
    </row>
    <row r="88" spans="5:6" s="438" customFormat="1" ht="12.75">
      <c r="E88" s="449"/>
      <c r="F88" s="781"/>
    </row>
    <row r="89" spans="5:6" s="438" customFormat="1" ht="12.75">
      <c r="E89" s="449"/>
      <c r="F89" s="781"/>
    </row>
    <row r="90" spans="5:6" s="438" customFormat="1" ht="12.75">
      <c r="E90" s="449"/>
      <c r="F90" s="781"/>
    </row>
    <row r="91" spans="5:6" s="438" customFormat="1" ht="12.75">
      <c r="E91" s="449"/>
      <c r="F91" s="781"/>
    </row>
    <row r="92" spans="5:6" s="438" customFormat="1" ht="12.75">
      <c r="E92" s="449"/>
      <c r="F92" s="781"/>
    </row>
    <row r="93" spans="5:6" s="438" customFormat="1" ht="12.75">
      <c r="E93" s="449"/>
      <c r="F93" s="781"/>
    </row>
    <row r="94" spans="5:6" s="438" customFormat="1" ht="12.75">
      <c r="E94" s="449"/>
      <c r="F94" s="781"/>
    </row>
    <row r="95" spans="5:6" s="438" customFormat="1" ht="12.75">
      <c r="E95" s="449"/>
      <c r="F95" s="781"/>
    </row>
    <row r="96" spans="5:6" s="438" customFormat="1" ht="12.75">
      <c r="E96" s="449"/>
      <c r="F96" s="781"/>
    </row>
    <row r="97" spans="5:6" s="438" customFormat="1" ht="12.75">
      <c r="E97" s="449"/>
      <c r="F97" s="781"/>
    </row>
    <row r="98" spans="5:6" s="438" customFormat="1" ht="12.75">
      <c r="E98" s="449"/>
      <c r="F98" s="781"/>
    </row>
    <row r="99" spans="5:6" s="438" customFormat="1" ht="12.75">
      <c r="E99" s="449"/>
      <c r="F99" s="781"/>
    </row>
    <row r="100" spans="5:6" s="438" customFormat="1" ht="12.75">
      <c r="E100" s="449"/>
      <c r="F100" s="781"/>
    </row>
    <row r="101" spans="5:6" s="438" customFormat="1" ht="12.75">
      <c r="E101" s="449"/>
      <c r="F101" s="781"/>
    </row>
    <row r="102" spans="5:6" s="438" customFormat="1" ht="12.75">
      <c r="E102" s="449"/>
      <c r="F102" s="781"/>
    </row>
    <row r="103" spans="5:6" s="438" customFormat="1" ht="12.75">
      <c r="E103" s="449"/>
      <c r="F103" s="781"/>
    </row>
    <row r="104" spans="5:6" s="438" customFormat="1" ht="12.75">
      <c r="E104" s="449"/>
      <c r="F104" s="781"/>
    </row>
    <row r="105" spans="5:6" s="438" customFormat="1" ht="12.75">
      <c r="E105" s="449"/>
      <c r="F105" s="781"/>
    </row>
    <row r="106" spans="5:6" s="438" customFormat="1" ht="12.75">
      <c r="E106" s="449"/>
      <c r="F106" s="781"/>
    </row>
    <row r="107" spans="5:6" s="438" customFormat="1" ht="12.75">
      <c r="E107" s="449"/>
      <c r="F107" s="781"/>
    </row>
    <row r="108" spans="5:6" s="438" customFormat="1" ht="12.75">
      <c r="E108" s="449"/>
      <c r="F108" s="781"/>
    </row>
    <row r="109" spans="5:6" s="438" customFormat="1" ht="12.75">
      <c r="E109" s="449"/>
      <c r="F109" s="781"/>
    </row>
    <row r="110" spans="5:6" s="438" customFormat="1" ht="12.75">
      <c r="E110" s="449"/>
      <c r="F110" s="781"/>
    </row>
    <row r="111" spans="5:6" s="438" customFormat="1" ht="12.75">
      <c r="E111" s="449"/>
      <c r="F111" s="781"/>
    </row>
    <row r="112" spans="5:6" s="438" customFormat="1" ht="12.75">
      <c r="E112" s="449"/>
      <c r="F112" s="781"/>
    </row>
    <row r="113" spans="5:6" s="438" customFormat="1" ht="12.75">
      <c r="E113" s="449"/>
      <c r="F113" s="781"/>
    </row>
    <row r="114" spans="5:6" s="438" customFormat="1" ht="12.75">
      <c r="E114" s="449"/>
      <c r="F114" s="781"/>
    </row>
    <row r="115" spans="5:6" s="438" customFormat="1" ht="12.75">
      <c r="E115" s="449"/>
      <c r="F115" s="781"/>
    </row>
    <row r="116" spans="5:6" s="438" customFormat="1" ht="12.75">
      <c r="E116" s="449"/>
      <c r="F116" s="781"/>
    </row>
    <row r="117" spans="5:6" s="438" customFormat="1" ht="12.75">
      <c r="E117" s="449"/>
      <c r="F117" s="781"/>
    </row>
    <row r="118" spans="5:6" s="438" customFormat="1" ht="12.75">
      <c r="E118" s="449"/>
      <c r="F118" s="781"/>
    </row>
    <row r="119" spans="5:6" s="438" customFormat="1" ht="12.75">
      <c r="E119" s="449"/>
      <c r="F119" s="781"/>
    </row>
    <row r="120" spans="5:6" s="438" customFormat="1" ht="12.75">
      <c r="E120" s="449"/>
      <c r="F120" s="781"/>
    </row>
    <row r="121" spans="5:6" s="438" customFormat="1" ht="12.75">
      <c r="E121" s="449"/>
      <c r="F121" s="781"/>
    </row>
    <row r="122" spans="5:6" s="438" customFormat="1" ht="12.75">
      <c r="E122" s="449"/>
      <c r="F122" s="781"/>
    </row>
    <row r="123" spans="5:6" s="438" customFormat="1" ht="12.75">
      <c r="E123" s="449"/>
      <c r="F123" s="781"/>
    </row>
    <row r="124" spans="5:6" s="438" customFormat="1" ht="12.75">
      <c r="E124" s="449"/>
      <c r="F124" s="781"/>
    </row>
    <row r="125" spans="5:6" s="438" customFormat="1" ht="12.75">
      <c r="E125" s="449"/>
      <c r="F125" s="781"/>
    </row>
    <row r="126" spans="5:6" s="438" customFormat="1" ht="12.75">
      <c r="E126" s="449"/>
      <c r="F126" s="781"/>
    </row>
    <row r="127" spans="5:6" s="438" customFormat="1" ht="12.75">
      <c r="E127" s="449"/>
      <c r="F127" s="781"/>
    </row>
    <row r="128" spans="5:6" s="438" customFormat="1" ht="12.75">
      <c r="E128" s="449"/>
      <c r="F128" s="781"/>
    </row>
    <row r="129" spans="5:6" s="438" customFormat="1" ht="12.75">
      <c r="E129" s="449"/>
      <c r="F129" s="781"/>
    </row>
    <row r="130" spans="5:6" s="438" customFormat="1" ht="12.75">
      <c r="E130" s="449"/>
      <c r="F130" s="781"/>
    </row>
    <row r="131" spans="5:6" s="438" customFormat="1" ht="12.75">
      <c r="E131" s="449"/>
      <c r="F131" s="781"/>
    </row>
    <row r="132" spans="5:6" s="438" customFormat="1" ht="12.75">
      <c r="E132" s="449"/>
      <c r="F132" s="781"/>
    </row>
    <row r="133" spans="5:6" s="438" customFormat="1" ht="12.75">
      <c r="E133" s="449"/>
      <c r="F133" s="781"/>
    </row>
    <row r="134" spans="5:6" s="438" customFormat="1" ht="12.75">
      <c r="E134" s="449"/>
      <c r="F134" s="781"/>
    </row>
    <row r="135" spans="5:6" s="438" customFormat="1" ht="12.75">
      <c r="E135" s="449"/>
      <c r="F135" s="781"/>
    </row>
    <row r="136" spans="5:6" s="438" customFormat="1" ht="12.75">
      <c r="E136" s="449"/>
      <c r="F136" s="781"/>
    </row>
    <row r="137" spans="5:6" s="438" customFormat="1" ht="12.75">
      <c r="E137" s="449"/>
      <c r="F137" s="781"/>
    </row>
    <row r="138" spans="5:6" s="438" customFormat="1" ht="12.75">
      <c r="E138" s="449"/>
      <c r="F138" s="781"/>
    </row>
    <row r="139" spans="5:6" s="438" customFormat="1" ht="12.75">
      <c r="E139" s="449"/>
      <c r="F139" s="781"/>
    </row>
    <row r="140" spans="5:6" s="438" customFormat="1" ht="12.75">
      <c r="E140" s="449"/>
      <c r="F140" s="781"/>
    </row>
    <row r="141" spans="5:6" s="438" customFormat="1" ht="12.75">
      <c r="E141" s="449"/>
      <c r="F141" s="781"/>
    </row>
    <row r="142" spans="5:6" s="438" customFormat="1" ht="12.75">
      <c r="E142" s="449"/>
      <c r="F142" s="781"/>
    </row>
    <row r="143" spans="5:6" s="438" customFormat="1" ht="12.75">
      <c r="E143" s="449"/>
      <c r="F143" s="781"/>
    </row>
    <row r="144" spans="5:6" s="438" customFormat="1" ht="12.75">
      <c r="E144" s="449"/>
      <c r="F144" s="781"/>
    </row>
    <row r="145" spans="5:6" s="438" customFormat="1" ht="12.75">
      <c r="E145" s="449"/>
      <c r="F145" s="781"/>
    </row>
    <row r="146" spans="5:6" s="438" customFormat="1" ht="12.75">
      <c r="E146" s="449"/>
      <c r="F146" s="781"/>
    </row>
    <row r="147" spans="5:6" s="438" customFormat="1" ht="12.75">
      <c r="E147" s="449"/>
      <c r="F147" s="781"/>
    </row>
    <row r="148" spans="5:6" s="438" customFormat="1" ht="12.75">
      <c r="E148" s="449"/>
      <c r="F148" s="781"/>
    </row>
    <row r="149" spans="5:6" s="438" customFormat="1" ht="12.75">
      <c r="E149" s="449"/>
      <c r="F149" s="781"/>
    </row>
    <row r="150" spans="5:6" s="438" customFormat="1" ht="12.75">
      <c r="E150" s="449"/>
      <c r="F150" s="781"/>
    </row>
    <row r="151" spans="5:6" s="438" customFormat="1" ht="12.75">
      <c r="E151" s="449"/>
      <c r="F151" s="781"/>
    </row>
    <row r="152" spans="5:6" s="438" customFormat="1" ht="12.75">
      <c r="E152" s="449"/>
      <c r="F152" s="781"/>
    </row>
    <row r="153" spans="5:6" s="438" customFormat="1" ht="12.75">
      <c r="E153" s="449"/>
      <c r="F153" s="781"/>
    </row>
    <row r="154" spans="5:6" s="438" customFormat="1" ht="12.75">
      <c r="E154" s="449"/>
      <c r="F154" s="781"/>
    </row>
    <row r="155" spans="5:6" s="438" customFormat="1" ht="12.75">
      <c r="E155" s="449"/>
      <c r="F155" s="781"/>
    </row>
    <row r="156" spans="5:6" s="438" customFormat="1" ht="12.75">
      <c r="E156" s="449"/>
      <c r="F156" s="781"/>
    </row>
    <row r="157" spans="5:6" s="438" customFormat="1" ht="12.75">
      <c r="E157" s="449"/>
      <c r="F157" s="781"/>
    </row>
    <row r="158" spans="5:6" s="438" customFormat="1" ht="12.75">
      <c r="E158" s="449"/>
      <c r="F158" s="781"/>
    </row>
    <row r="159" spans="5:6" s="438" customFormat="1" ht="12.75">
      <c r="E159" s="449"/>
      <c r="F159" s="781"/>
    </row>
    <row r="160" spans="5:6" s="438" customFormat="1" ht="12.75">
      <c r="E160" s="449"/>
      <c r="F160" s="781"/>
    </row>
    <row r="161" spans="5:6" s="438" customFormat="1" ht="12.75">
      <c r="E161" s="449"/>
      <c r="F161" s="781"/>
    </row>
    <row r="162" spans="5:6" s="438" customFormat="1" ht="12.75">
      <c r="E162" s="449"/>
      <c r="F162" s="781"/>
    </row>
    <row r="163" spans="5:6" s="438" customFormat="1" ht="12.75">
      <c r="E163" s="449"/>
      <c r="F163" s="781"/>
    </row>
    <row r="164" spans="5:6" s="438" customFormat="1" ht="12.75">
      <c r="E164" s="449"/>
      <c r="F164" s="781"/>
    </row>
    <row r="165" spans="5:6" s="438" customFormat="1" ht="12.75">
      <c r="E165" s="449"/>
      <c r="F165" s="781"/>
    </row>
    <row r="166" spans="5:6" s="438" customFormat="1" ht="12.75">
      <c r="E166" s="449"/>
      <c r="F166" s="781"/>
    </row>
    <row r="167" spans="5:6" s="438" customFormat="1" ht="12.75">
      <c r="E167" s="449"/>
      <c r="F167" s="781"/>
    </row>
    <row r="168" spans="5:6" s="438" customFormat="1" ht="12.75">
      <c r="E168" s="449"/>
      <c r="F168" s="781"/>
    </row>
    <row r="169" spans="5:6" s="438" customFormat="1" ht="12.75">
      <c r="E169" s="449"/>
      <c r="F169" s="781"/>
    </row>
    <row r="170" spans="5:6" s="438" customFormat="1" ht="12.75">
      <c r="E170" s="449"/>
      <c r="F170" s="781"/>
    </row>
    <row r="171" spans="5:6" s="438" customFormat="1" ht="12.75">
      <c r="E171" s="449"/>
      <c r="F171" s="781"/>
    </row>
    <row r="172" spans="5:6" s="438" customFormat="1" ht="12.75">
      <c r="E172" s="449"/>
      <c r="F172" s="781"/>
    </row>
    <row r="173" spans="5:6" s="438" customFormat="1" ht="12.75">
      <c r="E173" s="449"/>
      <c r="F173" s="781"/>
    </row>
    <row r="174" spans="5:6" s="438" customFormat="1" ht="12.75">
      <c r="E174" s="449"/>
      <c r="F174" s="781"/>
    </row>
    <row r="175" spans="5:6" s="438" customFormat="1" ht="12.75">
      <c r="E175" s="449"/>
      <c r="F175" s="781"/>
    </row>
    <row r="176" spans="5:6" s="438" customFormat="1" ht="12.75">
      <c r="E176" s="449"/>
      <c r="F176" s="781"/>
    </row>
    <row r="177" spans="5:6" s="438" customFormat="1" ht="12.75">
      <c r="E177" s="449"/>
      <c r="F177" s="781"/>
    </row>
    <row r="178" spans="5:6" s="438" customFormat="1" ht="12.75">
      <c r="E178" s="449"/>
      <c r="F178" s="781"/>
    </row>
    <row r="179" spans="5:6" s="438" customFormat="1" ht="12.75">
      <c r="E179" s="449"/>
      <c r="F179" s="781"/>
    </row>
    <row r="180" spans="5:6" s="438" customFormat="1" ht="12.75">
      <c r="E180" s="449"/>
      <c r="F180" s="781"/>
    </row>
    <row r="181" spans="5:6" s="438" customFormat="1" ht="12.75">
      <c r="E181" s="449"/>
      <c r="F181" s="781"/>
    </row>
    <row r="182" spans="5:6" s="438" customFormat="1" ht="12.75">
      <c r="E182" s="449"/>
      <c r="F182" s="781"/>
    </row>
    <row r="183" spans="5:6" s="438" customFormat="1" ht="12.75">
      <c r="E183" s="449"/>
      <c r="F183" s="781"/>
    </row>
    <row r="184" spans="5:6" s="438" customFormat="1" ht="12.75">
      <c r="E184" s="449"/>
      <c r="F184" s="781"/>
    </row>
    <row r="185" spans="5:6" s="438" customFormat="1" ht="12.75">
      <c r="E185" s="449"/>
      <c r="F185" s="781"/>
    </row>
    <row r="186" spans="5:6" s="438" customFormat="1" ht="12.75">
      <c r="E186" s="449"/>
      <c r="F186" s="781"/>
    </row>
    <row r="187" spans="5:6" s="438" customFormat="1" ht="12.75">
      <c r="E187" s="449"/>
      <c r="F187" s="781"/>
    </row>
    <row r="188" spans="5:6" s="438" customFormat="1" ht="12.75">
      <c r="E188" s="449"/>
      <c r="F188" s="781"/>
    </row>
    <row r="189" spans="5:6" s="438" customFormat="1" ht="12.75">
      <c r="E189" s="449"/>
      <c r="F189" s="781"/>
    </row>
    <row r="190" spans="5:6" s="438" customFormat="1" ht="12.75">
      <c r="E190" s="449"/>
      <c r="F190" s="781"/>
    </row>
    <row r="191" spans="5:6" s="438" customFormat="1" ht="12.75">
      <c r="E191" s="449"/>
      <c r="F191" s="781"/>
    </row>
    <row r="192" spans="5:6" s="438" customFormat="1" ht="12.75">
      <c r="E192" s="449"/>
      <c r="F192" s="781"/>
    </row>
    <row r="193" spans="5:6" s="438" customFormat="1" ht="12.75">
      <c r="E193" s="449"/>
      <c r="F193" s="781"/>
    </row>
    <row r="194" spans="5:6" s="438" customFormat="1" ht="12.75">
      <c r="E194" s="449"/>
      <c r="F194" s="781"/>
    </row>
    <row r="195" spans="5:6" s="438" customFormat="1" ht="12.75">
      <c r="E195" s="449"/>
      <c r="F195" s="781"/>
    </row>
    <row r="196" spans="5:6" s="438" customFormat="1" ht="12.75">
      <c r="E196" s="449"/>
      <c r="F196" s="781"/>
    </row>
    <row r="197" spans="5:6" s="438" customFormat="1" ht="12.75">
      <c r="E197" s="449"/>
      <c r="F197" s="781"/>
    </row>
    <row r="198" spans="5:6" s="438" customFormat="1" ht="12.75">
      <c r="E198" s="449"/>
      <c r="F198" s="781"/>
    </row>
    <row r="199" spans="5:6" s="438" customFormat="1" ht="12.75">
      <c r="E199" s="449"/>
      <c r="F199" s="781"/>
    </row>
    <row r="200" spans="5:6" s="438" customFormat="1" ht="12.75">
      <c r="E200" s="449"/>
      <c r="F200" s="781"/>
    </row>
    <row r="201" spans="5:6" s="438" customFormat="1" ht="12.75">
      <c r="E201" s="449"/>
      <c r="F201" s="781"/>
    </row>
    <row r="202" spans="5:6" s="438" customFormat="1" ht="12.75">
      <c r="E202" s="449"/>
      <c r="F202" s="781"/>
    </row>
    <row r="203" spans="5:6" s="438" customFormat="1" ht="12.75">
      <c r="E203" s="449"/>
      <c r="F203" s="781"/>
    </row>
    <row r="204" spans="5:6" s="438" customFormat="1" ht="12.75">
      <c r="E204" s="449"/>
      <c r="F204" s="781"/>
    </row>
    <row r="205" spans="5:6" s="438" customFormat="1" ht="12.75">
      <c r="E205" s="449"/>
      <c r="F205" s="781"/>
    </row>
    <row r="206" spans="5:6" s="438" customFormat="1" ht="12.75">
      <c r="E206" s="449"/>
      <c r="F206" s="781"/>
    </row>
    <row r="207" spans="5:6" s="438" customFormat="1" ht="12.75">
      <c r="E207" s="449"/>
      <c r="F207" s="781"/>
    </row>
    <row r="208" spans="5:6" s="438" customFormat="1" ht="12.75">
      <c r="E208" s="449"/>
      <c r="F208" s="781"/>
    </row>
    <row r="209" spans="5:6" s="438" customFormat="1" ht="12.75">
      <c r="E209" s="449"/>
      <c r="F209" s="781"/>
    </row>
    <row r="210" spans="5:6" s="438" customFormat="1" ht="12.75">
      <c r="E210" s="449"/>
      <c r="F210" s="781"/>
    </row>
    <row r="211" spans="5:6" s="438" customFormat="1" ht="12.75">
      <c r="E211" s="449"/>
      <c r="F211" s="781"/>
    </row>
    <row r="212" spans="5:6" s="438" customFormat="1" ht="12.75">
      <c r="E212" s="449"/>
      <c r="F212" s="781"/>
    </row>
    <row r="213" spans="5:6" s="438" customFormat="1" ht="12.75">
      <c r="E213" s="449"/>
      <c r="F213" s="781"/>
    </row>
    <row r="214" spans="5:6" s="438" customFormat="1" ht="12.75">
      <c r="E214" s="449"/>
      <c r="F214" s="781"/>
    </row>
    <row r="215" spans="5:6" s="438" customFormat="1" ht="12.75">
      <c r="E215" s="449"/>
      <c r="F215" s="781"/>
    </row>
    <row r="216" spans="5:6" s="438" customFormat="1" ht="12.75">
      <c r="E216" s="449"/>
      <c r="F216" s="781"/>
    </row>
    <row r="217" spans="5:6" s="438" customFormat="1" ht="12.75">
      <c r="E217" s="449"/>
      <c r="F217" s="781"/>
    </row>
    <row r="218" spans="5:6" s="438" customFormat="1" ht="12.75">
      <c r="E218" s="449"/>
      <c r="F218" s="781"/>
    </row>
    <row r="219" spans="5:6" s="438" customFormat="1" ht="12.75">
      <c r="E219" s="449"/>
      <c r="F219" s="781"/>
    </row>
    <row r="220" spans="5:6" s="438" customFormat="1" ht="12.75">
      <c r="E220" s="449"/>
      <c r="F220" s="781"/>
    </row>
    <row r="221" spans="5:6" s="438" customFormat="1" ht="12.75">
      <c r="E221" s="449"/>
      <c r="F221" s="781"/>
    </row>
    <row r="222" spans="5:6" s="438" customFormat="1" ht="12.75">
      <c r="E222" s="449"/>
      <c r="F222" s="781"/>
    </row>
    <row r="223" spans="5:6" s="438" customFormat="1" ht="12.75">
      <c r="E223" s="449"/>
      <c r="F223" s="781"/>
    </row>
    <row r="224" spans="5:6" s="438" customFormat="1" ht="12.75">
      <c r="E224" s="449"/>
      <c r="F224" s="781"/>
    </row>
    <row r="225" spans="5:6" s="438" customFormat="1" ht="12.75">
      <c r="E225" s="449"/>
      <c r="F225" s="781"/>
    </row>
    <row r="226" spans="5:6" s="438" customFormat="1" ht="12.75">
      <c r="E226" s="449"/>
      <c r="F226" s="781"/>
    </row>
    <row r="227" spans="5:6" s="438" customFormat="1" ht="12.75">
      <c r="E227" s="449"/>
      <c r="F227" s="781"/>
    </row>
    <row r="228" spans="5:6" s="438" customFormat="1" ht="12.75">
      <c r="E228" s="449"/>
      <c r="F228" s="781"/>
    </row>
    <row r="229" spans="5:6" s="438" customFormat="1" ht="12.75">
      <c r="E229" s="449"/>
      <c r="F229" s="781"/>
    </row>
    <row r="230" spans="5:6" s="438" customFormat="1" ht="12.75">
      <c r="E230" s="449"/>
      <c r="F230" s="781"/>
    </row>
    <row r="231" spans="5:6" s="438" customFormat="1" ht="12.75">
      <c r="E231" s="449"/>
      <c r="F231" s="781"/>
    </row>
    <row r="232" spans="5:6" s="438" customFormat="1" ht="12.75">
      <c r="E232" s="449"/>
      <c r="F232" s="781"/>
    </row>
    <row r="233" spans="5:6" s="438" customFormat="1" ht="12.75">
      <c r="E233" s="449"/>
      <c r="F233" s="781"/>
    </row>
    <row r="234" spans="5:6" s="438" customFormat="1" ht="12.75">
      <c r="E234" s="449"/>
      <c r="F234" s="781"/>
    </row>
    <row r="235" spans="5:6" s="438" customFormat="1" ht="12.75">
      <c r="E235" s="449"/>
      <c r="F235" s="781"/>
    </row>
    <row r="236" spans="5:6" s="438" customFormat="1" ht="12.75">
      <c r="E236" s="449"/>
      <c r="F236" s="781"/>
    </row>
    <row r="237" spans="5:6" s="438" customFormat="1" ht="12.75">
      <c r="E237" s="449"/>
      <c r="F237" s="781"/>
    </row>
    <row r="238" spans="5:6" s="438" customFormat="1" ht="12.75">
      <c r="E238" s="449"/>
      <c r="F238" s="781"/>
    </row>
    <row r="239" spans="5:6" s="438" customFormat="1" ht="12.75">
      <c r="E239" s="449"/>
      <c r="F239" s="781"/>
    </row>
    <row r="240" spans="5:6" s="438" customFormat="1" ht="12.75">
      <c r="E240" s="449"/>
      <c r="F240" s="781"/>
    </row>
    <row r="241" spans="5:6" s="438" customFormat="1" ht="12.75">
      <c r="E241" s="449"/>
      <c r="F241" s="781"/>
    </row>
    <row r="242" spans="5:6" s="438" customFormat="1" ht="12.75">
      <c r="E242" s="449"/>
      <c r="F242" s="781"/>
    </row>
    <row r="243" spans="5:6" s="438" customFormat="1" ht="12.75">
      <c r="E243" s="449"/>
      <c r="F243" s="781"/>
    </row>
    <row r="244" spans="5:6" s="438" customFormat="1" ht="12.75">
      <c r="E244" s="449"/>
      <c r="F244" s="781"/>
    </row>
    <row r="245" spans="5:6" s="438" customFormat="1" ht="12.75">
      <c r="E245" s="449"/>
      <c r="F245" s="781"/>
    </row>
    <row r="246" spans="5:6" s="438" customFormat="1" ht="12.75">
      <c r="E246" s="449"/>
      <c r="F246" s="781"/>
    </row>
    <row r="247" spans="5:6" s="438" customFormat="1" ht="12.75">
      <c r="E247" s="449"/>
      <c r="F247" s="781"/>
    </row>
    <row r="248" spans="5:6" s="438" customFormat="1" ht="12.75">
      <c r="E248" s="449"/>
      <c r="F248" s="781"/>
    </row>
    <row r="249" spans="5:6" s="438" customFormat="1" ht="12.75">
      <c r="E249" s="449"/>
      <c r="F249" s="781"/>
    </row>
    <row r="250" spans="5:6" s="438" customFormat="1" ht="12.75">
      <c r="E250" s="449"/>
      <c r="F250" s="781"/>
    </row>
    <row r="251" spans="5:6" s="438" customFormat="1" ht="12.75">
      <c r="E251" s="449"/>
      <c r="F251" s="781"/>
    </row>
    <row r="252" spans="5:6" s="438" customFormat="1" ht="12.75">
      <c r="E252" s="449"/>
      <c r="F252" s="781"/>
    </row>
    <row r="253" spans="5:6" s="438" customFormat="1" ht="12.75">
      <c r="E253" s="449"/>
      <c r="F253" s="781"/>
    </row>
    <row r="254" spans="5:6" s="438" customFormat="1" ht="12.75">
      <c r="E254" s="449"/>
      <c r="F254" s="781"/>
    </row>
    <row r="255" spans="5:6" s="438" customFormat="1" ht="12.75">
      <c r="E255" s="449"/>
      <c r="F255" s="781"/>
    </row>
    <row r="256" spans="5:6" s="438" customFormat="1" ht="12.75">
      <c r="E256" s="449"/>
      <c r="F256" s="781"/>
    </row>
    <row r="257" spans="5:6" s="438" customFormat="1" ht="12.75">
      <c r="E257" s="449"/>
      <c r="F257" s="781"/>
    </row>
    <row r="258" spans="5:6" s="438" customFormat="1" ht="12.75">
      <c r="E258" s="449"/>
      <c r="F258" s="781"/>
    </row>
    <row r="259" spans="5:6" s="438" customFormat="1" ht="12.75">
      <c r="E259" s="449"/>
      <c r="F259" s="781"/>
    </row>
    <row r="260" spans="5:6" s="438" customFormat="1" ht="12.75">
      <c r="E260" s="449"/>
      <c r="F260" s="781"/>
    </row>
    <row r="261" spans="5:6" s="438" customFormat="1" ht="12.75">
      <c r="E261" s="449"/>
      <c r="F261" s="781"/>
    </row>
    <row r="262" spans="5:6" s="438" customFormat="1" ht="12.75">
      <c r="E262" s="449"/>
      <c r="F262" s="781"/>
    </row>
    <row r="263" spans="5:6" s="438" customFormat="1" ht="12.75">
      <c r="E263" s="449"/>
      <c r="F263" s="781"/>
    </row>
    <row r="264" spans="5:6" s="438" customFormat="1" ht="12.75">
      <c r="E264" s="449"/>
      <c r="F264" s="781"/>
    </row>
    <row r="265" spans="5:6" s="438" customFormat="1" ht="12.75">
      <c r="E265" s="449"/>
      <c r="F265" s="781"/>
    </row>
    <row r="266" spans="5:6" s="438" customFormat="1" ht="12.75">
      <c r="E266" s="449"/>
      <c r="F266" s="781"/>
    </row>
    <row r="267" spans="5:6" s="438" customFormat="1" ht="12.75">
      <c r="E267" s="449"/>
      <c r="F267" s="781"/>
    </row>
    <row r="268" spans="5:6" s="438" customFormat="1" ht="12.75">
      <c r="E268" s="449"/>
      <c r="F268" s="781"/>
    </row>
    <row r="269" spans="5:6" s="438" customFormat="1" ht="12.75">
      <c r="E269" s="449"/>
      <c r="F269" s="781"/>
    </row>
    <row r="270" spans="5:6" s="438" customFormat="1" ht="12.75">
      <c r="E270" s="449"/>
      <c r="F270" s="781"/>
    </row>
    <row r="271" spans="5:6" s="438" customFormat="1" ht="12.75">
      <c r="E271" s="449"/>
      <c r="F271" s="781"/>
    </row>
    <row r="272" spans="5:6" s="438" customFormat="1" ht="12.75">
      <c r="E272" s="449"/>
      <c r="F272" s="781"/>
    </row>
    <row r="273" spans="5:6" s="438" customFormat="1" ht="12.75">
      <c r="E273" s="449"/>
      <c r="F273" s="781"/>
    </row>
    <row r="274" spans="5:6" s="438" customFormat="1" ht="12.75">
      <c r="E274" s="449"/>
      <c r="F274" s="781"/>
    </row>
    <row r="275" spans="5:6" s="438" customFormat="1" ht="12.75">
      <c r="E275" s="449"/>
      <c r="F275" s="781"/>
    </row>
    <row r="276" spans="5:6" s="438" customFormat="1" ht="12.75">
      <c r="E276" s="449"/>
      <c r="F276" s="781"/>
    </row>
    <row r="277" spans="5:6" s="438" customFormat="1" ht="12.75">
      <c r="E277" s="449"/>
      <c r="F277" s="781"/>
    </row>
    <row r="278" spans="5:6" s="438" customFormat="1" ht="12.75">
      <c r="E278" s="449"/>
      <c r="F278" s="781"/>
    </row>
    <row r="279" spans="5:6" s="438" customFormat="1" ht="12.75">
      <c r="E279" s="449"/>
      <c r="F279" s="781"/>
    </row>
    <row r="280" spans="5:6" s="438" customFormat="1" ht="12.75">
      <c r="E280" s="449"/>
      <c r="F280" s="781"/>
    </row>
    <row r="281" spans="5:6" s="438" customFormat="1" ht="12.75">
      <c r="E281" s="449"/>
      <c r="F281" s="781"/>
    </row>
    <row r="282" spans="5:6" s="438" customFormat="1" ht="12.75">
      <c r="E282" s="449"/>
      <c r="F282" s="781"/>
    </row>
    <row r="283" spans="5:6" s="438" customFormat="1" ht="12.75">
      <c r="E283" s="449"/>
      <c r="F283" s="781"/>
    </row>
    <row r="284" spans="5:6" s="438" customFormat="1" ht="12.75">
      <c r="E284" s="449"/>
      <c r="F284" s="781"/>
    </row>
    <row r="285" spans="5:6" s="438" customFormat="1" ht="12.75">
      <c r="E285" s="449"/>
      <c r="F285" s="781"/>
    </row>
    <row r="286" spans="5:6" s="438" customFormat="1" ht="12.75">
      <c r="E286" s="449"/>
      <c r="F286" s="781"/>
    </row>
    <row r="287" spans="5:6" s="438" customFormat="1" ht="12.75">
      <c r="E287" s="449"/>
      <c r="F287" s="781"/>
    </row>
    <row r="288" spans="5:6" s="438" customFormat="1" ht="12.75">
      <c r="E288" s="449"/>
      <c r="F288" s="781"/>
    </row>
    <row r="289" spans="5:6" s="438" customFormat="1" ht="12.75">
      <c r="E289" s="449"/>
      <c r="F289" s="781"/>
    </row>
    <row r="290" spans="5:6" s="438" customFormat="1" ht="12.75">
      <c r="E290" s="449"/>
      <c r="F290" s="781"/>
    </row>
    <row r="291" spans="5:6" s="438" customFormat="1" ht="12.75">
      <c r="E291" s="449"/>
      <c r="F291" s="781"/>
    </row>
    <row r="292" spans="5:6" s="438" customFormat="1" ht="12.75">
      <c r="E292" s="449"/>
      <c r="F292" s="781"/>
    </row>
    <row r="293" spans="5:6" s="438" customFormat="1" ht="12.75">
      <c r="E293" s="449"/>
      <c r="F293" s="781"/>
    </row>
    <row r="294" spans="5:6" s="438" customFormat="1" ht="12.75">
      <c r="E294" s="449"/>
      <c r="F294" s="781"/>
    </row>
    <row r="295" spans="5:6" s="438" customFormat="1" ht="12.75">
      <c r="E295" s="449"/>
      <c r="F295" s="781"/>
    </row>
    <row r="296" spans="5:6" s="438" customFormat="1" ht="12.75">
      <c r="E296" s="449"/>
      <c r="F296" s="781"/>
    </row>
    <row r="297" spans="5:6" s="438" customFormat="1" ht="12.75">
      <c r="E297" s="449"/>
      <c r="F297" s="781"/>
    </row>
    <row r="298" spans="5:6" s="438" customFormat="1" ht="12.75">
      <c r="E298" s="449"/>
      <c r="F298" s="781"/>
    </row>
    <row r="299" spans="5:6" s="438" customFormat="1" ht="12.75">
      <c r="E299" s="449"/>
      <c r="F299" s="781"/>
    </row>
    <row r="300" spans="5:6" s="438" customFormat="1" ht="12.75">
      <c r="E300" s="449"/>
      <c r="F300" s="781"/>
    </row>
    <row r="301" spans="5:6" s="438" customFormat="1" ht="12.75">
      <c r="E301" s="449"/>
      <c r="F301" s="781"/>
    </row>
    <row r="302" spans="5:6" s="438" customFormat="1" ht="12.75">
      <c r="E302" s="449"/>
      <c r="F302" s="781"/>
    </row>
    <row r="303" spans="5:6" s="438" customFormat="1" ht="12.75">
      <c r="E303" s="449"/>
      <c r="F303" s="781"/>
    </row>
    <row r="304" spans="5:6" s="438" customFormat="1" ht="12.75">
      <c r="E304" s="449"/>
      <c r="F304" s="781"/>
    </row>
    <row r="305" spans="5:6" s="438" customFormat="1" ht="12.75">
      <c r="E305" s="449"/>
      <c r="F305" s="781"/>
    </row>
    <row r="306" spans="5:6" s="438" customFormat="1" ht="12.75">
      <c r="E306" s="449"/>
      <c r="F306" s="781"/>
    </row>
    <row r="307" spans="5:6" s="438" customFormat="1" ht="12.75">
      <c r="E307" s="449"/>
      <c r="F307" s="781"/>
    </row>
    <row r="308" spans="5:6" s="438" customFormat="1" ht="12.75">
      <c r="E308" s="449"/>
      <c r="F308" s="781"/>
    </row>
    <row r="309" spans="5:6" s="438" customFormat="1" ht="12.75">
      <c r="E309" s="449"/>
      <c r="F309" s="781"/>
    </row>
    <row r="310" spans="5:6" s="438" customFormat="1" ht="12.75">
      <c r="E310" s="449"/>
      <c r="F310" s="781"/>
    </row>
    <row r="311" spans="5:6" s="438" customFormat="1" ht="12.75">
      <c r="E311" s="449"/>
      <c r="F311" s="781"/>
    </row>
    <row r="312" spans="5:6" s="438" customFormat="1" ht="12.75">
      <c r="E312" s="449"/>
      <c r="F312" s="781"/>
    </row>
    <row r="313" spans="5:6" s="438" customFormat="1" ht="12.75">
      <c r="E313" s="449"/>
      <c r="F313" s="781"/>
    </row>
    <row r="314" spans="5:6" s="438" customFormat="1" ht="12.75">
      <c r="E314" s="449"/>
      <c r="F314" s="781"/>
    </row>
    <row r="315" spans="5:6" s="438" customFormat="1" ht="12.75">
      <c r="E315" s="449"/>
      <c r="F315" s="781"/>
    </row>
    <row r="316" spans="5:6" s="438" customFormat="1" ht="12.75">
      <c r="E316" s="449"/>
      <c r="F316" s="781"/>
    </row>
    <row r="317" spans="5:6" s="438" customFormat="1" ht="12.75">
      <c r="E317" s="449"/>
      <c r="F317" s="781"/>
    </row>
    <row r="318" spans="5:6" s="438" customFormat="1" ht="12.75">
      <c r="E318" s="449"/>
      <c r="F318" s="781"/>
    </row>
    <row r="319" spans="5:6" s="438" customFormat="1" ht="12.75">
      <c r="E319" s="449"/>
      <c r="F319" s="781"/>
    </row>
    <row r="320" spans="5:6" s="438" customFormat="1" ht="12.75">
      <c r="E320" s="449"/>
      <c r="F320" s="781"/>
    </row>
    <row r="321" spans="5:6" s="438" customFormat="1" ht="12.75">
      <c r="E321" s="449"/>
      <c r="F321" s="781"/>
    </row>
    <row r="322" spans="5:6" s="438" customFormat="1" ht="12.75">
      <c r="E322" s="449"/>
      <c r="F322" s="781"/>
    </row>
    <row r="323" spans="5:6" s="438" customFormat="1" ht="12.75">
      <c r="E323" s="449"/>
      <c r="F323" s="781"/>
    </row>
    <row r="324" spans="5:6" s="438" customFormat="1" ht="12.75">
      <c r="E324" s="449"/>
      <c r="F324" s="781"/>
    </row>
    <row r="325" spans="5:6" s="438" customFormat="1" ht="12.75">
      <c r="E325" s="449"/>
      <c r="F325" s="781"/>
    </row>
    <row r="326" spans="5:6" s="438" customFormat="1" ht="12.75">
      <c r="E326" s="449"/>
      <c r="F326" s="781"/>
    </row>
    <row r="327" spans="5:6" s="438" customFormat="1" ht="12.75">
      <c r="E327" s="449"/>
      <c r="F327" s="781"/>
    </row>
    <row r="328" spans="5:6" s="438" customFormat="1" ht="12.75">
      <c r="E328" s="449"/>
      <c r="F328" s="781"/>
    </row>
    <row r="329" spans="5:6" s="438" customFormat="1" ht="12.75">
      <c r="E329" s="449"/>
      <c r="F329" s="781"/>
    </row>
    <row r="330" spans="5:6" s="438" customFormat="1" ht="12.75">
      <c r="E330" s="449"/>
      <c r="F330" s="781"/>
    </row>
    <row r="331" spans="5:6" s="438" customFormat="1" ht="12.75">
      <c r="E331" s="449"/>
      <c r="F331" s="781"/>
    </row>
    <row r="332" spans="5:6" s="438" customFormat="1" ht="12.75">
      <c r="E332" s="449"/>
      <c r="F332" s="781"/>
    </row>
    <row r="333" spans="5:6" s="438" customFormat="1" ht="12.75">
      <c r="E333" s="449"/>
      <c r="F333" s="781"/>
    </row>
    <row r="334" spans="5:6" s="438" customFormat="1" ht="12.75">
      <c r="E334" s="449"/>
      <c r="F334" s="781"/>
    </row>
    <row r="335" spans="5:6" s="438" customFormat="1" ht="12.75">
      <c r="E335" s="449"/>
      <c r="F335" s="781"/>
    </row>
    <row r="336" spans="5:6" s="438" customFormat="1" ht="12.75">
      <c r="E336" s="449"/>
      <c r="F336" s="781"/>
    </row>
    <row r="337" spans="5:6" s="438" customFormat="1" ht="12.75">
      <c r="E337" s="449"/>
      <c r="F337" s="781"/>
    </row>
    <row r="338" spans="5:6" s="438" customFormat="1" ht="12.75">
      <c r="E338" s="449"/>
      <c r="F338" s="781"/>
    </row>
    <row r="339" spans="5:6" s="438" customFormat="1" ht="12.75">
      <c r="E339" s="449"/>
      <c r="F339" s="781"/>
    </row>
    <row r="340" spans="5:6" s="438" customFormat="1" ht="12.75">
      <c r="E340" s="449"/>
      <c r="F340" s="781"/>
    </row>
    <row r="341" spans="5:6" s="438" customFormat="1" ht="12.75">
      <c r="E341" s="449"/>
      <c r="F341" s="781"/>
    </row>
    <row r="342" spans="5:6" s="438" customFormat="1" ht="12.75">
      <c r="E342" s="449"/>
      <c r="F342" s="781"/>
    </row>
    <row r="343" spans="5:6" s="438" customFormat="1" ht="12.75">
      <c r="E343" s="449"/>
      <c r="F343" s="781"/>
    </row>
    <row r="344" spans="5:6" s="438" customFormat="1" ht="12.75">
      <c r="E344" s="449"/>
      <c r="F344" s="781"/>
    </row>
    <row r="345" spans="5:6" s="438" customFormat="1" ht="12.75">
      <c r="E345" s="449"/>
      <c r="F345" s="781"/>
    </row>
    <row r="346" spans="5:6" s="438" customFormat="1" ht="12.75">
      <c r="E346" s="449"/>
      <c r="F346" s="781"/>
    </row>
    <row r="347" spans="5:6" s="438" customFormat="1" ht="12.75">
      <c r="E347" s="449"/>
      <c r="F347" s="781"/>
    </row>
    <row r="348" spans="5:6" s="438" customFormat="1" ht="12.75">
      <c r="E348" s="449"/>
      <c r="F348" s="781"/>
    </row>
    <row r="349" spans="5:6" s="438" customFormat="1" ht="12.75">
      <c r="E349" s="449"/>
      <c r="F349" s="781"/>
    </row>
    <row r="350" spans="5:6" s="438" customFormat="1" ht="12.75">
      <c r="E350" s="449"/>
      <c r="F350" s="781"/>
    </row>
    <row r="351" spans="5:6" s="438" customFormat="1" ht="12.75">
      <c r="E351" s="449"/>
      <c r="F351" s="781"/>
    </row>
    <row r="352" spans="5:6" s="438" customFormat="1" ht="12.75">
      <c r="E352" s="449"/>
      <c r="F352" s="781"/>
    </row>
    <row r="353" spans="5:6" s="438" customFormat="1" ht="12.75">
      <c r="E353" s="449"/>
      <c r="F353" s="781"/>
    </row>
    <row r="354" spans="5:6" s="438" customFormat="1" ht="12.75">
      <c r="E354" s="449"/>
      <c r="F354" s="781"/>
    </row>
    <row r="355" spans="5:6" s="438" customFormat="1" ht="12.75">
      <c r="E355" s="449"/>
      <c r="F355" s="781"/>
    </row>
    <row r="356" spans="5:6" s="438" customFormat="1" ht="12.75">
      <c r="E356" s="449"/>
      <c r="F356" s="781"/>
    </row>
    <row r="357" spans="5:6" s="438" customFormat="1" ht="12.75">
      <c r="E357" s="449"/>
      <c r="F357" s="781"/>
    </row>
    <row r="358" spans="5:6" s="438" customFormat="1" ht="12.75">
      <c r="E358" s="449"/>
      <c r="F358" s="781"/>
    </row>
    <row r="359" spans="5:6" s="438" customFormat="1" ht="12.75">
      <c r="E359" s="449"/>
      <c r="F359" s="781"/>
    </row>
    <row r="360" spans="5:6" s="438" customFormat="1" ht="12.75">
      <c r="E360" s="449"/>
      <c r="F360" s="781"/>
    </row>
    <row r="361" spans="5:6" s="438" customFormat="1" ht="12.75">
      <c r="E361" s="449"/>
      <c r="F361" s="781"/>
    </row>
    <row r="362" spans="5:6" s="438" customFormat="1" ht="12.75">
      <c r="E362" s="449"/>
      <c r="F362" s="781"/>
    </row>
    <row r="363" spans="5:6" s="438" customFormat="1" ht="12.75">
      <c r="E363" s="449"/>
      <c r="F363" s="781"/>
    </row>
    <row r="364" spans="5:6" s="438" customFormat="1" ht="12.75">
      <c r="E364" s="449"/>
      <c r="F364" s="781"/>
    </row>
    <row r="365" spans="5:6" s="438" customFormat="1" ht="12.75">
      <c r="E365" s="449"/>
      <c r="F365" s="781"/>
    </row>
    <row r="366" spans="5:6" s="438" customFormat="1" ht="12.75">
      <c r="E366" s="449"/>
      <c r="F366" s="781"/>
    </row>
    <row r="367" spans="5:6" s="438" customFormat="1" ht="12.75">
      <c r="E367" s="449"/>
      <c r="F367" s="781"/>
    </row>
    <row r="368" spans="5:6" s="438" customFormat="1" ht="12.75">
      <c r="E368" s="449"/>
      <c r="F368" s="781"/>
    </row>
    <row r="369" spans="5:6" s="438" customFormat="1" ht="12.75">
      <c r="E369" s="449"/>
      <c r="F369" s="781"/>
    </row>
    <row r="370" spans="5:6" s="438" customFormat="1" ht="12.75">
      <c r="E370" s="449"/>
      <c r="F370" s="781"/>
    </row>
    <row r="371" spans="5:6" s="438" customFormat="1" ht="12.75">
      <c r="E371" s="449"/>
      <c r="F371" s="781"/>
    </row>
    <row r="372" spans="5:6" s="438" customFormat="1" ht="12.75">
      <c r="E372" s="449"/>
      <c r="F372" s="781"/>
    </row>
    <row r="373" spans="5:6" s="438" customFormat="1" ht="12.75">
      <c r="E373" s="449"/>
      <c r="F373" s="781"/>
    </row>
    <row r="374" spans="5:6" s="438" customFormat="1" ht="12.75">
      <c r="E374" s="449"/>
      <c r="F374" s="781"/>
    </row>
    <row r="375" spans="5:6" s="438" customFormat="1" ht="12.75">
      <c r="E375" s="449"/>
      <c r="F375" s="781"/>
    </row>
    <row r="376" spans="5:6" s="438" customFormat="1" ht="12.75">
      <c r="E376" s="449"/>
      <c r="F376" s="781"/>
    </row>
    <row r="377" spans="5:6" s="438" customFormat="1" ht="12.75">
      <c r="E377" s="449"/>
      <c r="F377" s="781"/>
    </row>
    <row r="378" spans="5:6" s="438" customFormat="1" ht="12.75">
      <c r="E378" s="449"/>
      <c r="F378" s="781"/>
    </row>
    <row r="379" spans="5:6" s="438" customFormat="1" ht="12.75">
      <c r="E379" s="449"/>
      <c r="F379" s="781"/>
    </row>
    <row r="380" spans="5:6" s="438" customFormat="1" ht="12.75">
      <c r="E380" s="449"/>
      <c r="F380" s="781"/>
    </row>
    <row r="381" spans="5:6" s="438" customFormat="1" ht="12.75">
      <c r="E381" s="449"/>
      <c r="F381" s="781"/>
    </row>
    <row r="382" spans="5:6" s="438" customFormat="1" ht="12.75">
      <c r="E382" s="449"/>
      <c r="F382" s="781"/>
    </row>
    <row r="383" spans="5:6" s="438" customFormat="1" ht="12.75">
      <c r="E383" s="449"/>
      <c r="F383" s="781"/>
    </row>
    <row r="384" spans="5:6" s="438" customFormat="1" ht="12.75">
      <c r="E384" s="449"/>
      <c r="F384" s="781"/>
    </row>
    <row r="385" spans="5:6" s="438" customFormat="1" ht="12.75">
      <c r="E385" s="449"/>
      <c r="F385" s="781"/>
    </row>
    <row r="386" spans="5:6" s="438" customFormat="1" ht="12.75">
      <c r="E386" s="449"/>
      <c r="F386" s="781"/>
    </row>
    <row r="387" spans="5:6" s="438" customFormat="1" ht="12.75">
      <c r="E387" s="449"/>
      <c r="F387" s="781"/>
    </row>
    <row r="388" spans="5:6" s="438" customFormat="1" ht="12.75">
      <c r="E388" s="449"/>
      <c r="F388" s="781"/>
    </row>
    <row r="389" spans="5:6" s="438" customFormat="1" ht="12.75">
      <c r="E389" s="449"/>
      <c r="F389" s="781"/>
    </row>
    <row r="390" spans="5:6" s="438" customFormat="1" ht="12.75">
      <c r="E390" s="449"/>
      <c r="F390" s="781"/>
    </row>
    <row r="391" spans="5:6" s="438" customFormat="1" ht="12.75">
      <c r="E391" s="449"/>
      <c r="F391" s="781"/>
    </row>
    <row r="392" spans="5:6" s="438" customFormat="1" ht="12.75">
      <c r="E392" s="449"/>
      <c r="F392" s="781"/>
    </row>
    <row r="393" spans="5:6" s="438" customFormat="1" ht="12.75">
      <c r="E393" s="449"/>
      <c r="F393" s="781"/>
    </row>
    <row r="394" spans="5:6" s="438" customFormat="1" ht="12.75">
      <c r="E394" s="449"/>
      <c r="F394" s="781"/>
    </row>
    <row r="395" spans="5:6" s="438" customFormat="1" ht="12.75">
      <c r="E395" s="449"/>
      <c r="F395" s="781"/>
    </row>
    <row r="396" spans="5:6" s="438" customFormat="1" ht="12.75">
      <c r="E396" s="449"/>
      <c r="F396" s="781"/>
    </row>
    <row r="397" spans="5:6" s="438" customFormat="1" ht="12.75">
      <c r="E397" s="449"/>
      <c r="F397" s="781"/>
    </row>
    <row r="398" spans="5:6" s="438" customFormat="1" ht="12.75">
      <c r="E398" s="449"/>
      <c r="F398" s="781"/>
    </row>
    <row r="399" spans="5:6" s="438" customFormat="1" ht="12.75">
      <c r="E399" s="449"/>
      <c r="F399" s="781"/>
    </row>
    <row r="400" spans="5:6" s="438" customFormat="1" ht="12.75">
      <c r="E400" s="449"/>
      <c r="F400" s="781"/>
    </row>
    <row r="401" spans="5:6" s="438" customFormat="1" ht="12.75">
      <c r="E401" s="449"/>
      <c r="F401" s="781"/>
    </row>
    <row r="402" spans="5:6" s="438" customFormat="1" ht="12.75">
      <c r="E402" s="449"/>
      <c r="F402" s="781"/>
    </row>
    <row r="403" spans="5:6" s="438" customFormat="1" ht="12.75">
      <c r="E403" s="449"/>
      <c r="F403" s="781"/>
    </row>
    <row r="404" spans="5:6" s="438" customFormat="1" ht="12.75">
      <c r="E404" s="449"/>
      <c r="F404" s="781"/>
    </row>
    <row r="405" spans="5:6" s="438" customFormat="1" ht="12.75">
      <c r="E405" s="449"/>
      <c r="F405" s="781"/>
    </row>
    <row r="406" spans="5:6" s="438" customFormat="1" ht="12.75">
      <c r="E406" s="449"/>
      <c r="F406" s="781"/>
    </row>
    <row r="407" spans="5:6" s="438" customFormat="1" ht="12.75">
      <c r="E407" s="449"/>
      <c r="F407" s="781"/>
    </row>
    <row r="408" spans="5:6" s="438" customFormat="1" ht="12.75">
      <c r="E408" s="449"/>
      <c r="F408" s="781"/>
    </row>
    <row r="409" spans="5:6" s="438" customFormat="1" ht="12.75">
      <c r="E409" s="449"/>
      <c r="F409" s="781"/>
    </row>
    <row r="410" spans="5:6" s="438" customFormat="1" ht="12.75">
      <c r="E410" s="449"/>
      <c r="F410" s="781"/>
    </row>
    <row r="411" spans="5:6" s="438" customFormat="1" ht="12.75">
      <c r="E411" s="449"/>
      <c r="F411" s="781"/>
    </row>
    <row r="412" spans="5:6" s="438" customFormat="1" ht="12.75">
      <c r="E412" s="449"/>
      <c r="F412" s="781"/>
    </row>
    <row r="413" spans="5:6" s="438" customFormat="1" ht="12.75">
      <c r="E413" s="449"/>
      <c r="F413" s="781"/>
    </row>
    <row r="414" spans="5:6" s="438" customFormat="1" ht="12.75">
      <c r="E414" s="449"/>
      <c r="F414" s="781"/>
    </row>
    <row r="415" spans="5:6" s="438" customFormat="1" ht="12.75">
      <c r="E415" s="449"/>
      <c r="F415" s="781"/>
    </row>
    <row r="416" spans="5:6" s="438" customFormat="1" ht="12.75">
      <c r="E416" s="449"/>
      <c r="F416" s="781"/>
    </row>
    <row r="417" spans="5:6" s="438" customFormat="1" ht="12.75">
      <c r="E417" s="449"/>
      <c r="F417" s="781"/>
    </row>
    <row r="418" spans="5:6" s="438" customFormat="1" ht="12.75">
      <c r="E418" s="449"/>
      <c r="F418" s="781"/>
    </row>
    <row r="419" spans="5:6" s="438" customFormat="1" ht="12.75">
      <c r="E419" s="449"/>
      <c r="F419" s="781"/>
    </row>
    <row r="420" spans="5:6" s="438" customFormat="1" ht="12.75">
      <c r="E420" s="449"/>
      <c r="F420" s="781"/>
    </row>
    <row r="421" spans="5:6" s="438" customFormat="1" ht="12.75">
      <c r="E421" s="449"/>
      <c r="F421" s="781"/>
    </row>
    <row r="422" spans="5:6" s="438" customFormat="1" ht="12.75">
      <c r="E422" s="449"/>
      <c r="F422" s="781"/>
    </row>
    <row r="423" spans="5:6" s="438" customFormat="1" ht="12.75">
      <c r="E423" s="449"/>
      <c r="F423" s="781"/>
    </row>
    <row r="424" spans="5:6" s="438" customFormat="1" ht="12.75">
      <c r="E424" s="449"/>
      <c r="F424" s="781"/>
    </row>
    <row r="425" spans="5:6" s="438" customFormat="1" ht="12.75">
      <c r="E425" s="449"/>
      <c r="F425" s="781"/>
    </row>
    <row r="426" spans="5:6" s="438" customFormat="1" ht="12.75">
      <c r="E426" s="449"/>
      <c r="F426" s="781"/>
    </row>
    <row r="427" spans="5:6" s="438" customFormat="1" ht="12.75">
      <c r="E427" s="449"/>
      <c r="F427" s="781"/>
    </row>
    <row r="428" spans="5:6" s="438" customFormat="1" ht="12.75">
      <c r="E428" s="449"/>
      <c r="F428" s="781"/>
    </row>
    <row r="429" spans="5:6" s="438" customFormat="1" ht="12.75">
      <c r="E429" s="449"/>
      <c r="F429" s="781"/>
    </row>
    <row r="430" spans="5:6" s="438" customFormat="1" ht="12.75">
      <c r="E430" s="449"/>
      <c r="F430" s="781"/>
    </row>
    <row r="431" spans="5:6" s="438" customFormat="1" ht="12.75">
      <c r="E431" s="449"/>
      <c r="F431" s="781"/>
    </row>
    <row r="432" spans="5:6" s="438" customFormat="1" ht="12.75">
      <c r="E432" s="449"/>
      <c r="F432" s="781"/>
    </row>
    <row r="433" spans="5:6" s="438" customFormat="1" ht="12.75">
      <c r="E433" s="449"/>
      <c r="F433" s="781"/>
    </row>
    <row r="434" spans="5:6" s="438" customFormat="1" ht="12.75">
      <c r="E434" s="449"/>
      <c r="F434" s="781"/>
    </row>
    <row r="435" spans="5:6" s="438" customFormat="1" ht="12.75">
      <c r="E435" s="449"/>
      <c r="F435" s="781"/>
    </row>
    <row r="436" spans="5:6" s="438" customFormat="1" ht="12.75">
      <c r="E436" s="449"/>
      <c r="F436" s="781"/>
    </row>
    <row r="437" spans="5:6" s="438" customFormat="1" ht="12.75">
      <c r="E437" s="449"/>
      <c r="F437" s="781"/>
    </row>
    <row r="438" spans="5:6" s="438" customFormat="1" ht="12.75">
      <c r="E438" s="449"/>
      <c r="F438" s="781"/>
    </row>
    <row r="439" spans="5:6" s="438" customFormat="1" ht="12.75">
      <c r="E439" s="449"/>
      <c r="F439" s="781"/>
    </row>
    <row r="440" spans="5:6" s="438" customFormat="1" ht="12.75">
      <c r="E440" s="449"/>
      <c r="F440" s="781"/>
    </row>
    <row r="441" spans="5:6" s="438" customFormat="1" ht="12.75">
      <c r="E441" s="449"/>
      <c r="F441" s="781"/>
    </row>
    <row r="442" spans="5:6" s="438" customFormat="1" ht="12.75">
      <c r="E442" s="449"/>
      <c r="F442" s="781"/>
    </row>
    <row r="443" spans="5:6" s="438" customFormat="1" ht="12.75">
      <c r="E443" s="449"/>
      <c r="F443" s="781"/>
    </row>
    <row r="444" spans="5:6" s="438" customFormat="1" ht="12.75">
      <c r="E444" s="449"/>
      <c r="F444" s="781"/>
    </row>
    <row r="445" spans="5:6" s="438" customFormat="1" ht="12.75">
      <c r="E445" s="449"/>
      <c r="F445" s="781"/>
    </row>
    <row r="446" spans="5:6" s="438" customFormat="1" ht="12.75">
      <c r="E446" s="449"/>
      <c r="F446" s="781"/>
    </row>
    <row r="447" spans="5:6" s="438" customFormat="1" ht="12.75">
      <c r="E447" s="449"/>
      <c r="F447" s="781"/>
    </row>
    <row r="448" spans="5:6" s="438" customFormat="1" ht="12.75">
      <c r="E448" s="449"/>
      <c r="F448" s="781"/>
    </row>
    <row r="449" spans="5:6" s="438" customFormat="1" ht="12.75">
      <c r="E449" s="449"/>
      <c r="F449" s="781"/>
    </row>
    <row r="450" spans="5:6" s="438" customFormat="1" ht="12.75">
      <c r="E450" s="449"/>
      <c r="F450" s="781"/>
    </row>
    <row r="451" spans="5:6" s="438" customFormat="1" ht="12.75">
      <c r="E451" s="449"/>
      <c r="F451" s="781"/>
    </row>
    <row r="452" spans="5:6" s="438" customFormat="1" ht="12.75">
      <c r="E452" s="449"/>
      <c r="F452" s="781"/>
    </row>
    <row r="453" spans="5:6" s="438" customFormat="1" ht="12.75">
      <c r="E453" s="449"/>
      <c r="F453" s="781"/>
    </row>
    <row r="454" spans="5:6" s="438" customFormat="1" ht="12.75">
      <c r="E454" s="449"/>
      <c r="F454" s="781"/>
    </row>
    <row r="455" spans="5:6" s="438" customFormat="1" ht="12.75">
      <c r="E455" s="449"/>
      <c r="F455" s="781"/>
    </row>
    <row r="456" spans="5:6" s="438" customFormat="1" ht="12.75">
      <c r="E456" s="449"/>
      <c r="F456" s="781"/>
    </row>
    <row r="457" spans="5:6" s="438" customFormat="1" ht="12.75">
      <c r="E457" s="449"/>
      <c r="F457" s="781"/>
    </row>
    <row r="458" spans="5:6" s="438" customFormat="1" ht="12.75">
      <c r="E458" s="449"/>
      <c r="F458" s="781"/>
    </row>
    <row r="459" spans="5:6" s="438" customFormat="1" ht="12.75">
      <c r="E459" s="449"/>
      <c r="F459" s="781"/>
    </row>
    <row r="460" spans="5:6" s="438" customFormat="1" ht="12.75">
      <c r="E460" s="449"/>
      <c r="F460" s="781"/>
    </row>
    <row r="461" spans="5:6" s="438" customFormat="1" ht="12.75">
      <c r="E461" s="449"/>
      <c r="F461" s="781"/>
    </row>
    <row r="462" spans="5:6" s="438" customFormat="1" ht="12.75">
      <c r="E462" s="449"/>
      <c r="F462" s="781"/>
    </row>
    <row r="463" spans="5:6" s="438" customFormat="1" ht="12.75">
      <c r="E463" s="449"/>
      <c r="F463" s="781"/>
    </row>
    <row r="464" spans="5:6" s="438" customFormat="1" ht="12.75">
      <c r="E464" s="449"/>
      <c r="F464" s="781"/>
    </row>
    <row r="465" spans="5:6" s="438" customFormat="1" ht="12.75">
      <c r="E465" s="449"/>
      <c r="F465" s="781"/>
    </row>
    <row r="466" spans="5:6" s="438" customFormat="1" ht="12.75">
      <c r="E466" s="449"/>
      <c r="F466" s="781"/>
    </row>
    <row r="467" spans="5:6" s="438" customFormat="1" ht="12.75">
      <c r="E467" s="449"/>
      <c r="F467" s="781"/>
    </row>
    <row r="468" spans="5:6" s="438" customFormat="1" ht="12.75">
      <c r="E468" s="449"/>
      <c r="F468" s="781"/>
    </row>
    <row r="469" spans="5:6" s="438" customFormat="1" ht="12.75">
      <c r="E469" s="449"/>
      <c r="F469" s="781"/>
    </row>
    <row r="470" spans="5:6" s="438" customFormat="1" ht="12.75">
      <c r="E470" s="449"/>
      <c r="F470" s="781"/>
    </row>
    <row r="471" spans="5:6" s="438" customFormat="1" ht="12.75">
      <c r="E471" s="449"/>
      <c r="F471" s="781"/>
    </row>
    <row r="472" spans="5:6" s="438" customFormat="1" ht="12.75">
      <c r="E472" s="449"/>
      <c r="F472" s="781"/>
    </row>
    <row r="473" spans="5:6" s="438" customFormat="1" ht="12.75">
      <c r="E473" s="449"/>
      <c r="F473" s="781"/>
    </row>
    <row r="474" spans="5:6" s="438" customFormat="1" ht="12.75">
      <c r="E474" s="449"/>
      <c r="F474" s="781"/>
    </row>
    <row r="475" spans="5:6" s="438" customFormat="1" ht="12.75">
      <c r="E475" s="449"/>
      <c r="F475" s="781"/>
    </row>
    <row r="476" spans="5:6" s="438" customFormat="1" ht="12.75">
      <c r="E476" s="449"/>
      <c r="F476" s="781"/>
    </row>
    <row r="477" spans="5:6" s="438" customFormat="1" ht="12.75">
      <c r="E477" s="449"/>
      <c r="F477" s="781"/>
    </row>
    <row r="478" spans="5:6" s="438" customFormat="1" ht="12.75">
      <c r="E478" s="449"/>
      <c r="F478" s="781"/>
    </row>
    <row r="479" spans="5:6" s="438" customFormat="1" ht="12.75">
      <c r="E479" s="449"/>
      <c r="F479" s="781"/>
    </row>
    <row r="480" spans="5:6" s="438" customFormat="1" ht="12.75">
      <c r="E480" s="449"/>
      <c r="F480" s="781"/>
    </row>
    <row r="481" spans="5:6" s="438" customFormat="1" ht="12.75">
      <c r="E481" s="449"/>
      <c r="F481" s="781"/>
    </row>
    <row r="482" spans="5:6" s="438" customFormat="1" ht="12.75">
      <c r="E482" s="449"/>
      <c r="F482" s="781"/>
    </row>
    <row r="483" spans="5:6" s="438" customFormat="1" ht="12.75">
      <c r="E483" s="449"/>
      <c r="F483" s="781"/>
    </row>
    <row r="484" spans="5:6" s="438" customFormat="1" ht="12.75">
      <c r="E484" s="449"/>
      <c r="F484" s="781"/>
    </row>
    <row r="485" spans="5:6" s="438" customFormat="1" ht="12.75">
      <c r="E485" s="449"/>
      <c r="F485" s="781"/>
    </row>
    <row r="486" spans="5:6" s="438" customFormat="1" ht="12.75">
      <c r="E486" s="449"/>
      <c r="F486" s="781"/>
    </row>
    <row r="487" spans="5:6" s="438" customFormat="1" ht="12.75">
      <c r="E487" s="449"/>
      <c r="F487" s="781"/>
    </row>
    <row r="488" spans="5:6" s="438" customFormat="1" ht="12.75">
      <c r="E488" s="449"/>
      <c r="F488" s="781"/>
    </row>
    <row r="489" spans="5:6" s="438" customFormat="1" ht="12.75">
      <c r="E489" s="449"/>
      <c r="F489" s="781"/>
    </row>
    <row r="490" spans="5:6" s="438" customFormat="1" ht="12.75">
      <c r="E490" s="449"/>
      <c r="F490" s="781"/>
    </row>
    <row r="491" spans="5:6" s="438" customFormat="1" ht="12.75">
      <c r="E491" s="449"/>
      <c r="F491" s="781"/>
    </row>
    <row r="492" spans="5:6" s="438" customFormat="1" ht="12.75">
      <c r="E492" s="449"/>
      <c r="F492" s="781"/>
    </row>
    <row r="493" spans="5:6" s="438" customFormat="1" ht="12.75">
      <c r="E493" s="449"/>
      <c r="F493" s="781"/>
    </row>
    <row r="494" spans="5:6" s="438" customFormat="1" ht="12.75">
      <c r="E494" s="449"/>
      <c r="F494" s="781"/>
    </row>
    <row r="495" spans="5:6" s="438" customFormat="1" ht="12.75">
      <c r="E495" s="449"/>
      <c r="F495" s="781"/>
    </row>
    <row r="496" spans="5:6" s="438" customFormat="1" ht="12.75">
      <c r="E496" s="449"/>
      <c r="F496" s="781"/>
    </row>
    <row r="497" spans="5:6" s="438" customFormat="1" ht="12.75">
      <c r="E497" s="449"/>
      <c r="F497" s="781"/>
    </row>
    <row r="498" spans="5:6" s="438" customFormat="1" ht="12.75">
      <c r="E498" s="449"/>
      <c r="F498" s="781"/>
    </row>
    <row r="499" spans="5:6" s="438" customFormat="1" ht="12.75">
      <c r="E499" s="449"/>
      <c r="F499" s="781"/>
    </row>
    <row r="500" spans="5:6" s="438" customFormat="1" ht="12.75">
      <c r="E500" s="449"/>
      <c r="F500" s="781"/>
    </row>
    <row r="501" spans="5:6" s="438" customFormat="1" ht="12.75">
      <c r="E501" s="449"/>
      <c r="F501" s="781"/>
    </row>
    <row r="502" spans="5:6" s="438" customFormat="1" ht="12.75">
      <c r="E502" s="449"/>
      <c r="F502" s="781"/>
    </row>
    <row r="503" spans="5:6" s="438" customFormat="1" ht="12.75">
      <c r="E503" s="449"/>
      <c r="F503" s="781"/>
    </row>
    <row r="504" spans="5:6" s="438" customFormat="1" ht="12.75">
      <c r="E504" s="449"/>
      <c r="F504" s="781"/>
    </row>
    <row r="505" spans="5:6" s="438" customFormat="1" ht="12.75">
      <c r="E505" s="449"/>
      <c r="F505" s="781"/>
    </row>
    <row r="506" spans="5:6" s="438" customFormat="1" ht="12.75">
      <c r="E506" s="449"/>
      <c r="F506" s="781"/>
    </row>
    <row r="507" spans="5:6" s="438" customFormat="1" ht="12.75">
      <c r="E507" s="449"/>
      <c r="F507" s="781"/>
    </row>
    <row r="508" spans="5:6" s="438" customFormat="1" ht="12.75">
      <c r="E508" s="449"/>
      <c r="F508" s="781"/>
    </row>
    <row r="509" spans="5:6" s="438" customFormat="1" ht="12.75">
      <c r="E509" s="449"/>
      <c r="F509" s="781"/>
    </row>
    <row r="510" spans="5:6" s="438" customFormat="1" ht="12.75">
      <c r="E510" s="449"/>
      <c r="F510" s="781"/>
    </row>
    <row r="511" spans="5:6" s="438" customFormat="1" ht="12.75">
      <c r="E511" s="449"/>
      <c r="F511" s="781"/>
    </row>
    <row r="512" spans="5:6" s="438" customFormat="1" ht="12.75">
      <c r="E512" s="449"/>
      <c r="F512" s="781"/>
    </row>
    <row r="513" spans="5:6" s="438" customFormat="1" ht="12.75">
      <c r="E513" s="449"/>
      <c r="F513" s="781"/>
    </row>
    <row r="514" spans="5:6" s="438" customFormat="1" ht="12.75">
      <c r="E514" s="449"/>
      <c r="F514" s="781"/>
    </row>
    <row r="515" spans="5:6" s="438" customFormat="1" ht="12.75">
      <c r="E515" s="449"/>
      <c r="F515" s="781"/>
    </row>
    <row r="516" spans="5:6" s="438" customFormat="1" ht="12.75">
      <c r="E516" s="449"/>
      <c r="F516" s="781"/>
    </row>
    <row r="517" spans="5:6" s="438" customFormat="1" ht="12.75">
      <c r="E517" s="449"/>
      <c r="F517" s="781"/>
    </row>
    <row r="518" spans="5:6" s="438" customFormat="1" ht="12.75">
      <c r="E518" s="449"/>
      <c r="F518" s="781"/>
    </row>
    <row r="519" spans="5:6" s="438" customFormat="1" ht="12.75">
      <c r="E519" s="449"/>
      <c r="F519" s="781"/>
    </row>
    <row r="520" spans="5:6" s="438" customFormat="1" ht="12.75">
      <c r="E520" s="449"/>
      <c r="F520" s="781"/>
    </row>
    <row r="521" spans="5:6" s="438" customFormat="1" ht="12.75">
      <c r="E521" s="449"/>
      <c r="F521" s="781"/>
    </row>
    <row r="522" spans="5:6" s="438" customFormat="1" ht="12.75">
      <c r="E522" s="449"/>
      <c r="F522" s="781"/>
    </row>
    <row r="523" spans="5:6" s="438" customFormat="1" ht="12.75">
      <c r="E523" s="449"/>
      <c r="F523" s="781"/>
    </row>
    <row r="524" spans="5:6" s="438" customFormat="1" ht="12.75">
      <c r="E524" s="449"/>
      <c r="F524" s="781"/>
    </row>
    <row r="525" spans="5:6" s="438" customFormat="1" ht="12.75">
      <c r="E525" s="449"/>
      <c r="F525" s="781"/>
    </row>
    <row r="526" spans="5:6" s="438" customFormat="1" ht="12.75">
      <c r="E526" s="449"/>
      <c r="F526" s="781"/>
    </row>
    <row r="527" spans="5:6" s="438" customFormat="1" ht="12.75">
      <c r="E527" s="449"/>
      <c r="F527" s="781"/>
    </row>
    <row r="528" spans="5:6" s="438" customFormat="1" ht="12.75">
      <c r="E528" s="449"/>
      <c r="F528" s="781"/>
    </row>
    <row r="529" spans="5:6" s="438" customFormat="1" ht="12.75">
      <c r="E529" s="449"/>
      <c r="F529" s="781"/>
    </row>
    <row r="530" spans="5:6" s="438" customFormat="1" ht="12.75">
      <c r="E530" s="449"/>
      <c r="F530" s="781"/>
    </row>
    <row r="531" spans="5:6" s="438" customFormat="1" ht="12.75">
      <c r="E531" s="449"/>
      <c r="F531" s="781"/>
    </row>
    <row r="532" spans="5:6" s="438" customFormat="1" ht="12.75">
      <c r="E532" s="449"/>
      <c r="F532" s="781"/>
    </row>
    <row r="533" spans="5:6" s="438" customFormat="1" ht="12.75">
      <c r="E533" s="449"/>
      <c r="F533" s="781"/>
    </row>
    <row r="534" spans="5:6" s="438" customFormat="1" ht="12.75">
      <c r="E534" s="449"/>
      <c r="F534" s="781"/>
    </row>
    <row r="535" spans="5:6" s="438" customFormat="1" ht="12.75">
      <c r="E535" s="449"/>
      <c r="F535" s="781"/>
    </row>
    <row r="536" spans="5:6" s="438" customFormat="1" ht="12.75">
      <c r="E536" s="449"/>
      <c r="F536" s="781"/>
    </row>
    <row r="537" spans="5:6" s="438" customFormat="1" ht="12.75">
      <c r="E537" s="449"/>
      <c r="F537" s="781"/>
    </row>
    <row r="538" spans="5:6" s="438" customFormat="1" ht="12.75">
      <c r="E538" s="449"/>
      <c r="F538" s="781"/>
    </row>
    <row r="539" spans="5:6" s="438" customFormat="1" ht="12.75">
      <c r="E539" s="449"/>
      <c r="F539" s="781"/>
    </row>
    <row r="540" spans="5:6" s="438" customFormat="1" ht="12.75">
      <c r="E540" s="449"/>
      <c r="F540" s="781"/>
    </row>
    <row r="541" spans="5:6" s="438" customFormat="1" ht="12.75">
      <c r="E541" s="449"/>
      <c r="F541" s="781"/>
    </row>
    <row r="542" spans="5:6" s="438" customFormat="1" ht="12.75">
      <c r="E542" s="449"/>
      <c r="F542" s="781"/>
    </row>
    <row r="543" spans="5:6" s="438" customFormat="1" ht="12.75">
      <c r="E543" s="449"/>
      <c r="F543" s="781"/>
    </row>
    <row r="544" spans="5:6" s="438" customFormat="1" ht="12.75">
      <c r="E544" s="449"/>
      <c r="F544" s="781"/>
    </row>
    <row r="545" spans="5:6" s="438" customFormat="1" ht="12.75">
      <c r="E545" s="449"/>
      <c r="F545" s="781"/>
    </row>
    <row r="546" spans="5:6" s="438" customFormat="1" ht="12.75">
      <c r="E546" s="449"/>
      <c r="F546" s="781"/>
    </row>
    <row r="547" spans="5:6" s="438" customFormat="1" ht="12.75">
      <c r="E547" s="449"/>
      <c r="F547" s="781"/>
    </row>
    <row r="548" spans="5:6" s="438" customFormat="1" ht="12.75">
      <c r="E548" s="449"/>
      <c r="F548" s="781"/>
    </row>
    <row r="549" spans="5:6" s="438" customFormat="1" ht="12.75">
      <c r="E549" s="449"/>
      <c r="F549" s="781"/>
    </row>
    <row r="550" spans="5:6" s="438" customFormat="1" ht="12.75">
      <c r="E550" s="449"/>
      <c r="F550" s="781"/>
    </row>
    <row r="551" spans="5:6" s="438" customFormat="1" ht="12.75">
      <c r="E551" s="449"/>
      <c r="F551" s="781"/>
    </row>
    <row r="552" spans="5:6" s="438" customFormat="1" ht="12.75">
      <c r="E552" s="449"/>
      <c r="F552" s="781"/>
    </row>
    <row r="553" spans="5:6" s="438" customFormat="1" ht="12.75">
      <c r="E553" s="449"/>
      <c r="F553" s="781"/>
    </row>
    <row r="554" spans="5:6" s="438" customFormat="1" ht="12.75">
      <c r="E554" s="449"/>
      <c r="F554" s="781"/>
    </row>
    <row r="555" spans="5:6" s="438" customFormat="1" ht="12.75">
      <c r="E555" s="449"/>
      <c r="F555" s="781"/>
    </row>
    <row r="556" spans="5:6" s="438" customFormat="1" ht="12.75">
      <c r="E556" s="449"/>
      <c r="F556" s="781"/>
    </row>
    <row r="557" spans="5:6" s="438" customFormat="1" ht="12.75">
      <c r="E557" s="449"/>
      <c r="F557" s="781"/>
    </row>
    <row r="558" spans="5:6" s="438" customFormat="1" ht="12.75">
      <c r="E558" s="449"/>
      <c r="F558" s="781"/>
    </row>
    <row r="559" spans="5:6" s="438" customFormat="1" ht="12.75">
      <c r="E559" s="449"/>
      <c r="F559" s="781"/>
    </row>
    <row r="560" spans="5:6" s="438" customFormat="1" ht="12.75">
      <c r="E560" s="449"/>
      <c r="F560" s="781"/>
    </row>
    <row r="561" spans="5:6" s="438" customFormat="1" ht="12.75">
      <c r="E561" s="449"/>
      <c r="F561" s="781"/>
    </row>
    <row r="562" spans="5:6" s="438" customFormat="1" ht="12.75">
      <c r="E562" s="449"/>
      <c r="F562" s="781"/>
    </row>
    <row r="563" spans="5:6" s="438" customFormat="1" ht="12.75">
      <c r="E563" s="449"/>
      <c r="F563" s="781"/>
    </row>
    <row r="564" spans="5:6" s="438" customFormat="1" ht="12.75">
      <c r="E564" s="449"/>
      <c r="F564" s="781"/>
    </row>
    <row r="565" spans="5:6" s="438" customFormat="1" ht="12.75">
      <c r="E565" s="449"/>
      <c r="F565" s="781"/>
    </row>
    <row r="566" spans="5:6" s="438" customFormat="1" ht="12.75">
      <c r="E566" s="449"/>
      <c r="F566" s="781"/>
    </row>
    <row r="567" spans="5:6" s="438" customFormat="1" ht="12.75">
      <c r="E567" s="449"/>
      <c r="F567" s="781"/>
    </row>
    <row r="568" spans="5:6" s="438" customFormat="1" ht="12.75">
      <c r="E568" s="449"/>
      <c r="F568" s="781"/>
    </row>
    <row r="569" spans="1:5" ht="12.75">
      <c r="A569" s="438"/>
      <c r="B569" s="438"/>
      <c r="C569" s="438"/>
      <c r="D569" s="438"/>
      <c r="E569" s="449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3937007874015748" bottom="0.5905511811023623" header="0" footer="0"/>
  <pageSetup fitToHeight="2"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PageLayoutView="0" workbookViewId="0" topLeftCell="A1">
      <selection activeCell="C5" sqref="C5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3.28125" style="133" bestFit="1" customWidth="1"/>
    <col min="6" max="6" width="14.140625" style="133" customWidth="1"/>
    <col min="7" max="7" width="13.28125" style="133" bestFit="1" customWidth="1"/>
    <col min="8" max="11" width="11.57421875" style="133" customWidth="1"/>
    <col min="12" max="12" width="13.28125" style="133" bestFit="1" customWidth="1"/>
    <col min="13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3.5">
      <c r="A1" s="760"/>
      <c r="B1" s="760"/>
      <c r="C1" s="750" t="s">
        <v>426</v>
      </c>
      <c r="D1" s="760"/>
      <c r="E1" s="760"/>
      <c r="F1" s="760"/>
      <c r="G1" s="760"/>
    </row>
    <row r="2" spans="1:7" ht="13.5">
      <c r="A2" s="760"/>
      <c r="B2" s="760"/>
      <c r="C2" s="751" t="s">
        <v>427</v>
      </c>
      <c r="D2" s="760"/>
      <c r="E2" s="760"/>
      <c r="F2" s="760"/>
      <c r="G2" s="760"/>
    </row>
    <row r="3" spans="1:7" ht="13.5">
      <c r="A3" s="760"/>
      <c r="B3" s="760"/>
      <c r="C3" s="760"/>
      <c r="D3" s="760"/>
      <c r="E3" s="760"/>
      <c r="F3" s="760"/>
      <c r="G3" s="760"/>
    </row>
    <row r="4" spans="1:7" ht="13.5">
      <c r="A4" s="760"/>
      <c r="B4" s="760"/>
      <c r="C4" s="760"/>
      <c r="D4" s="760"/>
      <c r="E4" s="760"/>
      <c r="F4" s="760"/>
      <c r="G4" s="760"/>
    </row>
    <row r="5" spans="1:7" ht="13.5">
      <c r="A5" s="749" t="s">
        <v>260</v>
      </c>
      <c r="B5" s="760"/>
      <c r="C5" s="754">
        <v>42339</v>
      </c>
      <c r="D5" s="760"/>
      <c r="E5" s="760"/>
      <c r="F5" s="760"/>
      <c r="G5" s="760"/>
    </row>
    <row r="6" spans="1:7" ht="13.5">
      <c r="A6" s="749" t="s">
        <v>425</v>
      </c>
      <c r="B6" s="760"/>
      <c r="C6" s="753" t="s">
        <v>428</v>
      </c>
      <c r="D6" s="760"/>
      <c r="E6" s="760"/>
      <c r="F6" s="760"/>
      <c r="G6" s="760"/>
    </row>
    <row r="7" ht="13.5" thickBot="1"/>
    <row r="8" spans="1:16" ht="12.75">
      <c r="A8" s="948" t="s">
        <v>227</v>
      </c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8">
        <v>2016</v>
      </c>
      <c r="O8" s="949"/>
      <c r="P8" s="950"/>
    </row>
    <row r="9" spans="1:16" ht="15.75" customHeight="1">
      <c r="A9" s="951" t="s">
        <v>228</v>
      </c>
      <c r="B9" s="952"/>
      <c r="C9" s="952"/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1"/>
      <c r="O9" s="952"/>
      <c r="P9" s="953"/>
    </row>
    <row r="10" spans="1:16" ht="19.5" customHeight="1" thickBot="1">
      <c r="A10" s="958" t="str">
        <f>CPYG!A8</f>
        <v>EMPRESA PÚBLICA: AUDITORIO DE TENERIFE, S.A.U.</v>
      </c>
      <c r="B10" s="959"/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45" t="s">
        <v>229</v>
      </c>
      <c r="O10" s="946"/>
      <c r="P10" s="947"/>
    </row>
    <row r="11" spans="1:16" ht="23.25" customHeight="1">
      <c r="A11" s="954" t="s">
        <v>230</v>
      </c>
      <c r="B11" s="955"/>
      <c r="C11" s="209"/>
      <c r="D11" s="209"/>
      <c r="E11" s="209"/>
      <c r="F11" s="210"/>
      <c r="G11" s="954" t="s">
        <v>231</v>
      </c>
      <c r="H11" s="955"/>
      <c r="I11" s="955"/>
      <c r="J11" s="955"/>
      <c r="K11" s="956"/>
      <c r="L11" s="954" t="s">
        <v>232</v>
      </c>
      <c r="M11" s="955"/>
      <c r="N11" s="955"/>
      <c r="O11" s="955"/>
      <c r="P11" s="956"/>
    </row>
    <row r="12" spans="1:16" ht="53.25" customHeight="1" thickBot="1">
      <c r="A12" s="211" t="s">
        <v>233</v>
      </c>
      <c r="B12" s="212" t="s">
        <v>234</v>
      </c>
      <c r="C12" s="213" t="s">
        <v>235</v>
      </c>
      <c r="D12" s="213" t="s">
        <v>236</v>
      </c>
      <c r="E12" s="213" t="s">
        <v>237</v>
      </c>
      <c r="F12" s="214" t="s">
        <v>549</v>
      </c>
      <c r="G12" s="212">
        <v>2016</v>
      </c>
      <c r="H12" s="212">
        <v>2017</v>
      </c>
      <c r="I12" s="212">
        <v>2018</v>
      </c>
      <c r="J12" s="212">
        <v>2019</v>
      </c>
      <c r="K12" s="215" t="s">
        <v>238</v>
      </c>
      <c r="L12" s="212">
        <v>2016</v>
      </c>
      <c r="M12" s="212">
        <v>2017</v>
      </c>
      <c r="N12" s="212">
        <v>2018</v>
      </c>
      <c r="O12" s="212">
        <v>2019</v>
      </c>
      <c r="P12" s="215" t="s">
        <v>238</v>
      </c>
    </row>
    <row r="13" spans="1:16" ht="19.5" customHeight="1">
      <c r="A13" s="567"/>
      <c r="B13" s="568"/>
      <c r="C13" s="568"/>
      <c r="D13" s="568"/>
      <c r="E13" s="569"/>
      <c r="F13" s="570"/>
      <c r="G13" s="571"/>
      <c r="H13" s="569"/>
      <c r="I13" s="569"/>
      <c r="J13" s="569"/>
      <c r="K13" s="570"/>
      <c r="L13" s="571"/>
      <c r="M13" s="569"/>
      <c r="N13" s="569"/>
      <c r="O13" s="569"/>
      <c r="P13" s="570"/>
    </row>
    <row r="14" spans="1:16" ht="19.5" customHeight="1">
      <c r="A14" s="572"/>
      <c r="B14" s="573" t="s">
        <v>256</v>
      </c>
      <c r="C14" s="573">
        <v>2015</v>
      </c>
      <c r="D14" s="573">
        <v>2016</v>
      </c>
      <c r="E14" s="574">
        <v>150000</v>
      </c>
      <c r="F14" s="575">
        <v>19985.45</v>
      </c>
      <c r="G14" s="576">
        <f>150000-19985.45</f>
        <v>130014.55</v>
      </c>
      <c r="H14" s="574"/>
      <c r="I14" s="574"/>
      <c r="J14" s="574"/>
      <c r="K14" s="575"/>
      <c r="L14" s="576">
        <v>130014.55</v>
      </c>
      <c r="M14" s="574"/>
      <c r="N14" s="574"/>
      <c r="O14" s="574"/>
      <c r="P14" s="575"/>
    </row>
    <row r="15" spans="1:16" ht="19.5" customHeight="1">
      <c r="A15" s="572"/>
      <c r="B15" s="573" t="s">
        <v>226</v>
      </c>
      <c r="C15" s="573">
        <v>2016</v>
      </c>
      <c r="D15" s="573">
        <v>2016</v>
      </c>
      <c r="E15" s="574">
        <v>400000</v>
      </c>
      <c r="F15" s="575">
        <v>0</v>
      </c>
      <c r="G15" s="576">
        <v>400000</v>
      </c>
      <c r="H15" s="574"/>
      <c r="I15" s="574"/>
      <c r="J15" s="574"/>
      <c r="K15" s="575"/>
      <c r="L15" s="576">
        <v>400000</v>
      </c>
      <c r="M15" s="574"/>
      <c r="N15" s="574"/>
      <c r="O15" s="574"/>
      <c r="P15" s="575"/>
    </row>
    <row r="16" spans="1:16" ht="19.5" customHeight="1">
      <c r="A16" s="572"/>
      <c r="B16" s="573"/>
      <c r="C16" s="573"/>
      <c r="D16" s="573"/>
      <c r="E16" s="574"/>
      <c r="F16" s="575"/>
      <c r="G16" s="576"/>
      <c r="H16" s="574"/>
      <c r="I16" s="574"/>
      <c r="J16" s="574"/>
      <c r="K16" s="575"/>
      <c r="L16" s="576"/>
      <c r="M16" s="574"/>
      <c r="N16" s="574"/>
      <c r="O16" s="574"/>
      <c r="P16" s="575"/>
    </row>
    <row r="17" spans="1:16" ht="19.5" customHeight="1">
      <c r="A17" s="572"/>
      <c r="B17" s="573"/>
      <c r="C17" s="573"/>
      <c r="D17" s="573"/>
      <c r="E17" s="574"/>
      <c r="F17" s="575"/>
      <c r="G17" s="576"/>
      <c r="H17" s="574"/>
      <c r="I17" s="574"/>
      <c r="J17" s="574"/>
      <c r="K17" s="575"/>
      <c r="L17" s="576"/>
      <c r="M17" s="574"/>
      <c r="N17" s="574"/>
      <c r="O17" s="574"/>
      <c r="P17" s="575"/>
    </row>
    <row r="18" spans="1:16" ht="19.5" customHeight="1">
      <c r="A18" s="572"/>
      <c r="B18" s="573"/>
      <c r="C18" s="573"/>
      <c r="D18" s="573"/>
      <c r="E18" s="574"/>
      <c r="F18" s="575"/>
      <c r="G18" s="576"/>
      <c r="H18" s="574"/>
      <c r="I18" s="574"/>
      <c r="J18" s="574"/>
      <c r="K18" s="575"/>
      <c r="L18" s="576"/>
      <c r="M18" s="574"/>
      <c r="N18" s="574"/>
      <c r="O18" s="574"/>
      <c r="P18" s="575"/>
    </row>
    <row r="19" spans="1:16" ht="19.5" customHeight="1">
      <c r="A19" s="572"/>
      <c r="B19" s="573"/>
      <c r="C19" s="573"/>
      <c r="D19" s="573"/>
      <c r="E19" s="574"/>
      <c r="F19" s="575"/>
      <c r="G19" s="576"/>
      <c r="H19" s="574"/>
      <c r="I19" s="574"/>
      <c r="J19" s="574"/>
      <c r="K19" s="575"/>
      <c r="L19" s="576"/>
      <c r="M19" s="574"/>
      <c r="N19" s="574"/>
      <c r="O19" s="574"/>
      <c r="P19" s="575"/>
    </row>
    <row r="20" spans="1:16" ht="19.5" customHeight="1">
      <c r="A20" s="572"/>
      <c r="B20" s="573"/>
      <c r="C20" s="573"/>
      <c r="D20" s="573"/>
      <c r="E20" s="574"/>
      <c r="F20" s="575"/>
      <c r="G20" s="576"/>
      <c r="H20" s="574"/>
      <c r="I20" s="574"/>
      <c r="J20" s="574"/>
      <c r="K20" s="575"/>
      <c r="L20" s="576"/>
      <c r="M20" s="574"/>
      <c r="N20" s="574"/>
      <c r="O20" s="574"/>
      <c r="P20" s="575"/>
    </row>
    <row r="21" spans="1:16" ht="19.5" customHeight="1">
      <c r="A21" s="572"/>
      <c r="B21" s="573"/>
      <c r="C21" s="573"/>
      <c r="D21" s="573"/>
      <c r="E21" s="574"/>
      <c r="F21" s="575"/>
      <c r="G21" s="576"/>
      <c r="H21" s="574"/>
      <c r="I21" s="574"/>
      <c r="J21" s="574"/>
      <c r="K21" s="575"/>
      <c r="L21" s="576"/>
      <c r="M21" s="574"/>
      <c r="N21" s="574"/>
      <c r="O21" s="574"/>
      <c r="P21" s="575"/>
    </row>
    <row r="22" spans="1:16" ht="19.5" customHeight="1">
      <c r="A22" s="572"/>
      <c r="B22" s="573"/>
      <c r="C22" s="573"/>
      <c r="D22" s="573"/>
      <c r="E22" s="574"/>
      <c r="F22" s="575"/>
      <c r="G22" s="576"/>
      <c r="H22" s="574"/>
      <c r="I22" s="574"/>
      <c r="J22" s="574"/>
      <c r="K22" s="575"/>
      <c r="L22" s="576"/>
      <c r="M22" s="574"/>
      <c r="N22" s="574"/>
      <c r="O22" s="574"/>
      <c r="P22" s="575"/>
    </row>
    <row r="23" spans="1:16" ht="19.5" customHeight="1">
      <c r="A23" s="572"/>
      <c r="B23" s="573"/>
      <c r="C23" s="573"/>
      <c r="D23" s="573"/>
      <c r="E23" s="574"/>
      <c r="F23" s="575"/>
      <c r="G23" s="576"/>
      <c r="H23" s="574"/>
      <c r="I23" s="574"/>
      <c r="J23" s="574"/>
      <c r="K23" s="575"/>
      <c r="L23" s="576"/>
      <c r="M23" s="574"/>
      <c r="N23" s="574"/>
      <c r="O23" s="574"/>
      <c r="P23" s="575"/>
    </row>
    <row r="24" spans="1:16" ht="19.5" customHeight="1">
      <c r="A24" s="572"/>
      <c r="B24" s="573"/>
      <c r="C24" s="573"/>
      <c r="D24" s="573"/>
      <c r="E24" s="574"/>
      <c r="F24" s="575"/>
      <c r="G24" s="576"/>
      <c r="H24" s="574"/>
      <c r="I24" s="574"/>
      <c r="J24" s="574"/>
      <c r="K24" s="575"/>
      <c r="L24" s="576"/>
      <c r="M24" s="574"/>
      <c r="N24" s="574"/>
      <c r="O24" s="574"/>
      <c r="P24" s="575"/>
    </row>
    <row r="25" spans="1:16" ht="19.5" customHeight="1">
      <c r="A25" s="572"/>
      <c r="B25" s="573"/>
      <c r="C25" s="573"/>
      <c r="D25" s="573"/>
      <c r="E25" s="574"/>
      <c r="F25" s="575"/>
      <c r="G25" s="576"/>
      <c r="H25" s="574"/>
      <c r="I25" s="574"/>
      <c r="J25" s="574"/>
      <c r="K25" s="575"/>
      <c r="L25" s="576"/>
      <c r="M25" s="574"/>
      <c r="N25" s="574"/>
      <c r="O25" s="574"/>
      <c r="P25" s="575"/>
    </row>
    <row r="26" spans="1:16" ht="19.5" customHeight="1">
      <c r="A26" s="572"/>
      <c r="B26" s="573"/>
      <c r="C26" s="573"/>
      <c r="D26" s="573"/>
      <c r="E26" s="574"/>
      <c r="F26" s="575"/>
      <c r="G26" s="576"/>
      <c r="H26" s="574"/>
      <c r="I26" s="574"/>
      <c r="J26" s="574"/>
      <c r="K26" s="575"/>
      <c r="L26" s="576"/>
      <c r="M26" s="574"/>
      <c r="N26" s="574"/>
      <c r="O26" s="574"/>
      <c r="P26" s="575"/>
    </row>
    <row r="27" spans="1:16" ht="19.5" customHeight="1">
      <c r="A27" s="572"/>
      <c r="B27" s="573"/>
      <c r="C27" s="573"/>
      <c r="D27" s="573"/>
      <c r="E27" s="574"/>
      <c r="F27" s="575"/>
      <c r="G27" s="576"/>
      <c r="H27" s="574"/>
      <c r="I27" s="574"/>
      <c r="J27" s="574"/>
      <c r="K27" s="575"/>
      <c r="L27" s="576"/>
      <c r="M27" s="574"/>
      <c r="N27" s="574"/>
      <c r="O27" s="574"/>
      <c r="P27" s="575"/>
    </row>
    <row r="28" spans="1:16" ht="19.5" customHeight="1">
      <c r="A28" s="572"/>
      <c r="B28" s="573"/>
      <c r="C28" s="573"/>
      <c r="D28" s="573"/>
      <c r="E28" s="574"/>
      <c r="F28" s="575"/>
      <c r="G28" s="576"/>
      <c r="H28" s="574"/>
      <c r="I28" s="574"/>
      <c r="J28" s="574"/>
      <c r="K28" s="575"/>
      <c r="L28" s="576"/>
      <c r="M28" s="574"/>
      <c r="N28" s="574"/>
      <c r="O28" s="574"/>
      <c r="P28" s="575"/>
    </row>
    <row r="29" spans="1:16" ht="19.5" customHeight="1">
      <c r="A29" s="572"/>
      <c r="B29" s="573"/>
      <c r="C29" s="573"/>
      <c r="D29" s="573"/>
      <c r="E29" s="574"/>
      <c r="F29" s="575"/>
      <c r="G29" s="576"/>
      <c r="H29" s="574"/>
      <c r="I29" s="574"/>
      <c r="J29" s="574"/>
      <c r="K29" s="575"/>
      <c r="L29" s="576"/>
      <c r="M29" s="574"/>
      <c r="N29" s="574"/>
      <c r="O29" s="574"/>
      <c r="P29" s="575"/>
    </row>
    <row r="30" spans="1:16" ht="19.5" customHeight="1">
      <c r="A30" s="572"/>
      <c r="B30" s="573"/>
      <c r="C30" s="573"/>
      <c r="D30" s="573"/>
      <c r="E30" s="574"/>
      <c r="F30" s="575"/>
      <c r="G30" s="576"/>
      <c r="H30" s="574"/>
      <c r="I30" s="574"/>
      <c r="J30" s="574"/>
      <c r="K30" s="575"/>
      <c r="L30" s="576"/>
      <c r="M30" s="574"/>
      <c r="N30" s="574"/>
      <c r="O30" s="574"/>
      <c r="P30" s="575"/>
    </row>
    <row r="31" spans="1:16" ht="19.5" customHeight="1">
      <c r="A31" s="572"/>
      <c r="B31" s="573"/>
      <c r="C31" s="573"/>
      <c r="D31" s="573"/>
      <c r="E31" s="574"/>
      <c r="F31" s="575"/>
      <c r="G31" s="576"/>
      <c r="H31" s="574"/>
      <c r="I31" s="574"/>
      <c r="J31" s="574"/>
      <c r="K31" s="575"/>
      <c r="L31" s="576"/>
      <c r="M31" s="574"/>
      <c r="N31" s="574"/>
      <c r="O31" s="574"/>
      <c r="P31" s="575"/>
    </row>
    <row r="32" spans="1:16" ht="19.5" customHeight="1">
      <c r="A32" s="572"/>
      <c r="B32" s="573"/>
      <c r="C32" s="573"/>
      <c r="D32" s="573"/>
      <c r="E32" s="574"/>
      <c r="F32" s="575"/>
      <c r="G32" s="576"/>
      <c r="H32" s="574"/>
      <c r="I32" s="574"/>
      <c r="J32" s="574"/>
      <c r="K32" s="575"/>
      <c r="L32" s="576"/>
      <c r="M32" s="574"/>
      <c r="N32" s="574"/>
      <c r="O32" s="574"/>
      <c r="P32" s="575"/>
    </row>
    <row r="33" spans="1:16" ht="19.5" customHeight="1" thickBot="1">
      <c r="A33" s="577"/>
      <c r="B33" s="578"/>
      <c r="C33" s="578"/>
      <c r="D33" s="578"/>
      <c r="E33" s="579"/>
      <c r="F33" s="580"/>
      <c r="G33" s="581"/>
      <c r="H33" s="579"/>
      <c r="I33" s="579"/>
      <c r="J33" s="579"/>
      <c r="K33" s="580"/>
      <c r="L33" s="581"/>
      <c r="M33" s="579"/>
      <c r="N33" s="579"/>
      <c r="O33" s="579"/>
      <c r="P33" s="580"/>
    </row>
    <row r="34" spans="1:6" ht="12.75">
      <c r="A34" s="158"/>
      <c r="B34" s="158"/>
      <c r="C34" s="158"/>
      <c r="D34" s="158"/>
      <c r="E34" s="158"/>
      <c r="F34" s="158"/>
    </row>
    <row r="35" s="800" customFormat="1" ht="12.75" hidden="1">
      <c r="A35" s="800" t="s">
        <v>239</v>
      </c>
    </row>
    <row r="36" spans="1:10" s="800" customFormat="1" ht="12.75" hidden="1">
      <c r="A36" s="957" t="s">
        <v>240</v>
      </c>
      <c r="B36" s="957"/>
      <c r="C36" s="957"/>
      <c r="D36" s="957"/>
      <c r="E36" s="957"/>
      <c r="F36" s="957"/>
      <c r="G36" s="957"/>
      <c r="H36" s="957"/>
      <c r="I36" s="957"/>
      <c r="J36" s="957"/>
    </row>
    <row r="37" spans="1:9" s="800" customFormat="1" ht="12.75" hidden="1">
      <c r="A37" s="957" t="s">
        <v>241</v>
      </c>
      <c r="B37" s="957"/>
      <c r="C37" s="957"/>
      <c r="D37" s="957"/>
      <c r="E37" s="957"/>
      <c r="F37" s="957"/>
      <c r="G37" s="957"/>
      <c r="H37" s="957"/>
      <c r="I37" s="957"/>
    </row>
  </sheetData>
  <sheetProtection/>
  <mergeCells count="10">
    <mergeCell ref="A37:I37"/>
    <mergeCell ref="A8:M8"/>
    <mergeCell ref="A9:M9"/>
    <mergeCell ref="A10:M10"/>
    <mergeCell ref="A36:J36"/>
    <mergeCell ref="N10:P10"/>
    <mergeCell ref="N8:P9"/>
    <mergeCell ref="A11:B11"/>
    <mergeCell ref="G11:K11"/>
    <mergeCell ref="L11:P1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3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2" customWidth="1"/>
    <col min="2" max="2" width="15.421875" style="222" customWidth="1"/>
    <col min="3" max="3" width="18.7109375" style="222" customWidth="1"/>
    <col min="4" max="4" width="15.28125" style="222" customWidth="1"/>
    <col min="5" max="5" width="14.140625" style="222" customWidth="1"/>
    <col min="6" max="6" width="15.140625" style="222" customWidth="1"/>
    <col min="7" max="7" width="14.8515625" style="222" customWidth="1"/>
    <col min="8" max="8" width="16.28125" style="222" bestFit="1" customWidth="1"/>
    <col min="9" max="9" width="17.8515625" style="222" customWidth="1"/>
    <col min="10" max="10" width="15.28125" style="222" customWidth="1"/>
    <col min="11" max="11" width="21.57421875" style="222" customWidth="1"/>
    <col min="12" max="12" width="2.8515625" style="222" customWidth="1"/>
    <col min="13" max="14" width="5.140625" style="836" hidden="1" customWidth="1"/>
    <col min="15" max="15" width="4.8515625" style="836" hidden="1" customWidth="1"/>
    <col min="16" max="17" width="0" style="836" hidden="1" customWidth="1"/>
    <col min="18" max="16384" width="11.421875" style="222" customWidth="1"/>
  </cols>
  <sheetData>
    <row r="1" spans="1:7" ht="13.5">
      <c r="A1" s="749"/>
      <c r="B1" s="749"/>
      <c r="C1" s="749"/>
      <c r="D1" s="750" t="s">
        <v>426</v>
      </c>
      <c r="E1" s="749"/>
      <c r="F1" s="749"/>
      <c r="G1" s="752"/>
    </row>
    <row r="2" spans="1:7" ht="13.5">
      <c r="A2" s="749"/>
      <c r="B2" s="749"/>
      <c r="C2" s="749"/>
      <c r="D2" s="751" t="s">
        <v>427</v>
      </c>
      <c r="E2" s="749"/>
      <c r="F2" s="749"/>
      <c r="G2" s="752"/>
    </row>
    <row r="3" spans="1:7" ht="13.5">
      <c r="A3" s="749"/>
      <c r="B3" s="751"/>
      <c r="C3" s="749"/>
      <c r="D3" s="749"/>
      <c r="E3" s="749"/>
      <c r="F3" s="749"/>
      <c r="G3" s="752"/>
    </row>
    <row r="4" spans="1:6" ht="13.5">
      <c r="A4" s="749" t="s">
        <v>260</v>
      </c>
      <c r="B4" s="749"/>
      <c r="C4" s="749"/>
      <c r="D4" s="754">
        <v>42339</v>
      </c>
      <c r="E4" s="749"/>
      <c r="F4" s="749"/>
    </row>
    <row r="5" spans="1:6" ht="13.5">
      <c r="A5" s="749" t="s">
        <v>425</v>
      </c>
      <c r="B5" s="749"/>
      <c r="C5" s="749"/>
      <c r="D5" s="753" t="s">
        <v>428</v>
      </c>
      <c r="E5" s="749"/>
      <c r="F5" s="749"/>
    </row>
    <row r="6" ht="13.5" thickBot="1"/>
    <row r="7" spans="1:11" ht="42" customHeight="1">
      <c r="A7" s="960" t="s">
        <v>190</v>
      </c>
      <c r="B7" s="961"/>
      <c r="C7" s="961"/>
      <c r="D7" s="961"/>
      <c r="E7" s="961"/>
      <c r="F7" s="961"/>
      <c r="G7" s="961"/>
      <c r="H7" s="961"/>
      <c r="I7" s="961"/>
      <c r="J7" s="962">
        <f>CPYG!D7</f>
        <v>2016</v>
      </c>
      <c r="K7" s="963"/>
    </row>
    <row r="8" spans="1:11" ht="51" customHeight="1">
      <c r="A8" s="973" t="str">
        <f>CPYG!A8</f>
        <v>EMPRESA PÚBLICA: AUDITORIO DE TENERIFE, S.A.U.</v>
      </c>
      <c r="B8" s="974"/>
      <c r="C8" s="974"/>
      <c r="D8" s="974"/>
      <c r="E8" s="974"/>
      <c r="F8" s="974"/>
      <c r="G8" s="974"/>
      <c r="H8" s="974"/>
      <c r="I8" s="974"/>
      <c r="J8" s="975" t="s">
        <v>176</v>
      </c>
      <c r="K8" s="976"/>
    </row>
    <row r="9" spans="1:17" s="223" customFormat="1" ht="27" customHeight="1">
      <c r="A9" s="964" t="s">
        <v>715</v>
      </c>
      <c r="B9" s="965"/>
      <c r="C9" s="965"/>
      <c r="D9" s="965"/>
      <c r="E9" s="965"/>
      <c r="F9" s="965"/>
      <c r="G9" s="965"/>
      <c r="H9" s="965"/>
      <c r="I9" s="965"/>
      <c r="J9" s="965"/>
      <c r="K9" s="966"/>
      <c r="M9" s="836"/>
      <c r="N9" s="836"/>
      <c r="O9" s="836"/>
      <c r="P9" s="836"/>
      <c r="Q9" s="836"/>
    </row>
    <row r="10" spans="1:11" ht="19.5" customHeight="1">
      <c r="A10" s="970" t="s">
        <v>551</v>
      </c>
      <c r="B10" s="971" t="s">
        <v>550</v>
      </c>
      <c r="C10" s="501"/>
      <c r="D10" s="971"/>
      <c r="E10" s="971"/>
      <c r="F10" s="971"/>
      <c r="G10" s="971"/>
      <c r="H10" s="971"/>
      <c r="I10" s="971"/>
      <c r="J10" s="971" t="s">
        <v>317</v>
      </c>
      <c r="K10" s="972" t="s">
        <v>389</v>
      </c>
    </row>
    <row r="11" spans="1:11" ht="64.5" customHeight="1">
      <c r="A11" s="970"/>
      <c r="B11" s="971"/>
      <c r="C11" s="501" t="s">
        <v>390</v>
      </c>
      <c r="D11" s="501" t="s">
        <v>480</v>
      </c>
      <c r="E11" s="501" t="s">
        <v>391</v>
      </c>
      <c r="F11" s="501" t="s">
        <v>585</v>
      </c>
      <c r="G11" s="501" t="s">
        <v>392</v>
      </c>
      <c r="H11" s="501" t="s">
        <v>393</v>
      </c>
      <c r="I11" s="501" t="s">
        <v>394</v>
      </c>
      <c r="J11" s="971"/>
      <c r="K11" s="972"/>
    </row>
    <row r="12" spans="1:11" ht="12.75">
      <c r="A12" s="967"/>
      <c r="B12" s="968"/>
      <c r="C12" s="968"/>
      <c r="D12" s="968"/>
      <c r="E12" s="968"/>
      <c r="F12" s="968"/>
      <c r="G12" s="968"/>
      <c r="H12" s="968"/>
      <c r="I12" s="968"/>
      <c r="J12" s="968"/>
      <c r="K12" s="969"/>
    </row>
    <row r="13" spans="1:15" ht="33" customHeight="1">
      <c r="A13" s="502" t="s">
        <v>395</v>
      </c>
      <c r="B13" s="542">
        <v>3338.17</v>
      </c>
      <c r="C13" s="533">
        <f>9640.32+272.28</f>
        <v>9912.6</v>
      </c>
      <c r="D13" s="533"/>
      <c r="E13" s="533"/>
      <c r="F13" s="533">
        <f>-2968.62-1105.53</f>
        <v>-4074.1499999999996</v>
      </c>
      <c r="G13" s="533"/>
      <c r="H13" s="533"/>
      <c r="I13" s="533"/>
      <c r="J13" s="542">
        <f>SUM(B13:I13)</f>
        <v>9176.62</v>
      </c>
      <c r="K13" s="534"/>
      <c r="M13" s="838">
        <f>+B13-ACTIVO!B12</f>
        <v>0</v>
      </c>
      <c r="N13" s="838">
        <f>+J13-ACTIVO!C12</f>
        <v>0</v>
      </c>
      <c r="O13" s="839">
        <f>+F13-CPYG!C60</f>
        <v>0</v>
      </c>
    </row>
    <row r="14" spans="1:15" ht="39" customHeight="1">
      <c r="A14" s="502" t="s">
        <v>29</v>
      </c>
      <c r="B14" s="542">
        <v>345966.73</v>
      </c>
      <c r="C14" s="533">
        <f>40997.54+14078.15</f>
        <v>55075.69</v>
      </c>
      <c r="D14" s="533"/>
      <c r="E14" s="533"/>
      <c r="F14" s="533">
        <f>-64105.26-22147.93</f>
        <v>-86253.19</v>
      </c>
      <c r="G14" s="533"/>
      <c r="H14" s="533"/>
      <c r="I14" s="533"/>
      <c r="J14" s="542">
        <f>SUM(B14:I14)</f>
        <v>314789.23</v>
      </c>
      <c r="K14" s="534"/>
      <c r="M14" s="838">
        <f>+B14-ACTIVO!B17</f>
        <v>0</v>
      </c>
      <c r="N14" s="838">
        <f>+J14-ACTIVO!C17</f>
        <v>0</v>
      </c>
      <c r="O14" s="839">
        <f>+F14-CPYG!C61</f>
        <v>0</v>
      </c>
    </row>
    <row r="15" spans="1:15" ht="45" customHeight="1">
      <c r="A15" s="503" t="s">
        <v>396</v>
      </c>
      <c r="B15" s="542"/>
      <c r="C15" s="533"/>
      <c r="D15" s="533"/>
      <c r="E15" s="533"/>
      <c r="F15" s="533"/>
      <c r="G15" s="533"/>
      <c r="H15" s="533"/>
      <c r="I15" s="533"/>
      <c r="J15" s="542">
        <f>SUM(B15:I15)</f>
        <v>0</v>
      </c>
      <c r="K15" s="535"/>
      <c r="M15" s="840"/>
      <c r="N15" s="840"/>
      <c r="O15" s="840"/>
    </row>
    <row r="16" spans="1:15" ht="20.25" customHeight="1">
      <c r="A16" s="503" t="s">
        <v>397</v>
      </c>
      <c r="B16" s="542"/>
      <c r="C16" s="533"/>
      <c r="D16" s="533"/>
      <c r="E16" s="533"/>
      <c r="F16" s="533"/>
      <c r="G16" s="533"/>
      <c r="H16" s="533"/>
      <c r="I16" s="533"/>
      <c r="J16" s="542">
        <f>SUM(B16:I16)</f>
        <v>0</v>
      </c>
      <c r="K16" s="535"/>
      <c r="M16" s="841"/>
      <c r="N16" s="840"/>
      <c r="O16" s="840"/>
    </row>
    <row r="17" spans="1:17" s="224" customFormat="1" ht="23.25" customHeight="1">
      <c r="A17" s="503" t="s">
        <v>120</v>
      </c>
      <c r="B17" s="543">
        <f>SUM(B13:B16)</f>
        <v>349304.89999999997</v>
      </c>
      <c r="C17" s="543">
        <f aca="true" t="shared" si="0" ref="C17:J17">SUM(C13:C16)</f>
        <v>64988.29</v>
      </c>
      <c r="D17" s="543">
        <f t="shared" si="0"/>
        <v>0</v>
      </c>
      <c r="E17" s="543">
        <f t="shared" si="0"/>
        <v>0</v>
      </c>
      <c r="F17" s="543">
        <f t="shared" si="0"/>
        <v>-90327.34</v>
      </c>
      <c r="G17" s="543">
        <f t="shared" si="0"/>
        <v>0</v>
      </c>
      <c r="H17" s="543">
        <f t="shared" si="0"/>
        <v>0</v>
      </c>
      <c r="I17" s="543">
        <f t="shared" si="0"/>
        <v>0</v>
      </c>
      <c r="J17" s="543">
        <f t="shared" si="0"/>
        <v>323965.85</v>
      </c>
      <c r="K17" s="536"/>
      <c r="M17" s="842">
        <f>+B17-ACTIVO!B12-ACTIVO!B17</f>
        <v>0</v>
      </c>
      <c r="N17" s="842">
        <f>+J17-ACTIVO!C12-ACTIVO!C17</f>
        <v>0</v>
      </c>
      <c r="O17" s="843"/>
      <c r="P17" s="844"/>
      <c r="Q17" s="844"/>
    </row>
    <row r="18" spans="1:15" ht="20.25" customHeight="1">
      <c r="A18" s="503" t="s">
        <v>398</v>
      </c>
      <c r="B18" s="542">
        <f>ACTIVO!B35</f>
        <v>6982.73</v>
      </c>
      <c r="C18" s="712">
        <v>202746.26</v>
      </c>
      <c r="D18" s="533"/>
      <c r="E18" s="533"/>
      <c r="F18" s="533"/>
      <c r="G18" s="533"/>
      <c r="H18" s="533"/>
      <c r="I18" s="533">
        <v>-209728.99</v>
      </c>
      <c r="J18" s="542">
        <f>SUM(B18:I18)</f>
        <v>0</v>
      </c>
      <c r="K18" s="535"/>
      <c r="M18" s="838">
        <f>+B18-ACTIVO!B35</f>
        <v>0</v>
      </c>
      <c r="N18" s="838">
        <f>+J18-ACTIVO!C35</f>
        <v>0</v>
      </c>
      <c r="O18" s="840"/>
    </row>
    <row r="19" spans="1:15" ht="26.25" customHeight="1">
      <c r="A19" s="504"/>
      <c r="B19" s="537"/>
      <c r="C19" s="537"/>
      <c r="D19" s="537"/>
      <c r="E19" s="537"/>
      <c r="F19" s="537"/>
      <c r="G19" s="537"/>
      <c r="H19" s="537"/>
      <c r="I19" s="537"/>
      <c r="J19" s="538"/>
      <c r="K19" s="539"/>
      <c r="M19" s="840"/>
      <c r="N19" s="840"/>
      <c r="O19" s="840"/>
    </row>
    <row r="20" spans="1:15" ht="19.5" customHeight="1">
      <c r="A20" s="970" t="s">
        <v>548</v>
      </c>
      <c r="B20" s="971" t="s">
        <v>552</v>
      </c>
      <c r="C20" s="501"/>
      <c r="D20" s="971"/>
      <c r="E20" s="971"/>
      <c r="F20" s="971"/>
      <c r="G20" s="971"/>
      <c r="H20" s="971"/>
      <c r="I20" s="971"/>
      <c r="J20" s="971" t="s">
        <v>553</v>
      </c>
      <c r="K20" s="972" t="s">
        <v>389</v>
      </c>
      <c r="M20" s="840"/>
      <c r="N20" s="840"/>
      <c r="O20" s="840"/>
    </row>
    <row r="21" spans="1:15" ht="66">
      <c r="A21" s="970"/>
      <c r="B21" s="971"/>
      <c r="C21" s="501" t="s">
        <v>390</v>
      </c>
      <c r="D21" s="501" t="s">
        <v>480</v>
      </c>
      <c r="E21" s="501" t="s">
        <v>391</v>
      </c>
      <c r="F21" s="501" t="s">
        <v>585</v>
      </c>
      <c r="G21" s="501" t="s">
        <v>392</v>
      </c>
      <c r="H21" s="501" t="s">
        <v>393</v>
      </c>
      <c r="I21" s="501" t="s">
        <v>394</v>
      </c>
      <c r="J21" s="971"/>
      <c r="K21" s="972"/>
      <c r="M21" s="840"/>
      <c r="N21" s="840"/>
      <c r="O21" s="840"/>
    </row>
    <row r="22" spans="1:15" ht="12.75">
      <c r="A22" s="967"/>
      <c r="B22" s="968"/>
      <c r="C22" s="968"/>
      <c r="D22" s="968"/>
      <c r="E22" s="968"/>
      <c r="F22" s="968"/>
      <c r="G22" s="968"/>
      <c r="H22" s="968"/>
      <c r="I22" s="968"/>
      <c r="J22" s="968"/>
      <c r="K22" s="969"/>
      <c r="M22" s="840"/>
      <c r="N22" s="840"/>
      <c r="O22" s="840"/>
    </row>
    <row r="23" spans="1:15" ht="36.75" customHeight="1">
      <c r="A23" s="502" t="s">
        <v>395</v>
      </c>
      <c r="B23" s="542">
        <f>+J13</f>
        <v>9176.62</v>
      </c>
      <c r="C23" s="671"/>
      <c r="D23" s="671"/>
      <c r="E23" s="671"/>
      <c r="F23" s="671">
        <v>-2964.13</v>
      </c>
      <c r="G23" s="671"/>
      <c r="H23" s="671"/>
      <c r="I23" s="671"/>
      <c r="J23" s="542">
        <f>SUM(B23:I23)</f>
        <v>6212.490000000001</v>
      </c>
      <c r="K23" s="534"/>
      <c r="M23" s="840"/>
      <c r="N23" s="838">
        <f>+J23-ACTIVO!D12</f>
        <v>0</v>
      </c>
      <c r="O23" s="839">
        <f>+F23-CPYG!D60</f>
        <v>0</v>
      </c>
    </row>
    <row r="24" spans="1:15" ht="39" customHeight="1">
      <c r="A24" s="502" t="s">
        <v>29</v>
      </c>
      <c r="B24" s="542">
        <f>+J14</f>
        <v>314789.23</v>
      </c>
      <c r="C24" s="671">
        <f>150000-19985.45+400000</f>
        <v>530014.55</v>
      </c>
      <c r="D24" s="671"/>
      <c r="E24" s="671"/>
      <c r="F24" s="671">
        <f>-86667.7+1336.93+2181.74-(10%*(130014.55+1900)/12*6)-1336.93-2181.74-20000</f>
        <v>-113263.42749999999</v>
      </c>
      <c r="G24" s="671"/>
      <c r="H24" s="671"/>
      <c r="I24" s="671"/>
      <c r="J24" s="542">
        <f>SUM(B24:I24)</f>
        <v>731540.3525</v>
      </c>
      <c r="K24" s="534"/>
      <c r="M24" s="840"/>
      <c r="N24" s="838">
        <f>+J24-ACTIVO!D17</f>
        <v>0</v>
      </c>
      <c r="O24" s="839">
        <f>F24-CPYG!D61</f>
        <v>0</v>
      </c>
    </row>
    <row r="25" spans="1:15" ht="39">
      <c r="A25" s="503" t="s">
        <v>396</v>
      </c>
      <c r="B25" s="542"/>
      <c r="C25" s="671"/>
      <c r="D25" s="671"/>
      <c r="E25" s="671"/>
      <c r="F25" s="671"/>
      <c r="G25" s="671"/>
      <c r="H25" s="671"/>
      <c r="I25" s="671"/>
      <c r="J25" s="542">
        <f>SUM(B25:I25)</f>
        <v>0</v>
      </c>
      <c r="K25" s="535"/>
      <c r="M25" s="840"/>
      <c r="N25" s="840"/>
      <c r="O25" s="840"/>
    </row>
    <row r="26" spans="1:15" ht="21.75" customHeight="1">
      <c r="A26" s="503" t="s">
        <v>397</v>
      </c>
      <c r="B26" s="542"/>
      <c r="C26" s="671"/>
      <c r="D26" s="671"/>
      <c r="E26" s="671"/>
      <c r="F26" s="671"/>
      <c r="G26" s="671"/>
      <c r="H26" s="671"/>
      <c r="I26" s="671"/>
      <c r="J26" s="542">
        <f>SUM(B26:I26)</f>
        <v>0</v>
      </c>
      <c r="K26" s="535"/>
      <c r="M26" s="840"/>
      <c r="N26" s="840"/>
      <c r="O26" s="840"/>
    </row>
    <row r="27" spans="1:17" s="224" customFormat="1" ht="22.5" customHeight="1">
      <c r="A27" s="503" t="s">
        <v>120</v>
      </c>
      <c r="B27" s="543">
        <f aca="true" t="shared" si="1" ref="B27:H27">SUM(B23:B26)</f>
        <v>323965.85</v>
      </c>
      <c r="C27" s="564">
        <f t="shared" si="1"/>
        <v>530014.55</v>
      </c>
      <c r="D27" s="564">
        <f t="shared" si="1"/>
        <v>0</v>
      </c>
      <c r="E27" s="564">
        <f t="shared" si="1"/>
        <v>0</v>
      </c>
      <c r="F27" s="564">
        <f t="shared" si="1"/>
        <v>-116227.5575</v>
      </c>
      <c r="G27" s="564">
        <f t="shared" si="1"/>
        <v>0</v>
      </c>
      <c r="H27" s="564">
        <f t="shared" si="1"/>
        <v>0</v>
      </c>
      <c r="I27" s="564">
        <f>SUM(I23:I26)</f>
        <v>0</v>
      </c>
      <c r="J27" s="564">
        <f>SUM(J23:J26)</f>
        <v>737752.8425</v>
      </c>
      <c r="K27" s="540"/>
      <c r="M27" s="843"/>
      <c r="N27" s="842">
        <f>+J27-ACTIVO!D12-ACTIVO!D17</f>
        <v>0</v>
      </c>
      <c r="O27" s="843"/>
      <c r="P27" s="844"/>
      <c r="Q27" s="844"/>
    </row>
    <row r="28" spans="1:15" ht="20.25" customHeight="1" thickBot="1">
      <c r="A28" s="505" t="s">
        <v>398</v>
      </c>
      <c r="B28" s="544"/>
      <c r="C28" s="672"/>
      <c r="D28" s="672"/>
      <c r="E28" s="672"/>
      <c r="F28" s="672"/>
      <c r="G28" s="672"/>
      <c r="H28" s="672"/>
      <c r="I28" s="672"/>
      <c r="J28" s="544">
        <f>SUM(B28:I28)</f>
        <v>0</v>
      </c>
      <c r="K28" s="541"/>
      <c r="M28" s="841"/>
      <c r="N28" s="838">
        <f>+J28-ACTIVO!D35</f>
        <v>0</v>
      </c>
      <c r="O28" s="840"/>
    </row>
    <row r="30" spans="1:17" s="835" customFormat="1" ht="12.75" hidden="1">
      <c r="A30" s="845" t="s">
        <v>399</v>
      </c>
      <c r="B30" s="846"/>
      <c r="F30" s="847"/>
      <c r="K30" s="848"/>
      <c r="M30" s="836"/>
      <c r="N30" s="836"/>
      <c r="O30" s="836"/>
      <c r="P30" s="836"/>
      <c r="Q30" s="836"/>
    </row>
    <row r="31" spans="1:17" s="835" customFormat="1" ht="12.75" hidden="1">
      <c r="A31" s="977" t="s">
        <v>400</v>
      </c>
      <c r="B31" s="977"/>
      <c r="C31" s="977"/>
      <c r="D31" s="977"/>
      <c r="E31" s="977"/>
      <c r="F31" s="977"/>
      <c r="G31" s="977"/>
      <c r="H31" s="977"/>
      <c r="I31" s="977"/>
      <c r="J31" s="977"/>
      <c r="K31" s="977"/>
      <c r="M31" s="836"/>
      <c r="N31" s="836"/>
      <c r="O31" s="836"/>
      <c r="P31" s="836"/>
      <c r="Q31" s="836"/>
    </row>
    <row r="32" spans="1:17" s="835" customFormat="1" ht="12.75" hidden="1">
      <c r="A32" s="977" t="s">
        <v>401</v>
      </c>
      <c r="B32" s="977"/>
      <c r="C32" s="977"/>
      <c r="D32" s="977"/>
      <c r="E32" s="977"/>
      <c r="F32" s="977"/>
      <c r="G32" s="977"/>
      <c r="H32" s="977"/>
      <c r="I32" s="977"/>
      <c r="J32" s="977"/>
      <c r="K32" s="977"/>
      <c r="M32" s="836"/>
      <c r="N32" s="836"/>
      <c r="O32" s="836"/>
      <c r="P32" s="836"/>
      <c r="Q32" s="836"/>
    </row>
    <row r="33" spans="1:17" s="835" customFormat="1" ht="12.75" hidden="1">
      <c r="A33" s="977" t="s">
        <v>406</v>
      </c>
      <c r="B33" s="977"/>
      <c r="C33" s="977"/>
      <c r="D33" s="977"/>
      <c r="E33" s="977"/>
      <c r="F33" s="977"/>
      <c r="G33" s="977"/>
      <c r="H33" s="977"/>
      <c r="I33" s="977"/>
      <c r="J33" s="977"/>
      <c r="K33" s="977"/>
      <c r="M33" s="836"/>
      <c r="N33" s="836"/>
      <c r="O33" s="836"/>
      <c r="P33" s="836"/>
      <c r="Q33" s="836"/>
    </row>
    <row r="34" spans="1:17" s="835" customFormat="1" ht="12.75" hidden="1">
      <c r="A34" s="977" t="s">
        <v>407</v>
      </c>
      <c r="B34" s="977"/>
      <c r="C34" s="977"/>
      <c r="D34" s="977"/>
      <c r="E34" s="977"/>
      <c r="F34" s="977"/>
      <c r="G34" s="977"/>
      <c r="H34" s="977"/>
      <c r="I34" s="977"/>
      <c r="J34" s="977"/>
      <c r="K34" s="977"/>
      <c r="M34" s="836"/>
      <c r="N34" s="836"/>
      <c r="O34" s="836"/>
      <c r="P34" s="836"/>
      <c r="Q34" s="836"/>
    </row>
    <row r="35" spans="1:17" s="835" customFormat="1" ht="12.75" hidden="1">
      <c r="A35" s="977" t="s">
        <v>422</v>
      </c>
      <c r="B35" s="977"/>
      <c r="C35" s="977"/>
      <c r="D35" s="977"/>
      <c r="E35" s="977"/>
      <c r="F35" s="977"/>
      <c r="G35" s="977"/>
      <c r="H35" s="977"/>
      <c r="I35" s="977"/>
      <c r="J35" s="977"/>
      <c r="K35" s="977"/>
      <c r="M35" s="836"/>
      <c r="N35" s="836"/>
      <c r="O35" s="836"/>
      <c r="P35" s="836"/>
      <c r="Q35" s="836"/>
    </row>
    <row r="36" spans="1:17" s="835" customFormat="1" ht="12.75" hidden="1">
      <c r="A36" s="977" t="s">
        <v>423</v>
      </c>
      <c r="B36" s="977"/>
      <c r="C36" s="977"/>
      <c r="D36" s="977"/>
      <c r="E36" s="977"/>
      <c r="F36" s="977"/>
      <c r="G36" s="977"/>
      <c r="H36" s="977"/>
      <c r="I36" s="977"/>
      <c r="J36" s="977"/>
      <c r="K36" s="977"/>
      <c r="M36" s="836"/>
      <c r="N36" s="836"/>
      <c r="O36" s="836"/>
      <c r="P36" s="836"/>
      <c r="Q36" s="836"/>
    </row>
    <row r="37" spans="1:17" s="835" customFormat="1" ht="12.75" hidden="1">
      <c r="A37" s="977" t="s">
        <v>424</v>
      </c>
      <c r="B37" s="977"/>
      <c r="C37" s="977"/>
      <c r="D37" s="977"/>
      <c r="E37" s="977"/>
      <c r="F37" s="977"/>
      <c r="G37" s="977"/>
      <c r="H37" s="977"/>
      <c r="I37" s="977"/>
      <c r="J37" s="977"/>
      <c r="K37" s="977"/>
      <c r="M37" s="836"/>
      <c r="N37" s="836"/>
      <c r="O37" s="836"/>
      <c r="P37" s="836"/>
      <c r="Q37" s="836"/>
    </row>
    <row r="38" spans="1:17" s="835" customFormat="1" ht="12.75" hidden="1">
      <c r="A38" s="977" t="s">
        <v>435</v>
      </c>
      <c r="B38" s="977"/>
      <c r="C38" s="977"/>
      <c r="D38" s="977"/>
      <c r="E38" s="977"/>
      <c r="F38" s="977"/>
      <c r="G38" s="977"/>
      <c r="H38" s="977"/>
      <c r="I38" s="977"/>
      <c r="J38" s="977"/>
      <c r="K38" s="977"/>
      <c r="M38" s="836"/>
      <c r="N38" s="836"/>
      <c r="O38" s="836"/>
      <c r="P38" s="836"/>
      <c r="Q38" s="836"/>
    </row>
    <row r="39" spans="1:17" s="835" customFormat="1" ht="12.75" hidden="1">
      <c r="A39" s="977" t="s">
        <v>436</v>
      </c>
      <c r="B39" s="977"/>
      <c r="C39" s="977"/>
      <c r="D39" s="977"/>
      <c r="E39" s="977"/>
      <c r="F39" s="977"/>
      <c r="G39" s="977"/>
      <c r="H39" s="977"/>
      <c r="I39" s="977"/>
      <c r="J39" s="977"/>
      <c r="K39" s="977"/>
      <c r="M39" s="836"/>
      <c r="N39" s="836"/>
      <c r="O39" s="836"/>
      <c r="P39" s="836"/>
      <c r="Q39" s="836"/>
    </row>
    <row r="40" spans="1:17" s="835" customFormat="1" ht="12.75" hidden="1">
      <c r="A40" s="977" t="s">
        <v>438</v>
      </c>
      <c r="B40" s="977"/>
      <c r="C40" s="977"/>
      <c r="D40" s="977"/>
      <c r="E40" s="977"/>
      <c r="F40" s="977"/>
      <c r="G40" s="977"/>
      <c r="H40" s="977"/>
      <c r="I40" s="977"/>
      <c r="J40" s="977"/>
      <c r="K40" s="977"/>
      <c r="M40" s="836"/>
      <c r="N40" s="836"/>
      <c r="O40" s="836"/>
      <c r="P40" s="836"/>
      <c r="Q40" s="836"/>
    </row>
    <row r="41" spans="13:17" s="835" customFormat="1" ht="12.75" hidden="1">
      <c r="M41" s="836"/>
      <c r="N41" s="836"/>
      <c r="O41" s="836"/>
      <c r="P41" s="836"/>
      <c r="Q41" s="836"/>
    </row>
    <row r="42" spans="13:17" s="835" customFormat="1" ht="12.75" hidden="1">
      <c r="M42" s="836"/>
      <c r="N42" s="836"/>
      <c r="O42" s="836"/>
      <c r="P42" s="836"/>
      <c r="Q42" s="836"/>
    </row>
    <row r="43" spans="13:17" s="835" customFormat="1" ht="12.75" hidden="1">
      <c r="M43" s="836"/>
      <c r="N43" s="836"/>
      <c r="O43" s="836"/>
      <c r="P43" s="836"/>
      <c r="Q43" s="836"/>
    </row>
  </sheetData>
  <sheetProtection/>
  <mergeCells count="27"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  <mergeCell ref="J8:K8"/>
    <mergeCell ref="A22:K22"/>
    <mergeCell ref="A31:K31"/>
    <mergeCell ref="A20:A21"/>
    <mergeCell ref="B20:B21"/>
    <mergeCell ref="D20:I20"/>
    <mergeCell ref="J20:J21"/>
    <mergeCell ref="K20:K21"/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</mergeCells>
  <printOptions horizontalCentered="1" verticalCentered="1"/>
  <pageMargins left="0.7480314960629921" right="0.2362204724409449" top="0.54" bottom="0.59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UlisesGR</cp:lastModifiedBy>
  <cp:lastPrinted>2015-11-27T07:21:53Z</cp:lastPrinted>
  <dcterms:created xsi:type="dcterms:W3CDTF">2004-09-28T16:33:32Z</dcterms:created>
  <dcterms:modified xsi:type="dcterms:W3CDTF">2016-01-28T11:45:56Z</dcterms:modified>
  <cp:category/>
  <cp:version/>
  <cp:contentType/>
  <cp:contentStatus/>
</cp:coreProperties>
</file>