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416" windowWidth="8610" windowHeight="7275" tabRatio="870" firstSheet="11" activeTab="20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versiones reales" sheetId="9" r:id="rId9"/>
    <sheet name="Inv. NO FIN" sheetId="10" r:id="rId10"/>
    <sheet name="No rellenar EP-5 " sheetId="11" state="hidden" r:id="rId11"/>
    <sheet name="Inv. FIN" sheetId="12" r:id="rId12"/>
    <sheet name="INF. ADIC. CPYG" sheetId="13" r:id="rId13"/>
    <sheet name="Transf. y subv." sheetId="14" r:id="rId14"/>
    <sheet name="Estado de situación de la deuda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Operaciones Internas" sheetId="20" r:id="rId20"/>
    <sheet name="Encomiendas" sheetId="21" r:id="rId21"/>
    <sheet name="1" sheetId="22" r:id="rId22"/>
    <sheet name="2" sheetId="23" r:id="rId23"/>
    <sheet name="3" sheetId="24" r:id="rId24"/>
  </sheets>
  <externalReferences>
    <externalReference r:id="rId27"/>
  </externalReferences>
  <definedNames>
    <definedName name="_xlnm.Print_Area" localSheetId="21">'1'!$A$1:$H$30</definedName>
    <definedName name="_xlnm.Print_Area" localSheetId="22">'2'!$B$2:$D$61</definedName>
    <definedName name="_xlnm.Print_Area" localSheetId="23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7">'Deuda C.P.'!$A$1:$O$22</definedName>
    <definedName name="_xlnm.Print_Area" localSheetId="15">'Deuda L.P.'!$A$1:$O$29</definedName>
    <definedName name="_xlnm.Print_Area" localSheetId="20">'Encomiendas'!$A$1:$E$28</definedName>
    <definedName name="_xlnm.Print_Area" localSheetId="16">'EP7 A'!$A$1:$H$25</definedName>
    <definedName name="_xlnm.Print_Area" localSheetId="7">'Estado de Flujos'!$A$1:$D$87</definedName>
    <definedName name="_xlnm.Print_Area" localSheetId="14">'Estado de situación de la deuda'!$A$1:$J$57</definedName>
    <definedName name="_xlnm.Print_Area" localSheetId="12">'INF. ADIC. CPYG'!$A$1:$E$28</definedName>
    <definedName name="_xlnm.Print_Area" localSheetId="11">'Inv. FIN'!$A$1:$L$45</definedName>
    <definedName name="_xlnm.Print_Area" localSheetId="9">'Inv. NO FIN'!$A$1:$K$28</definedName>
    <definedName name="_xlnm.Print_Area" localSheetId="8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9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8">'Personal'!$A$1:$H$59</definedName>
    <definedName name="_xlnm.Print_Area" localSheetId="13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<sst xmlns="http://schemas.openxmlformats.org/spreadsheetml/2006/main" count="1343" uniqueCount="824">
  <si>
    <t xml:space="preserve">      VII. Resultado del Ejercicio</t>
  </si>
  <si>
    <t xml:space="preserve">       VIII.(Dividendo a cuenta).</t>
  </si>
  <si>
    <t>EMPRESA PÚBLICA:  INSTITUCIÓN FERIAL DE TENERIFE, S.A.</t>
  </si>
  <si>
    <t>CABILDO INSULAR DE TENERIFE - P-38.00001-D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</si>
  <si>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</si>
  <si>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</si>
  <si>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</si>
  <si>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Regularizaciones Saldos de Cuentas no activas</t>
  </si>
  <si>
    <t xml:space="preserve">  Ajustes Saldos Eventos Anteriores realizados</t>
  </si>
  <si>
    <t xml:space="preserve">  No se preveen</t>
  </si>
  <si>
    <t xml:space="preserve">   Ajustes por redondeos decimales en facturación y otros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</si>
  <si>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</si>
  <si>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</si>
  <si>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</si>
  <si>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</si>
  <si>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</si>
  <si>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</si>
  <si>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</si>
  <si>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</si>
  <si>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</si>
  <si>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</si>
  <si>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</si>
  <si>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</si>
  <si>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</si>
  <si>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</si>
  <si>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</si>
  <si>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</si>
  <si>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</si>
  <si>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</si>
  <si>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</si>
  <si>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</si>
  <si>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</si>
  <si>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</si>
  <si>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</si>
  <si>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</si>
  <si>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</si>
  <si>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</si>
  <si>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</si>
  <si>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</si>
  <si>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</si>
  <si>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</si>
  <si>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</si>
  <si>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</si>
  <si>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</si>
  <si>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</si>
  <si>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</si>
  <si>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</si>
  <si>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</si>
  <si>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</si>
  <si>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</si>
  <si>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</si>
  <si>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</si>
  <si>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</si>
  <si>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</si>
  <si>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</si>
  <si>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</si>
  <si>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</si>
  <si>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</si>
  <si>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</si>
  <si>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</si>
  <si>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</si>
  <si>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</si>
  <si>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</si>
  <si>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</si>
  <si>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</si>
  <si>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</si>
  <si>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</si>
  <si>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</si>
  <si>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</si>
  <si>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</si>
  <si>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</si>
  <si>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</si>
  <si>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</si>
  <si>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</si>
  <si>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</si>
  <si>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</si>
  <si>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</si>
  <si>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</si>
  <si>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</si>
  <si>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</si>
  <si>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</si>
  <si>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</si>
  <si>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</si>
  <si>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</si>
  <si>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</si>
  <si>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</si>
  <si>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</si>
  <si>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</si>
  <si>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</si>
  <si>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</si>
  <si>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</si>
  <si>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</si>
  <si>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</si>
  <si>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</si>
  <si>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</si>
  <si>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</si>
  <si>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</si>
  <si>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</si>
  <si>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</si>
  <si>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</si>
  <si>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</si>
  <si>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</si>
  <si>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</si>
  <si>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</si>
  <si>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</si>
  <si>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</si>
  <si>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</si>
  <si>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</si>
  <si>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</si>
  <si>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</si>
  <si>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</si>
  <si>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</si>
  <si>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</si>
  <si>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</si>
  <si>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</si>
  <si>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</si>
  <si>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</si>
  <si>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</si>
  <si>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</si>
  <si>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</si>
  <si>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</si>
  <si>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</si>
  <si>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</si>
  <si>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</si>
  <si>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</si>
  <si>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</si>
  <si>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</si>
  <si>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</si>
  <si>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</si>
  <si>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</si>
  <si>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</si>
  <si>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</si>
  <si>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</si>
  <si>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</si>
  <si>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</si>
  <si>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</si>
  <si>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</si>
  <si>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</si>
  <si>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</si>
  <si>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</si>
  <si>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</si>
  <si>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</si>
  <si>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</si>
  <si>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</si>
  <si>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</si>
  <si>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</si>
  <si>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</si>
  <si>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A3- IFTSA APORTACIﾓN GENﾉRICA</t>
  </si>
  <si>
    <t>A3- IFTSA INCREMENTO PAGA EXTRA 2012</t>
  </si>
  <si>
    <t>A3- IFTSA INCREMENTO 1% CAP. I</t>
  </si>
  <si>
    <t>A3- IFTSA INCREMENTO APORT.GENﾉRICA</t>
  </si>
  <si>
    <t>A3- IFTSA INCREM.GENﾉRICA DEUDAS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</si>
  <si>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</si>
  <si>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</si>
  <si>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</si>
  <si>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</si>
  <si>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</si>
  <si>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</si>
  <si>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</si>
  <si>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Zona de Congresos en el Recinto Ferial</t>
  </si>
  <si>
    <t>Zona de Garajes en el Recinto Ferial</t>
  </si>
  <si>
    <t>Previsión de importes comprometidos a 31/12/2013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</si>
  <si>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</si>
  <si>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</si>
  <si>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</si>
  <si>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</si>
  <si>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</si>
  <si>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</si>
  <si>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</si>
  <si>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</si>
  <si>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</si>
  <si>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</si>
  <si>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</si>
  <si>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</si>
  <si>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</si>
  <si>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</si>
  <si>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</si>
  <si>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</si>
  <si>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</si>
  <si>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</si>
  <si>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</si>
  <si>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</si>
  <si>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</si>
  <si>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</si>
  <si>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</si>
  <si>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</si>
  <si>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</si>
  <si>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</si>
  <si>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</si>
  <si>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</si>
  <si>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</si>
  <si>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</si>
  <si>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RESULTADO DE LA COMPROBACIÓN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</si>
  <si>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</si>
  <si>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</si>
  <si>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</si>
  <si>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</si>
  <si>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</si>
  <si>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</si>
  <si>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</si>
  <si>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</si>
  <si>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</si>
  <si>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</si>
  <si>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</si>
  <si>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</si>
  <si>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</si>
  <si>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</si>
  <si>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</si>
  <si>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</si>
  <si>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</si>
  <si>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</si>
  <si>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</si>
  <si>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</si>
  <si>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</si>
  <si>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</si>
  <si>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Otras aportaciones de socios (+)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</si>
  <si>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</si>
  <si>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</si>
  <si>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</si>
  <si>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</si>
  <si>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</si>
  <si>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</si>
  <si>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</si>
  <si>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</si>
  <si>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</si>
  <si>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</si>
  <si>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</si>
  <si>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</si>
  <si>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</si>
  <si>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</si>
  <si>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</si>
  <si>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</si>
  <si>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</si>
  <si>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</si>
  <si>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</si>
  <si>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</si>
  <si>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</si>
  <si>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</si>
  <si>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</si>
  <si>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</si>
  <si>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</si>
  <si>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</si>
  <si>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</si>
  <si>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</si>
  <si>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</si>
  <si>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</si>
  <si>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</si>
  <si>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</si>
  <si>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</si>
  <si>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</si>
  <si>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</si>
  <si>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</si>
  <si>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</si>
  <si>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</si>
  <si>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</si>
  <si>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</si>
  <si>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</si>
  <si>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</si>
  <si>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Variación 2016/2015</t>
  </si>
  <si>
    <t>Fundación DISA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</si>
  <si>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</si>
  <si>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</si>
  <si>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</si>
  <si>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</si>
  <si>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</si>
  <si>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</si>
  <si>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</si>
  <si>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</si>
  <si>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</si>
  <si>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</si>
  <si>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</si>
  <si>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</si>
  <si>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</si>
  <si>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</si>
  <si>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</si>
  <si>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</si>
  <si>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</si>
  <si>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</si>
  <si>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</si>
  <si>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</si>
  <si>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</si>
  <si>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</si>
  <si>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</si>
  <si>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</si>
  <si>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</si>
  <si>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</si>
  <si>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</si>
  <si>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</si>
  <si>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</si>
  <si>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</si>
  <si>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</si>
  <si>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</si>
  <si>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</si>
  <si>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</si>
  <si>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</si>
  <si>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</si>
  <si>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</si>
  <si>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</si>
  <si>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</si>
  <si>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</si>
  <si>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</si>
  <si>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</si>
  <si>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</si>
  <si>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</si>
  <si>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</si>
  <si>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</si>
  <si>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</si>
  <si>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</si>
  <si>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</si>
  <si>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</si>
  <si>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</si>
  <si>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</si>
  <si>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</si>
  <si>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</si>
  <si>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</si>
  <si>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</si>
  <si>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</si>
  <si>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</si>
  <si>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</si>
  <si>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</si>
  <si>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</si>
  <si>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</si>
  <si>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</si>
  <si>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</si>
  <si>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</si>
  <si>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</si>
  <si>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</si>
  <si>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</si>
  <si>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</si>
  <si>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</si>
  <si>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</si>
  <si>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</si>
  <si>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</si>
  <si>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</si>
  <si>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</si>
  <si>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</si>
  <si>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</si>
  <si>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</si>
  <si>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</si>
  <si>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</si>
  <si>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</si>
  <si>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</si>
  <si>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</si>
  <si>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</si>
  <si>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</si>
  <si>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</si>
  <si>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</si>
  <si>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</si>
  <si>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</si>
  <si>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</si>
  <si>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</si>
  <si>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</si>
  <si>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</si>
  <si>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</si>
  <si>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</si>
  <si>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</si>
  <si>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</si>
  <si>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</si>
  <si>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2016</t>
  </si>
  <si>
    <t>0501</t>
  </si>
  <si>
    <t>A4- IFTSA CENTRO DE CONGRESOS TAORO</t>
  </si>
  <si>
    <t>A4- IFTSA FERIAS SECTORIALES</t>
  </si>
  <si>
    <t>Incremento de ingresos cap. IX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</si>
  <si>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</si>
  <si>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</si>
  <si>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</si>
  <si>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</si>
  <si>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</si>
  <si>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</si>
  <si>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</si>
  <si>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</si>
  <si>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</si>
  <si>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</si>
  <si>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</si>
  <si>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</si>
  <si>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</si>
  <si>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</si>
  <si>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</si>
  <si>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</si>
  <si>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</si>
  <si>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</si>
  <si>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 xml:space="preserve">  Esta fecha está bien.... ????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</si>
  <si>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</si>
  <si>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</si>
  <si>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</si>
  <si>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</si>
  <si>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</si>
  <si>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</si>
  <si>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</si>
  <si>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</si>
  <si>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</si>
  <si>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</si>
  <si>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</si>
  <si>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</si>
  <si>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</si>
  <si>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</si>
  <si>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</si>
  <si>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</si>
  <si>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</si>
  <si>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</si>
  <si>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</si>
  <si>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</si>
  <si>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</si>
  <si>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</si>
  <si>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</si>
  <si>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</si>
  <si>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</si>
  <si>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</si>
  <si>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</si>
  <si>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</si>
  <si>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</si>
  <si>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</si>
  <si>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</si>
  <si>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</si>
  <si>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</si>
  <si>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</si>
  <si>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</si>
  <si>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</si>
  <si>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</si>
  <si>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</si>
  <si>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</si>
  <si>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</si>
  <si>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</si>
  <si>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</si>
  <si>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</si>
  <si>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</si>
  <si>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</si>
  <si>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</si>
  <si>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</si>
  <si>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</si>
  <si>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</si>
  <si>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</si>
  <si>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</si>
  <si>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</si>
  <si>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</si>
  <si>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</si>
  <si>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</si>
  <si>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</si>
  <si>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</si>
  <si>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</si>
  <si>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</si>
  <si>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</si>
  <si>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</si>
  <si>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</si>
  <si>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</si>
  <si>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</si>
  <si>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</si>
  <si>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</si>
  <si>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</si>
  <si>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</si>
  <si>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</si>
  <si>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</si>
  <si>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</si>
  <si>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</si>
  <si>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</si>
  <si>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</si>
  <si>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</si>
  <si>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</si>
  <si>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</si>
  <si>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</si>
  <si>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</si>
  <si>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</si>
  <si>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</si>
  <si>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</si>
  <si>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t>Otros ingresos (especificar en su caso)  ( * )</t>
  </si>
  <si>
    <t>( * )  Donación Fundación DISA - PIT</t>
  </si>
  <si>
    <t xml:space="preserve">  Aportación Genérica Mantenimiento y Costes Edificio CIFYC</t>
  </si>
  <si>
    <t xml:space="preserve">  Gestión PALACIO DE CONGRESOS TAORO</t>
  </si>
  <si>
    <t xml:space="preserve">  Celebración Evento LAN PARTY </t>
  </si>
  <si>
    <t xml:space="preserve">  Aportacion Deficit C.Vino</t>
  </si>
  <si>
    <t xml:space="preserve">   Salón del Gourmet, Sabores Tenerife</t>
  </si>
  <si>
    <t xml:space="preserve">  Feria del Automóvil:  Vehículos Clásicos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</si>
  <si>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</si>
  <si>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</si>
  <si>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</si>
  <si>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</si>
  <si>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</si>
  <si>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</si>
  <si>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</si>
  <si>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</si>
  <si>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</si>
  <si>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</si>
  <si>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</si>
  <si>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</si>
  <si>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</si>
  <si>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</si>
  <si>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</si>
  <si>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A) FLUJOS DE EFECTIVO DE LAS ACTIVIDADES DE EXPLOTACIÓN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</si>
  <si>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</si>
  <si>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</si>
  <si>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</si>
  <si>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</si>
  <si>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</si>
  <si>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</si>
  <si>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</si>
  <si>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</si>
  <si>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</si>
  <si>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</si>
  <si>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</si>
  <si>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</si>
  <si>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</si>
  <si>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</si>
  <si>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</si>
  <si>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</si>
  <si>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</si>
  <si>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</si>
  <si>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</si>
  <si>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</si>
  <si>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</si>
  <si>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</si>
  <si>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</si>
  <si>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</si>
  <si>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</si>
  <si>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</si>
  <si>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</si>
  <si>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</si>
  <si>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</si>
  <si>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</si>
  <si>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</si>
  <si>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</si>
  <si>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</si>
  <si>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</si>
  <si>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</si>
  <si>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</si>
  <si>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</si>
  <si>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</si>
  <si>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</si>
  <si>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</si>
  <si>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</si>
  <si>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</si>
  <si>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</si>
  <si>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</si>
  <si>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</si>
  <si>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</si>
  <si>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</si>
  <si>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</si>
  <si>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</si>
  <si>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</si>
  <si>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</si>
  <si>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</si>
  <si>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</si>
  <si>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0122</t>
  </si>
  <si>
    <t>4331</t>
  </si>
  <si>
    <t>44903</t>
  </si>
  <si>
    <t>Aportación Específica Ferias Sectoriales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</si>
  <si>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</si>
  <si>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</si>
  <si>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</si>
  <si>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</si>
  <si>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</si>
  <si>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</si>
  <si>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</si>
  <si>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</si>
  <si>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</si>
  <si>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</si>
  <si>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</si>
  <si>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</si>
  <si>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</si>
  <si>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</si>
  <si>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</si>
  <si>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</si>
  <si>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</si>
  <si>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</si>
  <si>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</si>
  <si>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</si>
  <si>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</si>
  <si>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</si>
  <si>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</si>
  <si>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</si>
  <si>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</si>
  <si>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</si>
  <si>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</si>
  <si>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</si>
  <si>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</si>
  <si>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</si>
  <si>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</si>
  <si>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</si>
  <si>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</si>
  <si>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</si>
  <si>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</si>
  <si>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Duración (días)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</si>
  <si>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</si>
  <si>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</si>
  <si>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</si>
  <si>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</si>
  <si>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</si>
  <si>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</si>
  <si>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</si>
  <si>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</si>
  <si>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</si>
  <si>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</si>
  <si>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</si>
  <si>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</si>
  <si>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</si>
  <si>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</si>
  <si>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</si>
  <si>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</si>
  <si>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</si>
  <si>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</si>
  <si>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2016             (previsión)</t>
  </si>
  <si>
    <t>2015           (estimado)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</si>
  <si>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</si>
  <si>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</si>
  <si>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</si>
  <si>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</si>
  <si>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</si>
  <si>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</si>
  <si>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</si>
  <si>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</si>
  <si>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</si>
  <si>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</si>
  <si>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</si>
  <si>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</si>
  <si>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</si>
  <si>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</si>
  <si>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</si>
  <si>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</si>
  <si>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</si>
  <si>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</si>
  <si>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</si>
  <si>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</si>
  <si>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</si>
  <si>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</si>
  <si>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</si>
  <si>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</si>
  <si>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</si>
  <si>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</si>
  <si>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</si>
  <si>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</si>
  <si>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</si>
  <si>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</si>
  <si>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</si>
  <si>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</si>
  <si>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</si>
  <si>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</si>
  <si>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</si>
  <si>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</si>
  <si>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</si>
  <si>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</si>
  <si>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</si>
  <si>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</si>
  <si>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</si>
  <si>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</si>
  <si>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</si>
  <si>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</si>
  <si>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</si>
  <si>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</si>
  <si>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</si>
  <si>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</si>
  <si>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</si>
  <si>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</si>
  <si>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</si>
  <si>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</si>
  <si>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</si>
  <si>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</si>
  <si>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</si>
  <si>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</si>
  <si>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</si>
  <si>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</si>
  <si>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</si>
  <si>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</si>
  <si>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</si>
  <si>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</si>
  <si>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</si>
  <si>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</si>
  <si>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</si>
  <si>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</si>
  <si>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</si>
  <si>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</si>
  <si>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</si>
  <si>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</si>
  <si>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</si>
  <si>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</si>
  <si>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</si>
  <si>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</si>
  <si>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</si>
  <si>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</si>
  <si>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</si>
  <si>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</si>
  <si>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</si>
  <si>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</si>
  <si>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</si>
  <si>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</si>
  <si>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</si>
  <si>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</si>
  <si>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</si>
  <si>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</si>
  <si>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</si>
  <si>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</si>
  <si>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</si>
  <si>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</si>
  <si>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</si>
  <si>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</si>
  <si>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</si>
  <si>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</si>
  <si>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</si>
  <si>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</si>
  <si>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</si>
  <si>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</si>
  <si>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</si>
  <si>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</si>
  <si>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</si>
  <si>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</si>
  <si>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</si>
  <si>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</si>
  <si>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</si>
  <si>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</si>
  <si>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</si>
  <si>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</si>
  <si>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</si>
  <si>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</si>
  <si>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</si>
  <si>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</si>
  <si>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 xml:space="preserve">  Para Obras Casino Taoro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</si>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</sst>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  <numFmt numFmtId="214" formatCode="#,##0_ ;[Red]\-#,##0\ 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9"/>
      <name val="Arial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"/>
      <family val="0"/>
    </font>
    <font>
      <b/>
      <sz val="9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290">
    <xf numFmtId="0" fontId="0" fillId="0" borderId="0" xfId="0" applyAlignment="1">
      <alignment/>
    </xf>
    <xf numFmtId="3" fontId="0" fillId="0" borderId="0" xfId="67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7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7" applyNumberFormat="1" applyFont="1" applyBorder="1" applyAlignment="1">
      <alignment vertical="center"/>
      <protection/>
    </xf>
    <xf numFmtId="3" fontId="0" fillId="0" borderId="0" xfId="67" applyNumberFormat="1" applyFont="1" applyFill="1" applyBorder="1">
      <alignment/>
      <protection/>
    </xf>
    <xf numFmtId="3" fontId="1" fillId="0" borderId="0" xfId="67" applyNumberFormat="1" applyFont="1" applyFill="1" applyBorder="1">
      <alignment/>
      <protection/>
    </xf>
    <xf numFmtId="3" fontId="1" fillId="0" borderId="0" xfId="67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7" applyNumberFormat="1" applyFont="1" applyBorder="1" applyAlignment="1">
      <alignment vertical="center"/>
      <protection/>
    </xf>
    <xf numFmtId="3" fontId="1" fillId="0" borderId="10" xfId="67" applyNumberFormat="1" applyFont="1" applyBorder="1" applyAlignment="1">
      <alignment horizontal="left" vertical="center" wrapText="1"/>
      <protection/>
    </xf>
    <xf numFmtId="3" fontId="0" fillId="0" borderId="10" xfId="67" applyNumberFormat="1" applyFont="1" applyBorder="1" applyAlignment="1">
      <alignment horizontal="left" vertical="center" wrapText="1"/>
      <protection/>
    </xf>
    <xf numFmtId="3" fontId="28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8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7" applyNumberFormat="1" applyFont="1" applyBorder="1" applyAlignment="1">
      <alignment horizontal="centerContinuous" vertical="center"/>
      <protection/>
    </xf>
    <xf numFmtId="3" fontId="1" fillId="0" borderId="16" xfId="67" applyNumberFormat="1" applyFont="1" applyBorder="1" applyAlignment="1">
      <alignment vertical="center"/>
      <protection/>
    </xf>
    <xf numFmtId="177" fontId="1" fillId="0" borderId="17" xfId="67" applyNumberFormat="1" applyFont="1" applyBorder="1" applyAlignment="1">
      <alignment horizontal="right" vertical="center"/>
      <protection/>
    </xf>
    <xf numFmtId="177" fontId="1" fillId="0" borderId="12" xfId="67" applyNumberFormat="1" applyFont="1" applyBorder="1" applyAlignment="1">
      <alignment horizontal="right" vertical="center"/>
      <protection/>
    </xf>
    <xf numFmtId="177" fontId="1" fillId="0" borderId="17" xfId="67" applyNumberFormat="1" applyFont="1" applyBorder="1" applyAlignment="1" applyProtection="1">
      <alignment horizontal="right" vertical="center"/>
      <protection locked="0"/>
    </xf>
    <xf numFmtId="177" fontId="1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8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Fill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>
      <alignment horizontal="right" vertical="center"/>
      <protection/>
    </xf>
    <xf numFmtId="177" fontId="0" fillId="0" borderId="12" xfId="67" applyNumberFormat="1" applyFont="1" applyBorder="1" applyAlignment="1">
      <alignment horizontal="right" vertical="center"/>
      <protection/>
    </xf>
    <xf numFmtId="177" fontId="1" fillId="0" borderId="19" xfId="67" applyNumberFormat="1" applyFont="1" applyBorder="1" applyAlignment="1">
      <alignment horizontal="right" vertical="center"/>
      <protection/>
    </xf>
    <xf numFmtId="177" fontId="1" fillId="0" borderId="20" xfId="67" applyNumberFormat="1" applyFont="1" applyBorder="1" applyAlignment="1">
      <alignment horizontal="right" vertical="center"/>
      <protection/>
    </xf>
    <xf numFmtId="177" fontId="0" fillId="0" borderId="0" xfId="67" applyNumberFormat="1" applyFont="1" applyBorder="1">
      <alignment/>
      <protection/>
    </xf>
    <xf numFmtId="177" fontId="0" fillId="0" borderId="0" xfId="67" applyNumberFormat="1" applyFont="1" applyBorder="1" applyAlignment="1">
      <alignment horizontal="center"/>
      <protection/>
    </xf>
    <xf numFmtId="177" fontId="0" fillId="0" borderId="0" xfId="67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7" applyNumberFormat="1" applyFont="1" applyFill="1" applyBorder="1" applyAlignment="1" applyProtection="1">
      <alignment horizontal="right" vertical="center"/>
      <protection locked="0"/>
    </xf>
    <xf numFmtId="10" fontId="0" fillId="0" borderId="0" xfId="70" applyNumberFormat="1" applyFont="1" applyBorder="1" applyAlignment="1">
      <alignment vertical="center"/>
    </xf>
    <xf numFmtId="3" fontId="1" fillId="0" borderId="0" xfId="67" applyNumberFormat="1" applyFont="1" applyBorder="1" applyAlignment="1">
      <alignment vertical="center"/>
      <protection/>
    </xf>
    <xf numFmtId="3" fontId="0" fillId="0" borderId="0" xfId="66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2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9" fillId="3" borderId="0" xfId="57" applyFont="1" applyFill="1">
      <alignment/>
      <protection/>
    </xf>
    <xf numFmtId="3" fontId="0" fillId="3" borderId="0" xfId="66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7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3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5" fillId="0" borderId="46" xfId="56" applyFont="1" applyBorder="1" applyAlignment="1">
      <alignment wrapText="1"/>
      <protection/>
    </xf>
    <xf numFmtId="172" fontId="34" fillId="0" borderId="46" xfId="56" applyNumberFormat="1" applyFont="1" applyBorder="1" applyAlignment="1">
      <alignment wrapText="1"/>
      <protection/>
    </xf>
    <xf numFmtId="172" fontId="36" fillId="0" borderId="46" xfId="56" applyNumberFormat="1" applyFont="1" applyBorder="1">
      <alignment/>
      <protection/>
    </xf>
    <xf numFmtId="172" fontId="36" fillId="0" borderId="47" xfId="56" applyNumberFormat="1" applyFont="1" applyBorder="1">
      <alignment/>
      <protection/>
    </xf>
    <xf numFmtId="2" fontId="7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7" fillId="0" borderId="17" xfId="56" applyNumberFormat="1" applyFont="1" applyBorder="1" applyAlignment="1">
      <alignment horizontal="center" vertical="center" wrapText="1"/>
      <protection/>
    </xf>
    <xf numFmtId="172" fontId="38" fillId="0" borderId="17" xfId="56" applyNumberFormat="1" applyFont="1" applyBorder="1" applyAlignment="1">
      <alignment horizontal="center" wrapText="1"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7" fillId="0" borderId="48" xfId="56" applyNumberFormat="1" applyFont="1" applyBorder="1" applyAlignment="1">
      <alignment horizontal="center" wrapText="1"/>
      <protection/>
    </xf>
    <xf numFmtId="169" fontId="38" fillId="0" borderId="17" xfId="45" applyFont="1" applyBorder="1" applyAlignment="1">
      <alignment horizontal="center" wrapText="1"/>
    </xf>
    <xf numFmtId="169" fontId="38" fillId="0" borderId="17" xfId="45" applyFont="1" applyBorder="1" applyAlignment="1">
      <alignment horizontal="right" vertical="center" wrapText="1"/>
    </xf>
    <xf numFmtId="169" fontId="38" fillId="0" borderId="17" xfId="45" applyFont="1" applyBorder="1" applyAlignment="1">
      <alignment horizontal="right" wrapText="1"/>
    </xf>
    <xf numFmtId="169" fontId="37" fillId="0" borderId="48" xfId="45" applyFont="1" applyBorder="1" applyAlignment="1">
      <alignment horizont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7" fontId="42" fillId="0" borderId="0" xfId="0" applyNumberFormat="1" applyFont="1" applyAlignment="1">
      <alignment vertical="center"/>
    </xf>
    <xf numFmtId="3" fontId="41" fillId="0" borderId="23" xfId="0" applyNumberFormat="1" applyFont="1" applyBorder="1" applyAlignment="1">
      <alignment vertical="center"/>
    </xf>
    <xf numFmtId="3" fontId="41" fillId="0" borderId="24" xfId="0" applyNumberFormat="1" applyFont="1" applyBorder="1" applyAlignment="1">
      <alignment vertical="center"/>
    </xf>
    <xf numFmtId="177" fontId="41" fillId="0" borderId="25" xfId="0" applyNumberFormat="1" applyFont="1" applyBorder="1" applyAlignment="1">
      <alignment vertical="center"/>
    </xf>
    <xf numFmtId="3" fontId="42" fillId="0" borderId="15" xfId="0" applyNumberFormat="1" applyFont="1" applyBorder="1" applyAlignment="1" applyProtection="1">
      <alignment horizontal="right" vertical="center"/>
      <protection/>
    </xf>
    <xf numFmtId="3" fontId="42" fillId="0" borderId="26" xfId="0" applyNumberFormat="1" applyFont="1" applyBorder="1" applyAlignment="1" applyProtection="1">
      <alignment vertical="center"/>
      <protection/>
    </xf>
    <xf numFmtId="177" fontId="42" fillId="0" borderId="27" xfId="51" applyNumberFormat="1" applyFont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2" fillId="0" borderId="27" xfId="51" applyNumberFormat="1" applyFont="1" applyBorder="1" applyAlignment="1">
      <alignment vertical="center"/>
    </xf>
    <xf numFmtId="3" fontId="41" fillId="24" borderId="15" xfId="0" applyNumberFormat="1" applyFont="1" applyFill="1" applyBorder="1" applyAlignment="1" applyProtection="1">
      <alignment vertical="center"/>
      <protection/>
    </xf>
    <xf numFmtId="3" fontId="41" fillId="24" borderId="26" xfId="0" applyNumberFormat="1" applyFont="1" applyFill="1" applyBorder="1" applyAlignment="1">
      <alignment vertical="center"/>
    </xf>
    <xf numFmtId="177" fontId="41" fillId="24" borderId="27" xfId="51" applyNumberFormat="1" applyFont="1" applyFill="1" applyBorder="1" applyAlignment="1" applyProtection="1">
      <alignment vertical="center"/>
      <protection/>
    </xf>
    <xf numFmtId="3" fontId="41" fillId="0" borderId="28" xfId="0" applyNumberFormat="1" applyFont="1" applyBorder="1" applyAlignment="1">
      <alignment vertical="center"/>
    </xf>
    <xf numFmtId="3" fontId="41" fillId="0" borderId="29" xfId="0" applyNumberFormat="1" applyFont="1" applyBorder="1" applyAlignment="1">
      <alignment vertical="center"/>
    </xf>
    <xf numFmtId="177" fontId="42" fillId="0" borderId="14" xfId="51" applyNumberFormat="1" applyFont="1" applyBorder="1" applyAlignment="1">
      <alignment vertical="center"/>
    </xf>
    <xf numFmtId="177" fontId="41" fillId="24" borderId="27" xfId="0" applyNumberFormat="1" applyFont="1" applyFill="1" applyBorder="1" applyAlignment="1" applyProtection="1">
      <alignment vertical="center"/>
      <protection/>
    </xf>
    <xf numFmtId="3" fontId="41" fillId="0" borderId="15" xfId="0" applyNumberFormat="1" applyFont="1" applyBorder="1" applyAlignment="1">
      <alignment vertical="center"/>
    </xf>
    <xf numFmtId="3" fontId="41" fillId="0" borderId="26" xfId="0" applyNumberFormat="1" applyFont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1" fillId="8" borderId="15" xfId="0" applyNumberFormat="1" applyFont="1" applyFill="1" applyBorder="1" applyAlignment="1">
      <alignment vertical="center"/>
    </xf>
    <xf numFmtId="177" fontId="41" fillId="8" borderId="27" xfId="0" applyNumberFormat="1" applyFont="1" applyFill="1" applyBorder="1" applyAlignment="1">
      <alignment vertical="center"/>
    </xf>
    <xf numFmtId="3" fontId="41" fillId="8" borderId="26" xfId="0" applyNumberFormat="1" applyFont="1" applyFill="1" applyBorder="1" applyAlignment="1" applyProtection="1">
      <alignment vertical="center"/>
      <protection/>
    </xf>
    <xf numFmtId="177" fontId="41" fillId="8" borderId="27" xfId="0" applyNumberFormat="1" applyFont="1" applyFill="1" applyBorder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177" fontId="41" fillId="0" borderId="22" xfId="0" applyNumberFormat="1" applyFont="1" applyBorder="1" applyAlignment="1">
      <alignment vertical="center"/>
    </xf>
    <xf numFmtId="3" fontId="41" fillId="8" borderId="43" xfId="0" applyNumberFormat="1" applyFont="1" applyFill="1" applyBorder="1" applyAlignment="1">
      <alignment vertical="center"/>
    </xf>
    <xf numFmtId="3" fontId="41" fillId="8" borderId="44" xfId="0" applyNumberFormat="1" applyFont="1" applyFill="1" applyBorder="1" applyAlignment="1">
      <alignment vertical="center"/>
    </xf>
    <xf numFmtId="177" fontId="41" fillId="8" borderId="49" xfId="0" applyNumberFormat="1" applyFont="1" applyFill="1" applyBorder="1" applyAlignment="1">
      <alignment vertical="center"/>
    </xf>
    <xf numFmtId="3" fontId="42" fillId="8" borderId="41" xfId="0" applyNumberFormat="1" applyFont="1" applyFill="1" applyBorder="1" applyAlignment="1">
      <alignment vertical="center"/>
    </xf>
    <xf numFmtId="3" fontId="41" fillId="8" borderId="42" xfId="0" applyNumberFormat="1" applyFont="1" applyFill="1" applyBorder="1" applyAlignment="1">
      <alignment vertical="center"/>
    </xf>
    <xf numFmtId="177" fontId="41" fillId="8" borderId="38" xfId="0" applyNumberFormat="1" applyFont="1" applyFill="1" applyBorder="1" applyAlignment="1">
      <alignment vertical="center"/>
    </xf>
    <xf numFmtId="3" fontId="42" fillId="0" borderId="26" xfId="62" applyNumberFormat="1" applyFont="1" applyBorder="1" applyAlignment="1" applyProtection="1">
      <alignment vertical="center"/>
      <protection/>
    </xf>
    <xf numFmtId="177" fontId="42" fillId="0" borderId="27" xfId="0" applyNumberFormat="1" applyFont="1" applyBorder="1" applyAlignment="1" applyProtection="1">
      <alignment vertical="center"/>
      <protection/>
    </xf>
    <xf numFmtId="4" fontId="42" fillId="0" borderId="0" xfId="0" applyNumberFormat="1" applyFont="1" applyAlignment="1">
      <alignment vertical="center"/>
    </xf>
    <xf numFmtId="177" fontId="42" fillId="0" borderId="14" xfId="0" applyNumberFormat="1" applyFont="1" applyBorder="1" applyAlignment="1">
      <alignment vertical="center"/>
    </xf>
    <xf numFmtId="3" fontId="41" fillId="0" borderId="33" xfId="0" applyNumberFormat="1" applyFont="1" applyBorder="1" applyAlignment="1" applyProtection="1">
      <alignment vertical="center"/>
      <protection/>
    </xf>
    <xf numFmtId="3" fontId="41" fillId="0" borderId="34" xfId="0" applyNumberFormat="1" applyFont="1" applyBorder="1" applyAlignment="1">
      <alignment vertical="center"/>
    </xf>
    <xf numFmtId="177" fontId="41" fillId="0" borderId="35" xfId="0" applyNumberFormat="1" applyFont="1" applyBorder="1" applyAlignment="1" applyProtection="1">
      <alignment vertical="center"/>
      <protection/>
    </xf>
    <xf numFmtId="3" fontId="41" fillId="0" borderId="0" xfId="0" applyNumberFormat="1" applyFont="1" applyFill="1" applyBorder="1" applyAlignment="1" applyProtection="1">
      <alignment vertical="center"/>
      <protection/>
    </xf>
    <xf numFmtId="0" fontId="42" fillId="3" borderId="0" xfId="0" applyFont="1" applyFill="1" applyAlignment="1">
      <alignment vertical="center"/>
    </xf>
    <xf numFmtId="0" fontId="45" fillId="3" borderId="0" xfId="57" applyFont="1" applyFill="1" applyAlignment="1">
      <alignment vertical="center"/>
      <protection/>
    </xf>
    <xf numFmtId="3" fontId="42" fillId="3" borderId="0" xfId="66" applyNumberFormat="1" applyFont="1" applyFill="1" applyBorder="1" applyAlignment="1">
      <alignment vertical="center"/>
      <protection/>
    </xf>
    <xf numFmtId="0" fontId="42" fillId="0" borderId="0" xfId="57" applyFont="1" applyAlignment="1">
      <alignment vertical="center"/>
      <protection/>
    </xf>
    <xf numFmtId="3" fontId="42" fillId="0" borderId="0" xfId="66" applyNumberFormat="1" applyFont="1" applyBorder="1" applyAlignment="1">
      <alignment vertical="center"/>
      <protection/>
    </xf>
    <xf numFmtId="0" fontId="41" fillId="0" borderId="0" xfId="57" applyFont="1" applyAlignment="1">
      <alignment vertical="center" wrapText="1"/>
      <protection/>
    </xf>
    <xf numFmtId="0" fontId="41" fillId="0" borderId="0" xfId="57" applyFont="1" applyAlignment="1">
      <alignment vertical="center"/>
      <protection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4" fillId="0" borderId="17" xfId="0" applyFont="1" applyBorder="1" applyAlignment="1">
      <alignment vertical="center"/>
    </xf>
    <xf numFmtId="177" fontId="44" fillId="0" borderId="17" xfId="0" applyNumberFormat="1" applyFont="1" applyBorder="1" applyAlignment="1" applyProtection="1">
      <alignment vertical="center"/>
      <protection/>
    </xf>
    <xf numFmtId="177" fontId="42" fillId="0" borderId="17" xfId="0" applyNumberFormat="1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" fontId="41" fillId="8" borderId="24" xfId="0" applyNumberFormat="1" applyFont="1" applyFill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3" fontId="41" fillId="8" borderId="0" xfId="0" applyNumberFormat="1" applyFont="1" applyFill="1" applyBorder="1" applyAlignment="1">
      <alignment vertical="center"/>
    </xf>
    <xf numFmtId="3" fontId="41" fillId="0" borderId="50" xfId="0" applyNumberFormat="1" applyFont="1" applyFill="1" applyBorder="1" applyAlignment="1">
      <alignment vertical="center"/>
    </xf>
    <xf numFmtId="3" fontId="41" fillId="0" borderId="51" xfId="0" applyNumberFormat="1" applyFont="1" applyFill="1" applyBorder="1" applyAlignment="1">
      <alignment vertical="center"/>
    </xf>
    <xf numFmtId="177" fontId="41" fillId="0" borderId="52" xfId="0" applyNumberFormat="1" applyFon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26" xfId="0" applyNumberFormat="1" applyFont="1" applyFill="1" applyBorder="1" applyAlignment="1">
      <alignment vertical="center"/>
    </xf>
    <xf numFmtId="177" fontId="41" fillId="0" borderId="27" xfId="0" applyNumberFormat="1" applyFont="1" applyBorder="1" applyAlignment="1">
      <alignment vertical="center"/>
    </xf>
    <xf numFmtId="3" fontId="41" fillId="8" borderId="53" xfId="0" applyNumberFormat="1" applyFont="1" applyFill="1" applyBorder="1" applyAlignment="1">
      <alignment vertical="center"/>
    </xf>
    <xf numFmtId="3" fontId="41" fillId="8" borderId="54" xfId="0" applyNumberFormat="1" applyFont="1" applyFill="1" applyBorder="1" applyAlignment="1">
      <alignment vertical="center"/>
    </xf>
    <xf numFmtId="3" fontId="41" fillId="8" borderId="0" xfId="0" applyNumberFormat="1" applyFont="1" applyFill="1" applyBorder="1" applyAlignment="1" applyProtection="1">
      <alignment vertical="center"/>
      <protection/>
    </xf>
    <xf numFmtId="0" fontId="42" fillId="0" borderId="43" xfId="0" applyFont="1" applyBorder="1" applyAlignment="1">
      <alignment vertical="center"/>
    </xf>
    <xf numFmtId="3" fontId="41" fillId="0" borderId="43" xfId="0" applyNumberFormat="1" applyFont="1" applyFill="1" applyBorder="1" applyAlignment="1" quotePrefix="1">
      <alignment vertical="center"/>
    </xf>
    <xf numFmtId="3" fontId="41" fillId="0" borderId="41" xfId="0" applyNumberFormat="1" applyFont="1" applyFill="1" applyBorder="1" applyAlignment="1">
      <alignment vertical="center"/>
    </xf>
    <xf numFmtId="3" fontId="41" fillId="24" borderId="41" xfId="0" applyNumberFormat="1" applyFont="1" applyFill="1" applyBorder="1" applyAlignment="1" applyProtection="1">
      <alignment vertical="center"/>
      <protection/>
    </xf>
    <xf numFmtId="3" fontId="42" fillId="0" borderId="0" xfId="62" applyNumberFormat="1" applyFont="1" applyBorder="1" applyAlignment="1" applyProtection="1">
      <alignment vertical="center"/>
      <protection/>
    </xf>
    <xf numFmtId="3" fontId="41" fillId="24" borderId="0" xfId="0" applyNumberFormat="1" applyFont="1" applyFill="1" applyBorder="1" applyAlignment="1">
      <alignment vertical="center"/>
    </xf>
    <xf numFmtId="3" fontId="41" fillId="0" borderId="55" xfId="0" applyNumberFormat="1" applyFont="1" applyBorder="1" applyAlignment="1">
      <alignment vertical="center"/>
    </xf>
    <xf numFmtId="3" fontId="41" fillId="0" borderId="39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5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43" fontId="42" fillId="0" borderId="17" xfId="0" applyNumberFormat="1" applyFont="1" applyBorder="1" applyAlignment="1">
      <alignment vertical="center"/>
    </xf>
    <xf numFmtId="43" fontId="42" fillId="0" borderId="12" xfId="0" applyNumberFormat="1" applyFont="1" applyBorder="1" applyAlignment="1">
      <alignment vertical="center"/>
    </xf>
    <xf numFmtId="43" fontId="42" fillId="0" borderId="59" xfId="0" applyNumberFormat="1" applyFont="1" applyBorder="1" applyAlignment="1">
      <alignment vertical="center"/>
    </xf>
    <xf numFmtId="43" fontId="42" fillId="0" borderId="19" xfId="0" applyNumberFormat="1" applyFont="1" applyBorder="1" applyAlignment="1">
      <alignment vertical="center"/>
    </xf>
    <xf numFmtId="43" fontId="42" fillId="0" borderId="20" xfId="0" applyNumberFormat="1" applyFont="1" applyBorder="1" applyAlignment="1">
      <alignment vertical="center"/>
    </xf>
    <xf numFmtId="43" fontId="42" fillId="0" borderId="57" xfId="0" applyNumberFormat="1" applyFont="1" applyBorder="1" applyAlignment="1">
      <alignment vertical="center"/>
    </xf>
    <xf numFmtId="0" fontId="42" fillId="0" borderId="0" xfId="55" applyFont="1" applyAlignment="1">
      <alignment vertical="center"/>
      <protection/>
    </xf>
    <xf numFmtId="0" fontId="42" fillId="0" borderId="0" xfId="55" applyFont="1" applyFill="1" applyAlignment="1">
      <alignment vertical="center"/>
      <protection/>
    </xf>
    <xf numFmtId="173" fontId="42" fillId="0" borderId="0" xfId="55" applyNumberFormat="1" applyFont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42" fillId="0" borderId="0" xfId="55" applyFont="1" applyBorder="1" applyAlignment="1">
      <alignment vertical="center"/>
      <protection/>
    </xf>
    <xf numFmtId="0" fontId="41" fillId="0" borderId="17" xfId="0" applyFont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1" fontId="46" fillId="8" borderId="13" xfId="58" applyNumberFormat="1" applyFont="1" applyFill="1" applyBorder="1" applyAlignment="1">
      <alignment horizontal="center" vertical="center"/>
      <protection/>
    </xf>
    <xf numFmtId="2" fontId="46" fillId="8" borderId="12" xfId="58" applyNumberFormat="1" applyFont="1" applyFill="1" applyBorder="1" applyAlignment="1">
      <alignment horizontal="center" vertical="center"/>
      <protection/>
    </xf>
    <xf numFmtId="0" fontId="41" fillId="0" borderId="51" xfId="55" applyFont="1" applyBorder="1" applyAlignment="1">
      <alignment horizontal="center" vertical="center" wrapText="1"/>
      <protection/>
    </xf>
    <xf numFmtId="0" fontId="41" fillId="0" borderId="52" xfId="55" applyFont="1" applyBorder="1" applyAlignment="1">
      <alignment horizontal="center" vertical="center" wrapText="1"/>
      <protection/>
    </xf>
    <xf numFmtId="0" fontId="41" fillId="0" borderId="0" xfId="55" applyFont="1" applyBorder="1" applyAlignment="1">
      <alignment horizontal="center" vertical="center" wrapText="1"/>
      <protection/>
    </xf>
    <xf numFmtId="177" fontId="41" fillId="0" borderId="19" xfId="52" applyNumberFormat="1" applyFont="1" applyBorder="1" applyAlignment="1">
      <alignment vertical="center"/>
    </xf>
    <xf numFmtId="0" fontId="41" fillId="0" borderId="20" xfId="55" applyFont="1" applyBorder="1" applyAlignment="1">
      <alignment vertical="center"/>
      <protection/>
    </xf>
    <xf numFmtId="177" fontId="41" fillId="22" borderId="0" xfId="55" applyNumberFormat="1" applyFont="1" applyFill="1" applyBorder="1" applyAlignment="1">
      <alignment vertical="center"/>
      <protection/>
    </xf>
    <xf numFmtId="177" fontId="42" fillId="26" borderId="11" xfId="52" applyNumberFormat="1" applyFont="1" applyFill="1" applyBorder="1" applyAlignment="1">
      <alignment vertical="center"/>
    </xf>
    <xf numFmtId="0" fontId="42" fillId="0" borderId="14" xfId="55" applyFont="1" applyFill="1" applyBorder="1" applyAlignment="1">
      <alignment vertical="center"/>
      <protection/>
    </xf>
    <xf numFmtId="177" fontId="42" fillId="26" borderId="17" xfId="52" applyNumberFormat="1" applyFont="1" applyFill="1" applyBorder="1" applyAlignment="1">
      <alignment vertical="center"/>
    </xf>
    <xf numFmtId="0" fontId="42" fillId="0" borderId="60" xfId="55" applyFont="1" applyBorder="1" applyAlignment="1">
      <alignment vertical="center"/>
      <protection/>
    </xf>
    <xf numFmtId="177" fontId="41" fillId="0" borderId="0" xfId="52" applyNumberFormat="1" applyFont="1" applyBorder="1" applyAlignment="1">
      <alignment vertical="center"/>
    </xf>
    <xf numFmtId="0" fontId="41" fillId="0" borderId="0" xfId="55" applyFont="1" applyBorder="1" applyAlignment="1">
      <alignment vertical="center"/>
      <protection/>
    </xf>
    <xf numFmtId="0" fontId="42" fillId="0" borderId="0" xfId="63" applyFont="1" applyAlignment="1">
      <alignment vertical="center"/>
      <protection/>
    </xf>
    <xf numFmtId="4" fontId="42" fillId="0" borderId="0" xfId="63" applyNumberFormat="1" applyFont="1" applyAlignment="1">
      <alignment vertical="center"/>
      <protection/>
    </xf>
    <xf numFmtId="3" fontId="42" fillId="0" borderId="0" xfId="63" applyNumberFormat="1" applyFont="1" applyAlignment="1">
      <alignment vertical="center"/>
      <protection/>
    </xf>
    <xf numFmtId="4" fontId="42" fillId="26" borderId="11" xfId="63" applyNumberFormat="1" applyFont="1" applyFill="1" applyBorder="1" applyAlignment="1" applyProtection="1">
      <alignment horizontal="center" vertical="center"/>
      <protection locked="0"/>
    </xf>
    <xf numFmtId="177" fontId="42" fillId="0" borderId="11" xfId="52" applyNumberFormat="1" applyFont="1" applyBorder="1" applyAlignment="1" applyProtection="1">
      <alignment horizontal="right" vertical="center"/>
      <protection locked="0"/>
    </xf>
    <xf numFmtId="0" fontId="42" fillId="0" borderId="61" xfId="63" applyNumberFormat="1" applyFont="1" applyFill="1" applyBorder="1" applyAlignment="1" applyProtection="1">
      <alignment vertical="center"/>
      <protection locked="0"/>
    </xf>
    <xf numFmtId="0" fontId="42" fillId="0" borderId="27" xfId="63" applyNumberFormat="1" applyFont="1" applyFill="1" applyBorder="1" applyAlignment="1" applyProtection="1">
      <alignment vertical="center"/>
      <protection locked="0"/>
    </xf>
    <xf numFmtId="177" fontId="42" fillId="0" borderId="17" xfId="52" applyNumberFormat="1" applyFont="1" applyBorder="1" applyAlignment="1" applyProtection="1">
      <alignment horizontal="right" vertical="center"/>
      <protection locked="0"/>
    </xf>
    <xf numFmtId="49" fontId="42" fillId="0" borderId="62" xfId="63" applyNumberFormat="1" applyFont="1" applyFill="1" applyBorder="1" applyAlignment="1" applyProtection="1">
      <alignment horizontal="center" vertical="center"/>
      <protection locked="0"/>
    </xf>
    <xf numFmtId="49" fontId="42" fillId="0" borderId="25" xfId="63" applyNumberFormat="1" applyFont="1" applyFill="1" applyBorder="1" applyAlignment="1" applyProtection="1">
      <alignment horizontal="center" vertical="center"/>
      <protection locked="0"/>
    </xf>
    <xf numFmtId="0" fontId="42" fillId="0" borderId="62" xfId="63" applyNumberFormat="1" applyFont="1" applyFill="1" applyBorder="1" applyAlignment="1" applyProtection="1">
      <alignment vertical="center"/>
      <protection locked="0"/>
    </xf>
    <xf numFmtId="0" fontId="42" fillId="0" borderId="25" xfId="63" applyNumberFormat="1" applyFont="1" applyFill="1" applyBorder="1" applyAlignment="1" applyProtection="1">
      <alignment vertical="center"/>
      <protection locked="0"/>
    </xf>
    <xf numFmtId="4" fontId="42" fillId="26" borderId="56" xfId="63" applyNumberFormat="1" applyFont="1" applyFill="1" applyBorder="1" applyAlignment="1" applyProtection="1">
      <alignment horizontal="center" vertical="center"/>
      <protection locked="0"/>
    </xf>
    <xf numFmtId="177" fontId="42" fillId="0" borderId="48" xfId="52" applyNumberFormat="1" applyFont="1" applyBorder="1" applyAlignment="1" applyProtection="1">
      <alignment horizontal="right" vertical="center"/>
      <protection locked="0"/>
    </xf>
    <xf numFmtId="0" fontId="42" fillId="0" borderId="63" xfId="63" applyNumberFormat="1" applyFont="1" applyFill="1" applyBorder="1" applyAlignment="1" applyProtection="1">
      <alignment vertical="center"/>
      <protection locked="0"/>
    </xf>
    <xf numFmtId="0" fontId="42" fillId="0" borderId="20" xfId="63" applyNumberFormat="1" applyFont="1" applyFill="1" applyBorder="1" applyAlignment="1" applyProtection="1">
      <alignment vertical="center"/>
      <protection locked="0"/>
    </xf>
    <xf numFmtId="4" fontId="42" fillId="0" borderId="17" xfId="63" applyNumberFormat="1" applyFont="1" applyBorder="1" applyAlignment="1" applyProtection="1">
      <alignment horizontal="center" vertical="center"/>
      <protection locked="0"/>
    </xf>
    <xf numFmtId="177" fontId="42" fillId="0" borderId="17" xfId="63" applyNumberFormat="1" applyFont="1" applyBorder="1" applyAlignment="1" applyProtection="1">
      <alignment horizontal="right" vertical="center"/>
      <protection locked="0"/>
    </xf>
    <xf numFmtId="4" fontId="42" fillId="0" borderId="48" xfId="63" applyNumberFormat="1" applyFont="1" applyBorder="1" applyAlignment="1" applyProtection="1">
      <alignment horizontal="center" vertical="center"/>
      <protection locked="0"/>
    </xf>
    <xf numFmtId="177" fontId="42" fillId="0" borderId="48" xfId="63" applyNumberFormat="1" applyFont="1" applyBorder="1" applyAlignment="1" applyProtection="1">
      <alignment horizontal="right" vertical="center"/>
      <protection locked="0"/>
    </xf>
    <xf numFmtId="0" fontId="41" fillId="0" borderId="0" xfId="63" applyFont="1" applyBorder="1" applyAlignment="1">
      <alignment horizontal="center" vertical="center"/>
      <protection/>
    </xf>
    <xf numFmtId="0" fontId="42" fillId="0" borderId="0" xfId="63" applyFont="1" applyBorder="1" applyAlignment="1">
      <alignment vertical="center"/>
      <protection/>
    </xf>
    <xf numFmtId="177" fontId="41" fillId="0" borderId="0" xfId="63" applyNumberFormat="1" applyFont="1" applyBorder="1" applyAlignment="1" applyProtection="1">
      <alignment horizontal="right" vertical="center"/>
      <protection locked="0"/>
    </xf>
    <xf numFmtId="0" fontId="42" fillId="0" borderId="0" xfId="0" applyFont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3" fontId="42" fillId="0" borderId="15" xfId="0" applyNumberFormat="1" applyFont="1" applyBorder="1" applyAlignment="1">
      <alignment vertical="center"/>
    </xf>
    <xf numFmtId="43" fontId="42" fillId="0" borderId="22" xfId="0" applyNumberFormat="1" applyFont="1" applyBorder="1" applyAlignment="1">
      <alignment vertical="center"/>
    </xf>
    <xf numFmtId="43" fontId="42" fillId="0" borderId="0" xfId="0" applyNumberFormat="1" applyFont="1" applyBorder="1" applyAlignment="1">
      <alignment vertical="center"/>
    </xf>
    <xf numFmtId="0" fontId="42" fillId="0" borderId="0" xfId="64" applyFont="1" applyAlignment="1">
      <alignment vertical="center"/>
      <protection/>
    </xf>
    <xf numFmtId="4" fontId="42" fillId="0" borderId="0" xfId="64" applyNumberFormat="1" applyFont="1" applyAlignment="1">
      <alignment vertical="center"/>
      <protection/>
    </xf>
    <xf numFmtId="0" fontId="41" fillId="0" borderId="18" xfId="64" applyFont="1" applyFill="1" applyBorder="1" applyAlignment="1">
      <alignment horizontal="center" vertical="center" wrapText="1"/>
      <protection/>
    </xf>
    <xf numFmtId="0" fontId="41" fillId="0" borderId="17" xfId="64" applyFont="1" applyFill="1" applyBorder="1" applyAlignment="1">
      <alignment horizontal="center" vertical="center" wrapText="1"/>
      <protection/>
    </xf>
    <xf numFmtId="0" fontId="41" fillId="0" borderId="60" xfId="64" applyFont="1" applyFill="1" applyBorder="1" applyAlignment="1">
      <alignment vertical="center" wrapText="1"/>
      <protection/>
    </xf>
    <xf numFmtId="4" fontId="42" fillId="0" borderId="66" xfId="64" applyNumberFormat="1" applyFont="1" applyBorder="1" applyAlignment="1">
      <alignment vertical="center"/>
      <protection/>
    </xf>
    <xf numFmtId="4" fontId="42" fillId="0" borderId="17" xfId="64" applyNumberFormat="1" applyFont="1" applyFill="1" applyBorder="1" applyAlignment="1">
      <alignment horizontal="center" vertical="center" wrapText="1"/>
      <protection/>
    </xf>
    <xf numFmtId="4" fontId="42" fillId="0" borderId="66" xfId="64" applyNumberFormat="1" applyFont="1" applyFill="1" applyBorder="1" applyAlignment="1">
      <alignment vertical="center" wrapText="1"/>
      <protection/>
    </xf>
    <xf numFmtId="0" fontId="41" fillId="0" borderId="48" xfId="64" applyFont="1" applyFill="1" applyBorder="1" applyAlignment="1">
      <alignment horizontal="center" vertical="center" wrapText="1"/>
      <protection/>
    </xf>
    <xf numFmtId="4" fontId="41" fillId="0" borderId="12" xfId="64" applyNumberFormat="1" applyFont="1" applyFill="1" applyBorder="1" applyAlignment="1">
      <alignment horizontal="center" vertical="center" wrapText="1"/>
      <protection/>
    </xf>
    <xf numFmtId="4" fontId="54" fillId="0" borderId="0" xfId="64" applyNumberFormat="1" applyFont="1" applyAlignment="1">
      <alignment vertical="center"/>
      <protection/>
    </xf>
    <xf numFmtId="4" fontId="42" fillId="0" borderId="59" xfId="64" applyNumberFormat="1" applyFont="1" applyFill="1" applyBorder="1" applyAlignment="1" quotePrefix="1">
      <alignment horizontal="center" vertical="center" wrapText="1"/>
      <protection/>
    </xf>
    <xf numFmtId="0" fontId="42" fillId="0" borderId="17" xfId="64" applyFont="1" applyFill="1" applyBorder="1" applyAlignment="1">
      <alignment horizontal="center" vertical="center"/>
      <protection/>
    </xf>
    <xf numFmtId="177" fontId="42" fillId="0" borderId="17" xfId="64" applyNumberFormat="1" applyFont="1" applyFill="1" applyBorder="1" applyAlignment="1">
      <alignment horizontal="center" vertical="center" wrapText="1"/>
      <protection/>
    </xf>
    <xf numFmtId="177" fontId="42" fillId="0" borderId="17" xfId="64" applyNumberFormat="1" applyFont="1" applyFill="1" applyBorder="1" applyAlignment="1">
      <alignment horizontal="right" vertical="center" wrapText="1"/>
      <protection/>
    </xf>
    <xf numFmtId="177" fontId="42" fillId="0" borderId="17" xfId="64" applyNumberFormat="1" applyFont="1" applyBorder="1" applyAlignment="1">
      <alignment horizontal="center" vertical="center"/>
      <protection/>
    </xf>
    <xf numFmtId="4" fontId="42" fillId="0" borderId="12" xfId="64" applyNumberFormat="1" applyFont="1" applyFill="1" applyBorder="1" applyAlignment="1">
      <alignment horizontal="center" vertical="center" wrapText="1"/>
      <protection/>
    </xf>
    <xf numFmtId="0" fontId="42" fillId="0" borderId="0" xfId="64" applyFont="1" applyAlignment="1">
      <alignment horizontal="center" vertical="center"/>
      <protection/>
    </xf>
    <xf numFmtId="4" fontId="54" fillId="0" borderId="0" xfId="64" applyNumberFormat="1" applyFont="1" applyAlignment="1">
      <alignment horizontal="center" vertical="center"/>
      <protection/>
    </xf>
    <xf numFmtId="4" fontId="42" fillId="0" borderId="0" xfId="64" applyNumberFormat="1" applyFont="1" applyAlignment="1">
      <alignment horizontal="center" vertical="center"/>
      <protection/>
    </xf>
    <xf numFmtId="4" fontId="42" fillId="0" borderId="59" xfId="64" applyNumberFormat="1" applyFont="1" applyFill="1" applyBorder="1" applyAlignment="1">
      <alignment horizontal="center" vertical="center" wrapText="1"/>
      <protection/>
    </xf>
    <xf numFmtId="171" fontId="42" fillId="0" borderId="17" xfId="64" applyNumberFormat="1" applyFont="1" applyFill="1" applyBorder="1" applyAlignment="1">
      <alignment horizontal="right" vertical="center" wrapText="1"/>
      <protection/>
    </xf>
    <xf numFmtId="0" fontId="42" fillId="0" borderId="17" xfId="64" applyNumberFormat="1" applyFont="1" applyBorder="1" applyAlignment="1">
      <alignment horizontal="center" vertical="center"/>
      <protection/>
    </xf>
    <xf numFmtId="4" fontId="42" fillId="0" borderId="64" xfId="64" applyNumberFormat="1" applyFont="1" applyFill="1" applyBorder="1" applyAlignment="1">
      <alignment horizontal="center" vertical="center" wrapText="1"/>
      <protection/>
    </xf>
    <xf numFmtId="0" fontId="42" fillId="0" borderId="48" xfId="64" applyFont="1" applyFill="1" applyBorder="1" applyAlignment="1">
      <alignment horizontal="center" vertical="center"/>
      <protection/>
    </xf>
    <xf numFmtId="4" fontId="42" fillId="0" borderId="48" xfId="64" applyNumberFormat="1" applyFont="1" applyFill="1" applyBorder="1" applyAlignment="1">
      <alignment horizontal="center" vertical="center" wrapText="1"/>
      <protection/>
    </xf>
    <xf numFmtId="171" fontId="42" fillId="0" borderId="48" xfId="64" applyNumberFormat="1" applyFont="1" applyFill="1" applyBorder="1" applyAlignment="1">
      <alignment horizontal="right" vertical="center" wrapText="1"/>
      <protection/>
    </xf>
    <xf numFmtId="0" fontId="42" fillId="0" borderId="48" xfId="64" applyNumberFormat="1" applyFont="1" applyBorder="1" applyAlignment="1">
      <alignment horizontal="center" vertical="center"/>
      <protection/>
    </xf>
    <xf numFmtId="4" fontId="42" fillId="0" borderId="25" xfId="64" applyNumberFormat="1" applyFont="1" applyFill="1" applyBorder="1" applyAlignment="1">
      <alignment horizontal="center" vertical="center" wrapText="1"/>
      <protection/>
    </xf>
    <xf numFmtId="49" fontId="42" fillId="0" borderId="67" xfId="64" applyNumberFormat="1" applyFont="1" applyBorder="1" applyAlignment="1">
      <alignment horizontal="center" vertical="center"/>
      <protection/>
    </xf>
    <xf numFmtId="0" fontId="42" fillId="0" borderId="68" xfId="64" applyFont="1" applyBorder="1" applyAlignment="1">
      <alignment horizontal="center" vertical="center"/>
      <protection/>
    </xf>
    <xf numFmtId="0" fontId="42" fillId="0" borderId="67" xfId="64" applyFont="1" applyBorder="1" applyAlignment="1">
      <alignment horizontal="center" vertical="center"/>
      <protection/>
    </xf>
    <xf numFmtId="0" fontId="42" fillId="0" borderId="67" xfId="64" applyNumberFormat="1" applyFont="1" applyBorder="1" applyAlignment="1" applyProtection="1">
      <alignment horizontal="center" vertical="center"/>
      <protection locked="0"/>
    </xf>
    <xf numFmtId="4" fontId="42" fillId="0" borderId="67" xfId="64" applyNumberFormat="1" applyFont="1" applyBorder="1" applyAlignment="1">
      <alignment horizontal="center" vertical="center"/>
      <protection/>
    </xf>
    <xf numFmtId="4" fontId="42" fillId="0" borderId="0" xfId="64" applyNumberFormat="1" applyFont="1" applyFill="1" applyBorder="1" applyAlignment="1">
      <alignment horizontal="center" vertical="center" wrapText="1"/>
      <protection/>
    </xf>
    <xf numFmtId="0" fontId="42" fillId="0" borderId="0" xfId="64" applyFont="1" applyFill="1" applyBorder="1" applyAlignment="1">
      <alignment horizontal="center" vertical="center"/>
      <protection/>
    </xf>
    <xf numFmtId="0" fontId="42" fillId="0" borderId="0" xfId="64" applyNumberFormat="1" applyFont="1" applyFill="1" applyBorder="1" applyAlignment="1">
      <alignment horizontal="center" vertical="center" wrapText="1"/>
      <protection/>
    </xf>
    <xf numFmtId="0" fontId="42" fillId="0" borderId="0" xfId="64" applyNumberFormat="1" applyFont="1" applyBorder="1" applyAlignment="1">
      <alignment horizontal="center" vertical="center"/>
      <protection/>
    </xf>
    <xf numFmtId="3" fontId="42" fillId="0" borderId="0" xfId="64" applyNumberFormat="1" applyFont="1" applyFill="1" applyBorder="1" applyAlignment="1">
      <alignment horizontal="center" vertical="center" wrapText="1"/>
      <protection/>
    </xf>
    <xf numFmtId="0" fontId="41" fillId="0" borderId="0" xfId="64" applyFont="1" applyAlignment="1">
      <alignment vertical="center"/>
      <protection/>
    </xf>
    <xf numFmtId="0" fontId="41" fillId="0" borderId="0" xfId="64" applyFont="1" applyAlignment="1">
      <alignment horizontal="center" vertical="center"/>
      <protection/>
    </xf>
    <xf numFmtId="0" fontId="31" fillId="8" borderId="69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4" fontId="42" fillId="0" borderId="17" xfId="0" applyNumberFormat="1" applyFont="1" applyBorder="1" applyAlignment="1">
      <alignment horizontal="right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4" fontId="41" fillId="0" borderId="19" xfId="0" applyNumberFormat="1" applyFont="1" applyBorder="1" applyAlignment="1">
      <alignment horizontal="right" vertical="center" wrapText="1"/>
    </xf>
    <xf numFmtId="4" fontId="41" fillId="0" borderId="20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/>
    </xf>
    <xf numFmtId="0" fontId="42" fillId="0" borderId="42" xfId="0" applyFont="1" applyBorder="1" applyAlignment="1">
      <alignment vertical="center"/>
    </xf>
    <xf numFmtId="4" fontId="41" fillId="0" borderId="2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70" xfId="0" applyFont="1" applyBorder="1" applyAlignment="1">
      <alignment vertical="center"/>
    </xf>
    <xf numFmtId="0" fontId="41" fillId="0" borderId="66" xfId="0" applyFont="1" applyFill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4" fontId="42" fillId="0" borderId="11" xfId="0" applyNumberFormat="1" applyFont="1" applyBorder="1" applyAlignment="1" applyProtection="1">
      <alignment horizontal="right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4" fontId="42" fillId="0" borderId="17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Border="1" applyAlignment="1" applyProtection="1">
      <alignment horizontal="left" vertical="center"/>
      <protection locked="0"/>
    </xf>
    <xf numFmtId="4" fontId="42" fillId="0" borderId="17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Alignment="1">
      <alignment/>
    </xf>
    <xf numFmtId="0" fontId="57" fillId="0" borderId="0" xfId="0" applyFont="1" applyAlignment="1">
      <alignment/>
    </xf>
    <xf numFmtId="2" fontId="46" fillId="8" borderId="12" xfId="58" applyNumberFormat="1" applyFont="1" applyFill="1" applyBorder="1" applyAlignment="1">
      <alignment horizontal="center" vertical="center" wrapText="1"/>
      <protection/>
    </xf>
    <xf numFmtId="0" fontId="41" fillId="0" borderId="59" xfId="0" applyFont="1" applyFill="1" applyBorder="1" applyAlignment="1" applyProtection="1">
      <alignment horizontal="center" vertical="center"/>
      <protection locked="0"/>
    </xf>
    <xf numFmtId="0" fontId="41" fillId="0" borderId="60" xfId="0" applyFont="1" applyFill="1" applyBorder="1" applyAlignment="1" applyProtection="1">
      <alignment horizontal="center" vertical="center"/>
      <protection locked="0"/>
    </xf>
    <xf numFmtId="0" fontId="42" fillId="0" borderId="59" xfId="0" applyFont="1" applyBorder="1" applyAlignment="1" applyProtection="1">
      <alignment horizontal="left" vertical="center"/>
      <protection locked="0"/>
    </xf>
    <xf numFmtId="4" fontId="42" fillId="0" borderId="66" xfId="0" applyNumberFormat="1" applyFont="1" applyBorder="1" applyAlignment="1" applyProtection="1">
      <alignment horizontal="left" vertical="center"/>
      <protection locked="0"/>
    </xf>
    <xf numFmtId="4" fontId="42" fillId="0" borderId="12" xfId="0" applyNumberFormat="1" applyFont="1" applyBorder="1" applyAlignment="1" applyProtection="1">
      <alignment horizontal="right" vertical="center"/>
      <protection locked="0"/>
    </xf>
    <xf numFmtId="4" fontId="42" fillId="0" borderId="18" xfId="0" applyNumberFormat="1" applyFont="1" applyBorder="1" applyAlignment="1" applyProtection="1">
      <alignment horizontal="right" vertical="center"/>
      <protection locked="0"/>
    </xf>
    <xf numFmtId="4" fontId="42" fillId="0" borderId="17" xfId="0" applyNumberFormat="1" applyFont="1" applyBorder="1" applyAlignment="1" applyProtection="1">
      <alignment horizontal="left" vertical="center"/>
      <protection locked="0"/>
    </xf>
    <xf numFmtId="0" fontId="41" fillId="0" borderId="57" xfId="0" applyFont="1" applyBorder="1" applyAlignment="1">
      <alignment horizontal="center" vertical="center"/>
    </xf>
    <xf numFmtId="4" fontId="41" fillId="0" borderId="19" xfId="0" applyNumberFormat="1" applyFont="1" applyBorder="1" applyAlignment="1" applyProtection="1">
      <alignment horizontal="right" vertical="center"/>
      <protection/>
    </xf>
    <xf numFmtId="3" fontId="41" fillId="8" borderId="23" xfId="0" applyNumberFormat="1" applyFont="1" applyFill="1" applyBorder="1" applyAlignment="1">
      <alignment vertical="center"/>
    </xf>
    <xf numFmtId="177" fontId="41" fillId="8" borderId="25" xfId="0" applyNumberFormat="1" applyFont="1" applyFill="1" applyBorder="1" applyAlignment="1">
      <alignment vertical="center"/>
    </xf>
    <xf numFmtId="4" fontId="42" fillId="26" borderId="58" xfId="63" applyNumberFormat="1" applyFont="1" applyFill="1" applyBorder="1" applyAlignment="1" applyProtection="1">
      <alignment horizontal="center" vertical="center"/>
      <protection locked="0"/>
    </xf>
    <xf numFmtId="177" fontId="42" fillId="0" borderId="19" xfId="52" applyNumberFormat="1" applyFont="1" applyBorder="1" applyAlignment="1" applyProtection="1">
      <alignment horizontal="right" vertical="center"/>
      <protection locked="0"/>
    </xf>
    <xf numFmtId="177" fontId="42" fillId="0" borderId="14" xfId="63" applyNumberFormat="1" applyFont="1" applyBorder="1" applyAlignment="1" applyProtection="1">
      <alignment horizontal="right" vertical="center"/>
      <protection locked="0"/>
    </xf>
    <xf numFmtId="177" fontId="42" fillId="0" borderId="12" xfId="63" applyNumberFormat="1" applyFont="1" applyBorder="1" applyAlignment="1" applyProtection="1">
      <alignment horizontal="right" vertical="center"/>
      <protection locked="0"/>
    </xf>
    <xf numFmtId="177" fontId="42" fillId="0" borderId="25" xfId="63" applyNumberFormat="1" applyFont="1" applyBorder="1" applyAlignment="1" applyProtection="1">
      <alignment horizontal="right" vertical="center"/>
      <protection locked="0"/>
    </xf>
    <xf numFmtId="3" fontId="42" fillId="0" borderId="0" xfId="65" applyNumberFormat="1" applyFont="1">
      <alignment/>
      <protection/>
    </xf>
    <xf numFmtId="3" fontId="42" fillId="0" borderId="0" xfId="65" applyNumberFormat="1" applyFont="1" applyBorder="1">
      <alignment/>
      <protection/>
    </xf>
    <xf numFmtId="4" fontId="42" fillId="0" borderId="0" xfId="65" applyNumberFormat="1" applyFont="1">
      <alignment/>
      <protection/>
    </xf>
    <xf numFmtId="1" fontId="46" fillId="8" borderId="71" xfId="60" applyNumberFormat="1" applyFont="1" applyFill="1" applyBorder="1" applyAlignment="1">
      <alignment horizontal="center" vertical="center"/>
      <protection/>
    </xf>
    <xf numFmtId="3" fontId="42" fillId="0" borderId="0" xfId="65" applyNumberFormat="1" applyFont="1" applyAlignment="1">
      <alignment horizontal="centerContinuous"/>
      <protection/>
    </xf>
    <xf numFmtId="4" fontId="42" fillId="0" borderId="0" xfId="65" applyNumberFormat="1" applyFont="1" applyAlignment="1">
      <alignment horizontal="centerContinuous"/>
      <protection/>
    </xf>
    <xf numFmtId="3" fontId="46" fillId="8" borderId="72" xfId="60" applyNumberFormat="1" applyFont="1" applyFill="1" applyBorder="1" applyAlignment="1">
      <alignment horizontal="center" vertical="center" wrapText="1"/>
      <protection/>
    </xf>
    <xf numFmtId="3" fontId="41" fillId="0" borderId="64" xfId="65" applyNumberFormat="1" applyFont="1" applyBorder="1" applyAlignment="1">
      <alignment vertical="center"/>
      <protection/>
    </xf>
    <xf numFmtId="3" fontId="42" fillId="0" borderId="48" xfId="65" applyNumberFormat="1" applyFont="1" applyBorder="1" applyAlignment="1">
      <alignment vertical="center"/>
      <protection/>
    </xf>
    <xf numFmtId="1" fontId="41" fillId="0" borderId="62" xfId="0" applyNumberFormat="1" applyFont="1" applyBorder="1" applyAlignment="1">
      <alignment horizontal="center" vertical="center" wrapText="1"/>
    </xf>
    <xf numFmtId="3" fontId="41" fillId="0" borderId="25" xfId="0" applyNumberFormat="1" applyFont="1" applyBorder="1" applyAlignment="1">
      <alignment horizontal="center" vertical="center" wrapText="1"/>
    </xf>
    <xf numFmtId="3" fontId="41" fillId="0" borderId="50" xfId="65" applyNumberFormat="1" applyFont="1" applyFill="1" applyBorder="1" applyAlignment="1">
      <alignment horizontal="left" vertical="center" wrapText="1"/>
      <protection/>
    </xf>
    <xf numFmtId="3" fontId="42" fillId="0" borderId="51" xfId="65" applyNumberFormat="1" applyFont="1" applyFill="1" applyBorder="1" applyAlignment="1">
      <alignment vertical="center"/>
      <protection/>
    </xf>
    <xf numFmtId="43" fontId="41" fillId="0" borderId="51" xfId="65" applyNumberFormat="1" applyFont="1" applyFill="1" applyBorder="1" applyAlignment="1">
      <alignment vertical="center"/>
      <protection/>
    </xf>
    <xf numFmtId="43" fontId="41" fillId="0" borderId="47" xfId="65" applyNumberFormat="1" applyFont="1" applyFill="1" applyBorder="1" applyAlignment="1">
      <alignment vertical="center"/>
      <protection/>
    </xf>
    <xf numFmtId="3" fontId="41" fillId="0" borderId="73" xfId="65" applyNumberFormat="1" applyFont="1" applyBorder="1" applyAlignment="1">
      <alignment horizontal="left" vertical="center" wrapText="1"/>
      <protection/>
    </xf>
    <xf numFmtId="3" fontId="42" fillId="0" borderId="74" xfId="65" applyNumberFormat="1" applyFont="1" applyBorder="1" applyAlignment="1">
      <alignment vertical="center"/>
      <protection/>
    </xf>
    <xf numFmtId="3" fontId="41" fillId="0" borderId="59" xfId="65" applyNumberFormat="1" applyFont="1" applyBorder="1" applyAlignment="1">
      <alignment horizontal="left" vertical="center" wrapText="1"/>
      <protection/>
    </xf>
    <xf numFmtId="3" fontId="42" fillId="0" borderId="17" xfId="65" applyNumberFormat="1" applyFont="1" applyBorder="1" applyAlignment="1">
      <alignment vertical="center"/>
      <protection/>
    </xf>
    <xf numFmtId="3" fontId="42" fillId="0" borderId="10" xfId="68" applyNumberFormat="1" applyFont="1" applyBorder="1" applyAlignment="1">
      <alignment vertical="center"/>
      <protection/>
    </xf>
    <xf numFmtId="0" fontId="42" fillId="0" borderId="10" xfId="68" applyNumberFormat="1" applyFont="1" applyBorder="1" applyAlignment="1">
      <alignment horizontal="left" vertical="center" wrapText="1"/>
      <protection/>
    </xf>
    <xf numFmtId="3" fontId="42" fillId="0" borderId="0" xfId="65" applyNumberFormat="1" applyFont="1" applyFill="1">
      <alignment/>
      <protection/>
    </xf>
    <xf numFmtId="3" fontId="42" fillId="0" borderId="75" xfId="65" applyNumberFormat="1" applyFont="1" applyBorder="1" applyAlignment="1">
      <alignment vertical="center"/>
      <protection/>
    </xf>
    <xf numFmtId="3" fontId="42" fillId="0" borderId="76" xfId="68" applyNumberFormat="1" applyFont="1" applyBorder="1" applyAlignment="1">
      <alignment vertical="center"/>
      <protection/>
    </xf>
    <xf numFmtId="3" fontId="42" fillId="0" borderId="66" xfId="68" applyNumberFormat="1" applyFont="1" applyBorder="1" applyAlignment="1">
      <alignment vertical="center"/>
      <protection/>
    </xf>
    <xf numFmtId="3" fontId="41" fillId="16" borderId="57" xfId="65" applyNumberFormat="1" applyFont="1" applyFill="1" applyBorder="1" applyAlignment="1">
      <alignment horizontal="left" vertical="center" wrapText="1"/>
      <protection/>
    </xf>
    <xf numFmtId="3" fontId="42" fillId="16" borderId="77" xfId="68" applyNumberFormat="1" applyFont="1" applyFill="1" applyBorder="1" applyAlignment="1">
      <alignment vertical="center"/>
      <protection/>
    </xf>
    <xf numFmtId="3" fontId="41" fillId="0" borderId="65" xfId="65" applyNumberFormat="1" applyFont="1" applyBorder="1" applyAlignment="1">
      <alignment horizontal="left" vertical="center" wrapText="1"/>
      <protection/>
    </xf>
    <xf numFmtId="3" fontId="42" fillId="0" borderId="29" xfId="68" applyNumberFormat="1" applyFont="1" applyBorder="1" applyAlignment="1">
      <alignment vertical="center"/>
      <protection/>
    </xf>
    <xf numFmtId="3" fontId="42" fillId="0" borderId="78" xfId="68" applyNumberFormat="1" applyFont="1" applyBorder="1" applyAlignment="1">
      <alignment vertical="center"/>
      <protection/>
    </xf>
    <xf numFmtId="3" fontId="41" fillId="26" borderId="50" xfId="65" applyNumberFormat="1" applyFont="1" applyFill="1" applyBorder="1" applyAlignment="1">
      <alignment horizontal="left" vertical="center" wrapText="1"/>
      <protection/>
    </xf>
    <xf numFmtId="3" fontId="42" fillId="26" borderId="51" xfId="65" applyNumberFormat="1" applyFont="1" applyFill="1" applyBorder="1" applyAlignment="1">
      <alignment vertical="center"/>
      <protection/>
    </xf>
    <xf numFmtId="3" fontId="41" fillId="16" borderId="79" xfId="65" applyNumberFormat="1" applyFont="1" applyFill="1" applyBorder="1" applyAlignment="1">
      <alignment horizontal="left" vertical="center" wrapText="1"/>
      <protection/>
    </xf>
    <xf numFmtId="3" fontId="42" fillId="16" borderId="80" xfId="65" applyNumberFormat="1" applyFont="1" applyFill="1" applyBorder="1" applyAlignment="1">
      <alignment vertical="center"/>
      <protection/>
    </xf>
    <xf numFmtId="3" fontId="42" fillId="0" borderId="73" xfId="68" applyNumberFormat="1" applyFont="1" applyBorder="1" applyAlignment="1">
      <alignment vertical="center"/>
      <protection/>
    </xf>
    <xf numFmtId="3" fontId="42" fillId="0" borderId="74" xfId="68" applyNumberFormat="1" applyFont="1" applyBorder="1" applyAlignment="1">
      <alignment vertical="center"/>
      <protection/>
    </xf>
    <xf numFmtId="3" fontId="42" fillId="0" borderId="57" xfId="68" applyNumberFormat="1" applyFont="1" applyBorder="1" applyAlignment="1">
      <alignment vertical="center"/>
      <protection/>
    </xf>
    <xf numFmtId="3" fontId="42" fillId="0" borderId="19" xfId="68" applyNumberFormat="1" applyFont="1" applyBorder="1" applyAlignment="1">
      <alignment vertical="center"/>
      <protection/>
    </xf>
    <xf numFmtId="0" fontId="58" fillId="8" borderId="17" xfId="59" applyNumberFormat="1" applyFont="1" applyFill="1" applyBorder="1" applyAlignment="1">
      <alignment horizontal="center" vertical="center"/>
      <protection/>
    </xf>
    <xf numFmtId="0" fontId="58" fillId="0" borderId="0" xfId="59" applyNumberFormat="1" applyFont="1" applyFill="1" applyBorder="1" applyAlignment="1">
      <alignment horizontal="center" vertical="center"/>
      <protection/>
    </xf>
    <xf numFmtId="0" fontId="40" fillId="0" borderId="0" xfId="59" applyNumberFormat="1" applyFont="1" applyFill="1" applyBorder="1" applyAlignment="1">
      <alignment horizontal="center" vertical="center"/>
      <protection/>
    </xf>
    <xf numFmtId="3" fontId="39" fillId="0" borderId="0" xfId="67" applyNumberFormat="1" applyFont="1" applyBorder="1">
      <alignment/>
      <protection/>
    </xf>
    <xf numFmtId="3" fontId="42" fillId="0" borderId="0" xfId="67" applyNumberFormat="1" applyFont="1" applyBorder="1">
      <alignment/>
      <protection/>
    </xf>
    <xf numFmtId="2" fontId="58" fillId="8" borderId="17" xfId="59" applyNumberFormat="1" applyFont="1" applyFill="1" applyBorder="1" applyAlignment="1">
      <alignment horizontal="center" vertical="center"/>
      <protection/>
    </xf>
    <xf numFmtId="2" fontId="58" fillId="0" borderId="0" xfId="59" applyNumberFormat="1" applyFont="1" applyFill="1" applyBorder="1" applyAlignment="1">
      <alignment horizontal="center" vertical="center"/>
      <protection/>
    </xf>
    <xf numFmtId="2" fontId="40" fillId="0" borderId="0" xfId="59" applyNumberFormat="1" applyFont="1" applyFill="1" applyBorder="1" applyAlignment="1">
      <alignment horizontal="center" vertical="center"/>
      <protection/>
    </xf>
    <xf numFmtId="2" fontId="60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3" fontId="43" fillId="0" borderId="62" xfId="67" applyNumberFormat="1" applyFont="1" applyFill="1" applyBorder="1" applyAlignment="1">
      <alignment horizontal="centerContinuous" vertical="center"/>
      <protection/>
    </xf>
    <xf numFmtId="0" fontId="41" fillId="0" borderId="17" xfId="0" applyFont="1" applyFill="1" applyBorder="1" applyAlignment="1">
      <alignment horizontal="center" vertical="center" wrapText="1"/>
    </xf>
    <xf numFmtId="2" fontId="41" fillId="0" borderId="48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4" fontId="40" fillId="0" borderId="0" xfId="67" applyNumberFormat="1" applyFont="1" applyBorder="1" applyAlignment="1">
      <alignment horizontal="center" vertical="center" wrapText="1"/>
      <protection/>
    </xf>
    <xf numFmtId="3" fontId="31" fillId="0" borderId="18" xfId="67" applyNumberFormat="1" applyFont="1" applyFill="1" applyBorder="1" applyAlignment="1">
      <alignment vertical="center"/>
      <protection/>
    </xf>
    <xf numFmtId="4" fontId="43" fillId="0" borderId="0" xfId="67" applyNumberFormat="1" applyFont="1" applyBorder="1" applyAlignment="1">
      <alignment horizontal="right" vertical="center"/>
      <protection/>
    </xf>
    <xf numFmtId="3" fontId="42" fillId="0" borderId="0" xfId="67" applyNumberFormat="1" applyFont="1" applyBorder="1" applyAlignment="1">
      <alignment vertical="center"/>
      <protection/>
    </xf>
    <xf numFmtId="3" fontId="41" fillId="0" borderId="17" xfId="67" applyNumberFormat="1" applyFont="1" applyFill="1" applyBorder="1" applyAlignment="1">
      <alignment vertical="center"/>
      <protection/>
    </xf>
    <xf numFmtId="179" fontId="43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4" fontId="40" fillId="0" borderId="0" xfId="67" applyNumberFormat="1" applyFont="1" applyBorder="1" applyAlignment="1">
      <alignment vertical="center"/>
      <protection/>
    </xf>
    <xf numFmtId="3" fontId="42" fillId="0" borderId="17" xfId="67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39" fillId="0" borderId="0" xfId="50" applyNumberFormat="1" applyFont="1" applyBorder="1" applyAlignment="1" applyProtection="1">
      <alignment horizontal="right" vertical="center"/>
      <protection locked="0"/>
    </xf>
    <xf numFmtId="3" fontId="39" fillId="0" borderId="0" xfId="67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1" fillId="0" borderId="17" xfId="67" applyNumberFormat="1" applyFont="1" applyFill="1" applyBorder="1" applyAlignment="1">
      <alignment vertical="center" wrapText="1"/>
      <protection/>
    </xf>
    <xf numFmtId="179" fontId="43" fillId="0" borderId="0" xfId="50" applyNumberFormat="1" applyFont="1" applyFill="1" applyBorder="1" applyAlignment="1" applyProtection="1">
      <alignment horizontal="right" vertical="center"/>
      <protection locked="0"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1" fillId="0" borderId="17" xfId="67" applyNumberFormat="1" applyFont="1" applyFill="1" applyBorder="1" applyAlignment="1">
      <alignment horizontal="left" vertical="center" wrapText="1"/>
      <protection/>
    </xf>
    <xf numFmtId="179" fontId="39" fillId="0" borderId="0" xfId="50" applyNumberFormat="1" applyFont="1" applyFill="1" applyBorder="1" applyAlignment="1" applyProtection="1">
      <alignment horizontal="right" vertical="center"/>
      <protection locked="0"/>
    </xf>
    <xf numFmtId="3" fontId="39" fillId="0" borderId="0" xfId="67" applyNumberFormat="1" applyFont="1" applyFill="1" applyBorder="1" applyAlignment="1">
      <alignment vertical="center"/>
      <protection/>
    </xf>
    <xf numFmtId="179" fontId="43" fillId="0" borderId="0" xfId="50" applyNumberFormat="1" applyFont="1" applyBorder="1" applyAlignment="1">
      <alignment horizontal="right" vertical="center"/>
    </xf>
    <xf numFmtId="179" fontId="40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39" fillId="0" borderId="0" xfId="50" applyNumberFormat="1" applyFont="1" applyFill="1" applyBorder="1" applyAlignment="1">
      <alignment horizontal="right" vertical="center"/>
    </xf>
    <xf numFmtId="179" fontId="43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3" fontId="42" fillId="0" borderId="17" xfId="67" applyNumberFormat="1" applyFont="1" applyFill="1" applyBorder="1" applyAlignment="1">
      <alignment vertical="center" wrapText="1"/>
      <protection/>
    </xf>
    <xf numFmtId="3" fontId="31" fillId="0" borderId="17" xfId="67" applyNumberFormat="1" applyFont="1" applyFill="1" applyBorder="1" applyAlignment="1">
      <alignment vertical="center"/>
      <protection/>
    </xf>
    <xf numFmtId="179" fontId="43" fillId="0" borderId="0" xfId="50" applyNumberFormat="1" applyFont="1" applyBorder="1" applyAlignment="1" applyProtection="1">
      <alignment vertical="center"/>
      <protection locked="0"/>
    </xf>
    <xf numFmtId="179" fontId="43" fillId="0" borderId="0" xfId="50" applyNumberFormat="1" applyFont="1" applyFill="1" applyBorder="1" applyAlignment="1">
      <alignment vertical="center"/>
    </xf>
    <xf numFmtId="3" fontId="31" fillId="0" borderId="17" xfId="67" applyNumberFormat="1" applyFont="1" applyFill="1" applyBorder="1" applyAlignment="1">
      <alignment vertical="center" wrapText="1"/>
      <protection/>
    </xf>
    <xf numFmtId="3" fontId="43" fillId="0" borderId="17" xfId="67" applyNumberFormat="1" applyFont="1" applyFill="1" applyBorder="1" applyAlignment="1">
      <alignment vertical="center"/>
      <protection/>
    </xf>
    <xf numFmtId="4" fontId="42" fillId="0" borderId="0" xfId="67" applyNumberFormat="1" applyFont="1" applyBorder="1">
      <alignment/>
      <protection/>
    </xf>
    <xf numFmtId="4" fontId="39" fillId="0" borderId="0" xfId="67" applyNumberFormat="1" applyFont="1" applyBorder="1">
      <alignment/>
      <protection/>
    </xf>
    <xf numFmtId="0" fontId="39" fillId="0" borderId="0" xfId="0" applyFont="1" applyAlignment="1">
      <alignment/>
    </xf>
    <xf numFmtId="3" fontId="41" fillId="0" borderId="0" xfId="67" applyNumberFormat="1" applyFont="1" applyBorder="1">
      <alignment/>
      <protection/>
    </xf>
    <xf numFmtId="4" fontId="42" fillId="0" borderId="0" xfId="67" applyNumberFormat="1" applyFont="1" applyBorder="1" applyAlignment="1">
      <alignment horizontal="center"/>
      <protection/>
    </xf>
    <xf numFmtId="4" fontId="39" fillId="0" borderId="0" xfId="67" applyNumberFormat="1" applyFont="1" applyBorder="1" applyAlignment="1">
      <alignment horizontal="center"/>
      <protection/>
    </xf>
    <xf numFmtId="177" fontId="42" fillId="0" borderId="0" xfId="67" applyNumberFormat="1" applyFont="1" applyBorder="1">
      <alignment/>
      <protection/>
    </xf>
    <xf numFmtId="177" fontId="39" fillId="0" borderId="0" xfId="67" applyNumberFormat="1" applyFont="1" applyBorder="1">
      <alignment/>
      <protection/>
    </xf>
    <xf numFmtId="177" fontId="42" fillId="22" borderId="0" xfId="67" applyNumberFormat="1" applyFont="1" applyFill="1" applyBorder="1">
      <alignment/>
      <protection/>
    </xf>
    <xf numFmtId="177" fontId="39" fillId="22" borderId="0" xfId="67" applyNumberFormat="1" applyFont="1" applyFill="1" applyBorder="1">
      <alignment/>
      <protection/>
    </xf>
    <xf numFmtId="3" fontId="42" fillId="0" borderId="0" xfId="67" applyNumberFormat="1" applyFont="1" applyFill="1" applyBorder="1">
      <alignment/>
      <protection/>
    </xf>
    <xf numFmtId="177" fontId="42" fillId="0" borderId="0" xfId="67" applyNumberFormat="1" applyFont="1" applyFill="1" applyBorder="1">
      <alignment/>
      <protection/>
    </xf>
    <xf numFmtId="177" fontId="39" fillId="0" borderId="0" xfId="67" applyNumberFormat="1" applyFont="1" applyFill="1" applyBorder="1">
      <alignment/>
      <protection/>
    </xf>
    <xf numFmtId="3" fontId="39" fillId="0" borderId="0" xfId="67" applyNumberFormat="1" applyFont="1" applyFill="1" applyBorder="1">
      <alignment/>
      <protection/>
    </xf>
    <xf numFmtId="3" fontId="42" fillId="22" borderId="0" xfId="67" applyNumberFormat="1" applyFont="1" applyFill="1" applyBorder="1" applyAlignment="1">
      <alignment horizontal="right"/>
      <protection/>
    </xf>
    <xf numFmtId="4" fontId="42" fillId="22" borderId="0" xfId="67" applyNumberFormat="1" applyFont="1" applyFill="1" applyBorder="1">
      <alignment/>
      <protection/>
    </xf>
    <xf numFmtId="4" fontId="39" fillId="22" borderId="0" xfId="67" applyNumberFormat="1" applyFont="1" applyFill="1" applyBorder="1">
      <alignment/>
      <protection/>
    </xf>
    <xf numFmtId="0" fontId="58" fillId="25" borderId="17" xfId="59" applyFont="1" applyFill="1" applyBorder="1" applyAlignment="1">
      <alignment horizontal="center" vertical="center" wrapText="1"/>
      <protection/>
    </xf>
    <xf numFmtId="0" fontId="42" fillId="0" borderId="0" xfId="59" applyFont="1" applyAlignment="1">
      <alignment vertical="center"/>
      <protection/>
    </xf>
    <xf numFmtId="168" fontId="60" fillId="0" borderId="0" xfId="59" applyNumberFormat="1" applyFont="1" applyFill="1" applyBorder="1" applyAlignment="1">
      <alignment horizontal="center" vertical="center" wrapText="1"/>
      <protection/>
    </xf>
    <xf numFmtId="0" fontId="31" fillId="0" borderId="17" xfId="59" applyFont="1" applyFill="1" applyBorder="1" applyAlignment="1">
      <alignment horizontal="center" vertical="center"/>
      <protection/>
    </xf>
    <xf numFmtId="0" fontId="41" fillId="0" borderId="17" xfId="59" applyFont="1" applyFill="1" applyBorder="1" applyAlignment="1">
      <alignment horizontal="center" vertical="center"/>
      <protection/>
    </xf>
    <xf numFmtId="0" fontId="41" fillId="0" borderId="17" xfId="59" applyFont="1" applyFill="1" applyBorder="1" applyAlignment="1">
      <alignment horizontal="center" vertical="center" wrapText="1"/>
      <protection/>
    </xf>
    <xf numFmtId="0" fontId="41" fillId="0" borderId="0" xfId="59" applyFont="1" applyFill="1" applyBorder="1" applyAlignment="1">
      <alignment horizontal="center" vertical="center" wrapText="1"/>
      <protection/>
    </xf>
    <xf numFmtId="0" fontId="41" fillId="0" borderId="17" xfId="59" applyFont="1" applyFill="1" applyBorder="1" applyAlignment="1">
      <alignment vertical="center"/>
      <protection/>
    </xf>
    <xf numFmtId="4" fontId="41" fillId="0" borderId="0" xfId="59" applyNumberFormat="1" applyFont="1" applyFill="1" applyBorder="1" applyAlignment="1">
      <alignment horizontal="right"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Alignment="1">
      <alignment vertical="center"/>
      <protection/>
    </xf>
    <xf numFmtId="0" fontId="42" fillId="0" borderId="0" xfId="59" applyFont="1" applyFill="1" applyAlignment="1">
      <alignment vertical="center"/>
      <protection/>
    </xf>
    <xf numFmtId="0" fontId="43" fillId="0" borderId="17" xfId="59" applyFont="1" applyFill="1" applyBorder="1" applyAlignment="1">
      <alignment horizontal="left" vertical="center"/>
      <protection/>
    </xf>
    <xf numFmtId="0" fontId="43" fillId="0" borderId="0" xfId="59" applyFont="1" applyFill="1" applyBorder="1" applyAlignment="1">
      <alignment horizontal="left" vertical="center"/>
      <protection/>
    </xf>
    <xf numFmtId="4" fontId="41" fillId="0" borderId="0" xfId="59" applyNumberFormat="1" applyFont="1" applyBorder="1" applyAlignment="1">
      <alignment horizontal="right" vertical="center"/>
      <protection/>
    </xf>
    <xf numFmtId="0" fontId="44" fillId="0" borderId="0" xfId="59" applyFont="1" applyAlignment="1" quotePrefix="1">
      <alignment vertical="center"/>
      <protection/>
    </xf>
    <xf numFmtId="2" fontId="42" fillId="0" borderId="0" xfId="59" applyNumberFormat="1" applyFont="1" applyAlignment="1">
      <alignment vertical="center"/>
      <protection/>
    </xf>
    <xf numFmtId="2" fontId="42" fillId="0" borderId="0" xfId="59" applyNumberFormat="1" applyFont="1" applyFill="1" applyAlignment="1">
      <alignment vertical="center"/>
      <protection/>
    </xf>
    <xf numFmtId="4" fontId="42" fillId="0" borderId="17" xfId="59" applyNumberFormat="1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27" borderId="0" xfId="59" applyNumberFormat="1" applyFont="1" applyFill="1" applyBorder="1" applyAlignment="1">
      <alignment vertical="center"/>
      <protection/>
    </xf>
    <xf numFmtId="177" fontId="42" fillId="0" borderId="66" xfId="58" applyNumberFormat="1" applyFont="1" applyFill="1" applyBorder="1" applyAlignment="1">
      <alignment vertical="center"/>
      <protection/>
    </xf>
    <xf numFmtId="0" fontId="42" fillId="0" borderId="66" xfId="58" applyFont="1" applyBorder="1" applyAlignment="1">
      <alignment vertical="center"/>
      <protection/>
    </xf>
    <xf numFmtId="4" fontId="42" fillId="11" borderId="17" xfId="59" applyNumberFormat="1" applyFont="1" applyFill="1" applyBorder="1" applyAlignment="1">
      <alignment vertical="center"/>
      <protection/>
    </xf>
    <xf numFmtId="0" fontId="41" fillId="0" borderId="0" xfId="59" applyFont="1" applyFill="1" applyBorder="1" applyAlignment="1">
      <alignment vertical="center"/>
      <protection/>
    </xf>
    <xf numFmtId="4" fontId="41" fillId="0" borderId="0" xfId="59" applyNumberFormat="1" applyFont="1" applyFill="1" applyBorder="1" applyAlignment="1">
      <alignment vertical="center"/>
      <protection/>
    </xf>
    <xf numFmtId="2" fontId="42" fillId="0" borderId="0" xfId="59" applyNumberFormat="1" applyFont="1" applyFill="1" applyBorder="1" applyAlignment="1">
      <alignment vertical="center"/>
      <protection/>
    </xf>
    <xf numFmtId="0" fontId="42" fillId="0" borderId="0" xfId="59" applyFont="1">
      <alignment/>
      <protection/>
    </xf>
    <xf numFmtId="2" fontId="42" fillId="0" borderId="0" xfId="59" applyNumberFormat="1" applyFont="1">
      <alignment/>
      <protection/>
    </xf>
    <xf numFmtId="2" fontId="42" fillId="0" borderId="0" xfId="59" applyNumberFormat="1" applyFont="1" applyFill="1">
      <alignment/>
      <protection/>
    </xf>
    <xf numFmtId="0" fontId="42" fillId="0" borderId="0" xfId="59" applyFont="1" applyFill="1">
      <alignment/>
      <protection/>
    </xf>
    <xf numFmtId="0" fontId="58" fillId="0" borderId="0" xfId="59" applyFont="1" applyFill="1" applyBorder="1" applyAlignment="1">
      <alignment horizontal="center" vertical="center" wrapText="1"/>
      <protection/>
    </xf>
    <xf numFmtId="2" fontId="41" fillId="0" borderId="17" xfId="0" applyNumberFormat="1" applyFont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0" fontId="31" fillId="0" borderId="17" xfId="59" applyFont="1" applyFill="1" applyBorder="1" applyAlignment="1">
      <alignment horizontal="left" vertical="center"/>
      <protection/>
    </xf>
    <xf numFmtId="0" fontId="41" fillId="0" borderId="17" xfId="59" applyFont="1" applyBorder="1" applyAlignment="1">
      <alignment vertical="center"/>
      <protection/>
    </xf>
    <xf numFmtId="0" fontId="42" fillId="0" borderId="17" xfId="59" applyFont="1" applyBorder="1" applyAlignment="1">
      <alignment vertical="center"/>
      <protection/>
    </xf>
    <xf numFmtId="4" fontId="42" fillId="0" borderId="0" xfId="67" applyNumberFormat="1" applyFont="1" applyFill="1" applyBorder="1" applyAlignment="1">
      <alignment horizontal="right" vertical="center"/>
      <protection/>
    </xf>
    <xf numFmtId="0" fontId="42" fillId="0" borderId="17" xfId="59" applyFont="1" applyFill="1" applyBorder="1" applyAlignment="1">
      <alignment vertical="center" wrapText="1"/>
      <protection/>
    </xf>
    <xf numFmtId="0" fontId="41" fillId="0" borderId="17" xfId="59" applyFont="1" applyFill="1" applyBorder="1" applyAlignment="1">
      <alignment vertical="center" wrapText="1"/>
      <protection/>
    </xf>
    <xf numFmtId="4" fontId="42" fillId="0" borderId="0" xfId="59" applyNumberFormat="1" applyFont="1" applyFill="1" applyAlignment="1">
      <alignment vertical="center"/>
      <protection/>
    </xf>
    <xf numFmtId="177" fontId="42" fillId="0" borderId="27" xfId="0" applyNumberFormat="1" applyFont="1" applyFill="1" applyBorder="1" applyAlignment="1" applyProtection="1">
      <alignment vertical="center"/>
      <protection/>
    </xf>
    <xf numFmtId="177" fontId="42" fillId="0" borderId="22" xfId="51" applyNumberFormat="1" applyFont="1" applyBorder="1" applyAlignment="1" applyProtection="1">
      <alignment vertical="center"/>
      <protection/>
    </xf>
    <xf numFmtId="177" fontId="42" fillId="0" borderId="22" xfId="51" applyNumberFormat="1" applyFont="1" applyBorder="1" applyAlignment="1">
      <alignment vertical="center"/>
    </xf>
    <xf numFmtId="177" fontId="41" fillId="24" borderId="22" xfId="51" applyNumberFormat="1" applyFont="1" applyFill="1" applyBorder="1" applyAlignment="1" applyProtection="1">
      <alignment vertical="center"/>
      <protection/>
    </xf>
    <xf numFmtId="177" fontId="42" fillId="0" borderId="81" xfId="51" applyNumberFormat="1" applyFont="1" applyBorder="1" applyAlignment="1">
      <alignment vertical="center"/>
    </xf>
    <xf numFmtId="177" fontId="41" fillId="24" borderId="70" xfId="0" applyNumberFormat="1" applyFont="1" applyFill="1" applyBorder="1" applyAlignment="1" applyProtection="1">
      <alignment vertical="center"/>
      <protection/>
    </xf>
    <xf numFmtId="3" fontId="41" fillId="24" borderId="53" xfId="0" applyNumberFormat="1" applyFont="1" applyFill="1" applyBorder="1" applyAlignment="1">
      <alignment vertical="center"/>
    </xf>
    <xf numFmtId="177" fontId="41" fillId="8" borderId="82" xfId="0" applyNumberFormat="1" applyFont="1" applyFill="1" applyBorder="1" applyAlignment="1">
      <alignment vertical="center"/>
    </xf>
    <xf numFmtId="177" fontId="41" fillId="8" borderId="22" xfId="0" applyNumberFormat="1" applyFont="1" applyFill="1" applyBorder="1" applyAlignment="1" applyProtection="1">
      <alignment vertical="center"/>
      <protection/>
    </xf>
    <xf numFmtId="177" fontId="41" fillId="8" borderId="70" xfId="0" applyNumberFormat="1" applyFont="1" applyFill="1" applyBorder="1" applyAlignment="1">
      <alignment vertical="center"/>
    </xf>
    <xf numFmtId="177" fontId="42" fillId="0" borderId="82" xfId="0" applyNumberFormat="1" applyFont="1" applyBorder="1" applyAlignment="1">
      <alignment vertical="center"/>
    </xf>
    <xf numFmtId="177" fontId="41" fillId="0" borderId="70" xfId="0" applyNumberFormat="1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3" fontId="41" fillId="0" borderId="53" xfId="0" applyNumberFormat="1" applyFont="1" applyFill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177" fontId="42" fillId="0" borderId="22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Border="1" applyAlignment="1" applyProtection="1">
      <alignment vertical="center"/>
      <protection/>
    </xf>
    <xf numFmtId="177" fontId="41" fillId="24" borderId="22" xfId="0" applyNumberFormat="1" applyFont="1" applyFill="1" applyBorder="1" applyAlignment="1" applyProtection="1">
      <alignment vertical="center"/>
      <protection/>
    </xf>
    <xf numFmtId="177" fontId="42" fillId="0" borderId="81" xfId="0" applyNumberFormat="1" applyFont="1" applyBorder="1" applyAlignment="1">
      <alignment vertical="center"/>
    </xf>
    <xf numFmtId="177" fontId="41" fillId="0" borderId="82" xfId="0" applyNumberFormat="1" applyFont="1" applyFill="1" applyBorder="1" applyAlignment="1" applyProtection="1">
      <alignment vertical="center"/>
      <protection/>
    </xf>
    <xf numFmtId="177" fontId="41" fillId="0" borderId="22" xfId="0" applyNumberFormat="1" applyFont="1" applyFill="1" applyBorder="1" applyAlignment="1">
      <alignment vertical="center"/>
    </xf>
    <xf numFmtId="177" fontId="41" fillId="0" borderId="70" xfId="0" applyNumberFormat="1" applyFont="1" applyFill="1" applyBorder="1" applyAlignment="1">
      <alignment vertical="center"/>
    </xf>
    <xf numFmtId="177" fontId="41" fillId="8" borderId="22" xfId="0" applyNumberFormat="1" applyFont="1" applyFill="1" applyBorder="1" applyAlignment="1">
      <alignment vertical="center"/>
    </xf>
    <xf numFmtId="3" fontId="41" fillId="0" borderId="44" xfId="0" applyNumberFormat="1" applyFont="1" applyFill="1" applyBorder="1" applyAlignment="1" applyProtection="1">
      <alignment vertical="center"/>
      <protection/>
    </xf>
    <xf numFmtId="3" fontId="41" fillId="8" borderId="26" xfId="0" applyNumberFormat="1" applyFont="1" applyFill="1" applyBorder="1" applyAlignment="1">
      <alignment vertical="center"/>
    </xf>
    <xf numFmtId="0" fontId="41" fillId="0" borderId="17" xfId="55" applyFont="1" applyBorder="1" applyAlignment="1">
      <alignment horizontal="center" vertical="center" wrapText="1"/>
      <protection/>
    </xf>
    <xf numFmtId="0" fontId="41" fillId="0" borderId="59" xfId="55" applyFont="1" applyBorder="1" applyAlignment="1">
      <alignment vertical="center" wrapText="1"/>
      <protection/>
    </xf>
    <xf numFmtId="0" fontId="41" fillId="0" borderId="59" xfId="55" applyFont="1" applyBorder="1" applyAlignment="1">
      <alignment horizontal="left" vertical="center" wrapText="1"/>
      <protection/>
    </xf>
    <xf numFmtId="0" fontId="42" fillId="0" borderId="59" xfId="55" applyFont="1" applyBorder="1" applyAlignment="1">
      <alignment vertical="center"/>
      <protection/>
    </xf>
    <xf numFmtId="0" fontId="41" fillId="0" borderId="57" xfId="55" applyFont="1" applyBorder="1" applyAlignment="1">
      <alignment horizontal="left" vertical="center" wrapText="1"/>
      <protection/>
    </xf>
    <xf numFmtId="171" fontId="41" fillId="0" borderId="67" xfId="64" applyNumberFormat="1" applyFont="1" applyFill="1" applyBorder="1" applyAlignment="1">
      <alignment horizontal="right" vertical="center" wrapText="1"/>
      <protection/>
    </xf>
    <xf numFmtId="179" fontId="41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4" fontId="41" fillId="0" borderId="17" xfId="59" applyNumberFormat="1" applyFont="1" applyFill="1" applyBorder="1" applyAlignment="1" applyProtection="1">
      <alignment horizontal="right" vertical="center"/>
      <protection/>
    </xf>
    <xf numFmtId="0" fontId="48" fillId="0" borderId="83" xfId="0" applyFont="1" applyBorder="1" applyAlignment="1" applyProtection="1">
      <alignment vertical="center" wrapText="1"/>
      <protection locked="0"/>
    </xf>
    <xf numFmtId="169" fontId="48" fillId="0" borderId="83" xfId="45" applyFont="1" applyBorder="1" applyAlignment="1" applyProtection="1">
      <alignment vertical="center" wrapText="1"/>
      <protection locked="0"/>
    </xf>
    <xf numFmtId="169" fontId="42" fillId="0" borderId="83" xfId="45" applyFont="1" applyBorder="1" applyAlignment="1" applyProtection="1">
      <alignment vertical="center" wrapText="1"/>
      <protection locked="0"/>
    </xf>
    <xf numFmtId="177" fontId="42" fillId="0" borderId="83" xfId="45" applyNumberFormat="1" applyFont="1" applyBorder="1" applyAlignment="1" applyProtection="1">
      <alignment vertical="center" wrapText="1"/>
      <protection locked="0"/>
    </xf>
    <xf numFmtId="10" fontId="47" fillId="0" borderId="83" xfId="70" applyNumberFormat="1" applyFont="1" applyBorder="1" applyAlignment="1" applyProtection="1">
      <alignment vertical="center" wrapText="1"/>
      <protection locked="0"/>
    </xf>
    <xf numFmtId="177" fontId="42" fillId="0" borderId="83" xfId="70" applyNumberFormat="1" applyFont="1" applyBorder="1" applyAlignment="1" applyProtection="1">
      <alignment vertical="center" wrapText="1"/>
      <protection locked="0"/>
    </xf>
    <xf numFmtId="177" fontId="42" fillId="0" borderId="84" xfId="0" applyNumberFormat="1" applyFont="1" applyBorder="1" applyAlignment="1" applyProtection="1">
      <alignment vertical="center" wrapText="1"/>
      <protection locked="0"/>
    </xf>
    <xf numFmtId="177" fontId="42" fillId="0" borderId="83" xfId="0" applyNumberFormat="1" applyFont="1" applyBorder="1" applyAlignment="1" applyProtection="1">
      <alignment vertical="center" wrapText="1"/>
      <protection locked="0"/>
    </xf>
    <xf numFmtId="10" fontId="42" fillId="0" borderId="83" xfId="70" applyNumberFormat="1" applyFont="1" applyBorder="1" applyAlignment="1" applyProtection="1">
      <alignment horizontal="center" vertical="center" wrapText="1"/>
      <protection locked="0"/>
    </xf>
    <xf numFmtId="177" fontId="41" fillId="0" borderId="83" xfId="0" applyNumberFormat="1" applyFont="1" applyBorder="1" applyAlignment="1" applyProtection="1">
      <alignment horizontal="left" vertical="center" wrapText="1"/>
      <protection locked="0"/>
    </xf>
    <xf numFmtId="177" fontId="41" fillId="0" borderId="83" xfId="45" applyNumberFormat="1" applyFont="1" applyBorder="1" applyAlignment="1" applyProtection="1">
      <alignment vertical="center" wrapText="1"/>
      <protection locked="0"/>
    </xf>
    <xf numFmtId="177" fontId="41" fillId="0" borderId="84" xfId="0" applyNumberFormat="1" applyFont="1" applyBorder="1" applyAlignment="1" applyProtection="1">
      <alignment horizontal="left" vertical="center" wrapText="1"/>
      <protection locked="0"/>
    </xf>
    <xf numFmtId="177" fontId="42" fillId="0" borderId="85" xfId="0" applyNumberFormat="1" applyFont="1" applyBorder="1" applyAlignment="1" applyProtection="1">
      <alignment vertical="center" wrapText="1"/>
      <protection locked="0"/>
    </xf>
    <xf numFmtId="177" fontId="42" fillId="0" borderId="85" xfId="70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vertical="center" wrapText="1"/>
      <protection locked="0"/>
    </xf>
    <xf numFmtId="177" fontId="41" fillId="0" borderId="87" xfId="0" applyNumberFormat="1" applyFont="1" applyBorder="1" applyAlignment="1" applyProtection="1">
      <alignment horizontal="left" vertical="center" wrapText="1"/>
      <protection locked="0"/>
    </xf>
    <xf numFmtId="177" fontId="41" fillId="0" borderId="87" xfId="45" applyNumberFormat="1" applyFont="1" applyBorder="1" applyAlignment="1" applyProtection="1">
      <alignment vertical="center" wrapText="1"/>
      <protection locked="0"/>
    </xf>
    <xf numFmtId="177" fontId="41" fillId="0" borderId="88" xfId="0" applyNumberFormat="1" applyFont="1" applyBorder="1" applyAlignment="1" applyProtection="1">
      <alignment horizontal="left" vertical="center" wrapText="1"/>
      <protection locked="0"/>
    </xf>
    <xf numFmtId="179" fontId="41" fillId="0" borderId="83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 wrapText="1"/>
      <protection locked="0"/>
    </xf>
    <xf numFmtId="0" fontId="42" fillId="0" borderId="12" xfId="55" applyFont="1" applyBorder="1" applyAlignment="1" applyProtection="1">
      <alignment horizontal="left" vertical="center" wrapText="1"/>
      <protection locked="0"/>
    </xf>
    <xf numFmtId="0" fontId="42" fillId="0" borderId="12" xfId="55" applyFont="1" applyBorder="1" applyAlignment="1" applyProtection="1">
      <alignment horizontal="center" vertical="center" wrapText="1"/>
      <protection locked="0"/>
    </xf>
    <xf numFmtId="177" fontId="41" fillId="0" borderId="12" xfId="45" applyNumberFormat="1" applyFont="1" applyBorder="1" applyAlignment="1" applyProtection="1">
      <alignment vertical="center"/>
      <protection locked="0"/>
    </xf>
    <xf numFmtId="0" fontId="42" fillId="0" borderId="17" xfId="55" applyFont="1" applyBorder="1" applyAlignment="1" applyProtection="1">
      <alignment vertical="center"/>
      <protection locked="0"/>
    </xf>
    <xf numFmtId="2" fontId="42" fillId="0" borderId="17" xfId="55" applyNumberFormat="1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1" fillId="0" borderId="12" xfId="55" applyFont="1" applyBorder="1" applyAlignment="1" applyProtection="1">
      <alignment vertical="center"/>
      <protection locked="0"/>
    </xf>
    <xf numFmtId="0" fontId="42" fillId="0" borderId="20" xfId="55" applyFont="1" applyBorder="1" applyAlignment="1" applyProtection="1">
      <alignment horizontal="center" vertical="center" wrapText="1"/>
      <protection locked="0"/>
    </xf>
    <xf numFmtId="177" fontId="42" fillId="0" borderId="17" xfId="45" applyNumberFormat="1" applyFont="1" applyBorder="1" applyAlignment="1" applyProtection="1">
      <alignment vertical="center" wrapText="1"/>
      <protection/>
    </xf>
    <xf numFmtId="177" fontId="41" fillId="0" borderId="17" xfId="45" applyNumberFormat="1" applyFont="1" applyBorder="1" applyAlignment="1" applyProtection="1">
      <alignment vertical="center"/>
      <protection/>
    </xf>
    <xf numFmtId="177" fontId="42" fillId="0" borderId="19" xfId="45" applyNumberFormat="1" applyFont="1" applyBorder="1" applyAlignment="1" applyProtection="1">
      <alignment vertical="center" wrapText="1"/>
      <protection/>
    </xf>
    <xf numFmtId="4" fontId="42" fillId="0" borderId="17" xfId="59" applyNumberFormat="1" applyFont="1" applyBorder="1" applyAlignment="1" applyProtection="1">
      <alignment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67" applyNumberFormat="1" applyFont="1" applyBorder="1" applyAlignment="1" applyProtection="1">
      <alignment horizontal="right" vertical="center"/>
      <protection locked="0"/>
    </xf>
    <xf numFmtId="4" fontId="42" fillId="0" borderId="17" xfId="67" applyNumberFormat="1" applyFont="1" applyFill="1" applyBorder="1" applyAlignment="1" applyProtection="1">
      <alignment horizontal="right" vertical="center"/>
      <protection locked="0"/>
    </xf>
    <xf numFmtId="4" fontId="41" fillId="0" borderId="17" xfId="59" applyNumberFormat="1" applyFont="1" applyFill="1" applyBorder="1" applyAlignment="1" applyProtection="1">
      <alignment vertical="center"/>
      <protection locked="0"/>
    </xf>
    <xf numFmtId="4" fontId="41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vertical="center"/>
      <protection/>
    </xf>
    <xf numFmtId="4" fontId="41" fillId="0" borderId="17" xfId="59" applyNumberFormat="1" applyFont="1" applyFill="1" applyBorder="1" applyAlignment="1" applyProtection="1">
      <alignment vertical="center"/>
      <protection/>
    </xf>
    <xf numFmtId="4" fontId="41" fillId="0" borderId="17" xfId="59" applyNumberFormat="1" applyFont="1" applyBorder="1" applyAlignment="1" applyProtection="1">
      <alignment horizontal="right" vertical="center"/>
      <protection/>
    </xf>
    <xf numFmtId="4" fontId="43" fillId="0" borderId="17" xfId="67" applyNumberFormat="1" applyFont="1" applyFill="1" applyBorder="1" applyAlignment="1" applyProtection="1">
      <alignment horizontal="right" vertical="center"/>
      <protection locked="0"/>
    </xf>
    <xf numFmtId="4" fontId="41" fillId="0" borderId="17" xfId="59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179" fontId="41" fillId="0" borderId="83" xfId="45" applyNumberFormat="1" applyFont="1" applyFill="1" applyBorder="1" applyAlignment="1" applyProtection="1">
      <alignment vertical="center" wrapText="1"/>
      <protection/>
    </xf>
    <xf numFmtId="179" fontId="41" fillId="0" borderId="83" xfId="45" applyNumberFormat="1" applyFont="1" applyFill="1" applyBorder="1" applyAlignment="1" applyProtection="1">
      <alignment vertical="center" wrapText="1"/>
      <protection locked="0"/>
    </xf>
    <xf numFmtId="177" fontId="41" fillId="0" borderId="83" xfId="45" applyNumberFormat="1" applyFont="1" applyFill="1" applyBorder="1" applyAlignment="1" applyProtection="1">
      <alignment vertical="center" wrapText="1"/>
      <protection/>
    </xf>
    <xf numFmtId="179" fontId="41" fillId="0" borderId="87" xfId="45" applyNumberFormat="1" applyFont="1" applyFill="1" applyBorder="1" applyAlignment="1" applyProtection="1">
      <alignment vertical="center" wrapText="1"/>
      <protection/>
    </xf>
    <xf numFmtId="179" fontId="41" fillId="0" borderId="87" xfId="45" applyNumberFormat="1" applyFont="1" applyFill="1" applyBorder="1" applyAlignment="1" applyProtection="1">
      <alignment vertical="center" wrapText="1"/>
      <protection locked="0"/>
    </xf>
    <xf numFmtId="177" fontId="41" fillId="0" borderId="87" xfId="45" applyNumberFormat="1" applyFont="1" applyFill="1" applyBorder="1" applyAlignment="1" applyProtection="1">
      <alignment vertical="center" wrapText="1"/>
      <protection/>
    </xf>
    <xf numFmtId="177" fontId="41" fillId="0" borderId="17" xfId="45" applyNumberFormat="1" applyFont="1" applyFill="1" applyBorder="1" applyAlignment="1" applyProtection="1">
      <alignment vertical="center"/>
      <protection/>
    </xf>
    <xf numFmtId="0" fontId="42" fillId="0" borderId="17" xfId="64" applyNumberFormat="1" applyFont="1" applyFill="1" applyBorder="1" applyAlignment="1">
      <alignment horizontal="right" vertical="center" wrapText="1"/>
      <protection/>
    </xf>
    <xf numFmtId="0" fontId="42" fillId="0" borderId="48" xfId="64" applyNumberFormat="1" applyFont="1" applyFill="1" applyBorder="1" applyAlignment="1">
      <alignment horizontal="right" vertical="center" wrapText="1"/>
      <protection/>
    </xf>
    <xf numFmtId="0" fontId="42" fillId="0" borderId="65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43" fontId="42" fillId="0" borderId="11" xfId="0" applyNumberFormat="1" applyFont="1" applyBorder="1" applyAlignment="1" applyProtection="1">
      <alignment vertical="center"/>
      <protection locked="0"/>
    </xf>
    <xf numFmtId="43" fontId="42" fillId="0" borderId="14" xfId="0" applyNumberFormat="1" applyFont="1" applyBorder="1" applyAlignment="1" applyProtection="1">
      <alignment vertical="center"/>
      <protection locked="0"/>
    </xf>
    <xf numFmtId="43" fontId="42" fillId="0" borderId="65" xfId="0" applyNumberFormat="1" applyFont="1" applyBorder="1" applyAlignment="1" applyProtection="1">
      <alignment vertical="center"/>
      <protection locked="0"/>
    </xf>
    <xf numFmtId="0" fontId="42" fillId="0" borderId="59" xfId="0" applyFont="1" applyBorder="1" applyAlignment="1" applyProtection="1">
      <alignment vertical="center"/>
      <protection locked="0"/>
    </xf>
    <xf numFmtId="0" fontId="42" fillId="0" borderId="17" xfId="0" applyFont="1" applyBorder="1" applyAlignment="1" applyProtection="1">
      <alignment vertical="center"/>
      <protection locked="0"/>
    </xf>
    <xf numFmtId="43" fontId="42" fillId="0" borderId="17" xfId="0" applyNumberFormat="1" applyFont="1" applyBorder="1" applyAlignment="1" applyProtection="1">
      <alignment vertical="center"/>
      <protection locked="0"/>
    </xf>
    <xf numFmtId="43" fontId="42" fillId="0" borderId="12" xfId="0" applyNumberFormat="1" applyFont="1" applyBorder="1" applyAlignment="1" applyProtection="1">
      <alignment vertical="center"/>
      <protection locked="0"/>
    </xf>
    <xf numFmtId="43" fontId="42" fillId="0" borderId="59" xfId="0" applyNumberFormat="1" applyFont="1" applyBorder="1" applyAlignment="1" applyProtection="1">
      <alignment vertical="center"/>
      <protection locked="0"/>
    </xf>
    <xf numFmtId="0" fontId="42" fillId="0" borderId="57" xfId="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43" fontId="42" fillId="0" borderId="19" xfId="0" applyNumberFormat="1" applyFont="1" applyBorder="1" applyAlignment="1" applyProtection="1">
      <alignment vertical="center"/>
      <protection locked="0"/>
    </xf>
    <xf numFmtId="43" fontId="42" fillId="0" borderId="20" xfId="0" applyNumberFormat="1" applyFont="1" applyBorder="1" applyAlignment="1" applyProtection="1">
      <alignment vertical="center"/>
      <protection locked="0"/>
    </xf>
    <xf numFmtId="43" fontId="42" fillId="0" borderId="57" xfId="0" applyNumberFormat="1" applyFont="1" applyBorder="1" applyAlignment="1" applyProtection="1">
      <alignment vertical="center"/>
      <protection locked="0"/>
    </xf>
    <xf numFmtId="177" fontId="42" fillId="0" borderId="11" xfId="52" applyNumberFormat="1" applyFont="1" applyBorder="1" applyAlignment="1" applyProtection="1">
      <alignment vertical="center"/>
      <protection locked="0"/>
    </xf>
    <xf numFmtId="0" fontId="42" fillId="0" borderId="14" xfId="55" applyFont="1" applyBorder="1" applyAlignment="1" applyProtection="1">
      <alignment vertical="center"/>
      <protection locked="0"/>
    </xf>
    <xf numFmtId="177" fontId="42" fillId="0" borderId="17" xfId="52" applyNumberFormat="1" applyFont="1" applyBorder="1" applyAlignment="1" applyProtection="1">
      <alignment vertical="center"/>
      <protection locked="0"/>
    </xf>
    <xf numFmtId="177" fontId="42" fillId="0" borderId="48" xfId="52" applyNumberFormat="1" applyFont="1" applyBorder="1" applyAlignment="1" applyProtection="1">
      <alignment vertical="center"/>
      <protection locked="0"/>
    </xf>
    <xf numFmtId="0" fontId="42" fillId="0" borderId="25" xfId="55" applyFont="1" applyBorder="1" applyAlignment="1" applyProtection="1">
      <alignment vertical="center"/>
      <protection locked="0"/>
    </xf>
    <xf numFmtId="177" fontId="42" fillId="0" borderId="56" xfId="52" applyNumberFormat="1" applyFont="1" applyBorder="1" applyAlignment="1" applyProtection="1">
      <alignment vertical="center"/>
      <protection locked="0"/>
    </xf>
    <xf numFmtId="0" fontId="42" fillId="0" borderId="27" xfId="55" applyFont="1" applyBorder="1" applyAlignment="1" applyProtection="1">
      <alignment vertical="center"/>
      <protection locked="0"/>
    </xf>
    <xf numFmtId="0" fontId="41" fillId="2" borderId="50" xfId="63" applyFont="1" applyFill="1" applyBorder="1" applyAlignment="1" applyProtection="1">
      <alignment horizontal="left" vertical="center" wrapText="1"/>
      <protection/>
    </xf>
    <xf numFmtId="0" fontId="42" fillId="0" borderId="51" xfId="63" applyFont="1" applyBorder="1" applyAlignment="1" applyProtection="1">
      <alignment vertical="center"/>
      <protection/>
    </xf>
    <xf numFmtId="0" fontId="41" fillId="0" borderId="51" xfId="63" applyFont="1" applyBorder="1" applyAlignment="1" applyProtection="1">
      <alignment horizontal="center" vertical="center"/>
      <protection/>
    </xf>
    <xf numFmtId="0" fontId="41" fillId="0" borderId="47" xfId="63" applyFont="1" applyBorder="1" applyAlignment="1" applyProtection="1">
      <alignment horizontal="center" vertical="center"/>
      <protection/>
    </xf>
    <xf numFmtId="0" fontId="41" fillId="0" borderId="89" xfId="63" applyFont="1" applyBorder="1" applyAlignment="1" applyProtection="1">
      <alignment vertical="center"/>
      <protection/>
    </xf>
    <xf numFmtId="0" fontId="42" fillId="0" borderId="58" xfId="63" applyFont="1" applyBorder="1" applyAlignment="1" applyProtection="1">
      <alignment vertical="center"/>
      <protection/>
    </xf>
    <xf numFmtId="4" fontId="42" fillId="28" borderId="90" xfId="63" applyNumberFormat="1" applyFont="1" applyFill="1" applyBorder="1" applyAlignment="1" applyProtection="1">
      <alignment horizontal="center" vertical="center"/>
      <protection/>
    </xf>
    <xf numFmtId="177" fontId="50" fillId="7" borderId="91" xfId="44" applyNumberFormat="1" applyFont="1" applyBorder="1" applyAlignment="1" applyProtection="1">
      <alignment horizontal="right" vertical="center"/>
      <protection/>
    </xf>
    <xf numFmtId="177" fontId="50" fillId="7" borderId="92" xfId="44" applyNumberFormat="1" applyFont="1" applyBorder="1" applyAlignment="1" applyProtection="1">
      <alignment horizontal="right" vertical="center"/>
      <protection/>
    </xf>
    <xf numFmtId="4" fontId="42" fillId="28" borderId="53" xfId="63" applyNumberFormat="1" applyFont="1" applyFill="1" applyBorder="1" applyAlignment="1" applyProtection="1">
      <alignment horizontal="center" vertical="center"/>
      <protection/>
    </xf>
    <xf numFmtId="4" fontId="42" fillId="28" borderId="58" xfId="63" applyNumberFormat="1" applyFont="1" applyFill="1" applyBorder="1" applyAlignment="1" applyProtection="1">
      <alignment horizontal="center" vertical="center"/>
      <protection/>
    </xf>
    <xf numFmtId="4" fontId="42" fillId="28" borderId="38" xfId="63" applyNumberFormat="1" applyFont="1" applyFill="1" applyBorder="1" applyAlignment="1" applyProtection="1">
      <alignment horizontal="center" vertical="center"/>
      <protection/>
    </xf>
    <xf numFmtId="0" fontId="42" fillId="0" borderId="11" xfId="63" applyFont="1" applyBorder="1" applyAlignment="1" applyProtection="1">
      <alignment vertical="center"/>
      <protection/>
    </xf>
    <xf numFmtId="0" fontId="42" fillId="0" borderId="64" xfId="63" applyFont="1" applyBorder="1" applyAlignment="1" applyProtection="1">
      <alignment vertical="center"/>
      <protection/>
    </xf>
    <xf numFmtId="0" fontId="41" fillId="0" borderId="67" xfId="63" applyFont="1" applyBorder="1" applyAlignment="1" applyProtection="1">
      <alignment vertical="center"/>
      <protection/>
    </xf>
    <xf numFmtId="0" fontId="42" fillId="0" borderId="93" xfId="63" applyFont="1" applyBorder="1" applyAlignment="1" applyProtection="1">
      <alignment vertical="center"/>
      <protection/>
    </xf>
    <xf numFmtId="4" fontId="42" fillId="28" borderId="67" xfId="63" applyNumberFormat="1" applyFont="1" applyFill="1" applyBorder="1" applyAlignment="1" applyProtection="1">
      <alignment horizontal="center" vertical="center"/>
      <protection/>
    </xf>
    <xf numFmtId="0" fontId="42" fillId="0" borderId="65" xfId="63" applyFont="1" applyBorder="1" applyAlignment="1" applyProtection="1">
      <alignment horizontal="left" vertical="center" wrapText="1"/>
      <protection/>
    </xf>
    <xf numFmtId="0" fontId="42" fillId="0" borderId="56" xfId="63" applyFont="1" applyBorder="1" applyAlignment="1" applyProtection="1">
      <alignment vertical="center"/>
      <protection/>
    </xf>
    <xf numFmtId="0" fontId="41" fillId="0" borderId="94" xfId="63" applyFont="1" applyBorder="1" applyAlignment="1" applyProtection="1">
      <alignment vertical="center"/>
      <protection/>
    </xf>
    <xf numFmtId="0" fontId="42" fillId="0" borderId="95" xfId="63" applyFont="1" applyBorder="1" applyAlignment="1" applyProtection="1">
      <alignment vertical="center"/>
      <protection/>
    </xf>
    <xf numFmtId="0" fontId="41" fillId="0" borderId="96" xfId="63" applyFont="1" applyFill="1" applyBorder="1" applyAlignment="1" applyProtection="1">
      <alignment horizontal="center" vertical="center"/>
      <protection/>
    </xf>
    <xf numFmtId="4" fontId="42" fillId="28" borderId="51" xfId="63" applyNumberFormat="1" applyFont="1" applyFill="1" applyBorder="1" applyAlignment="1" applyProtection="1">
      <alignment horizontal="center" vertical="center"/>
      <protection/>
    </xf>
    <xf numFmtId="177" fontId="51" fillId="7" borderId="97" xfId="44" applyNumberFormat="1" applyFont="1" applyBorder="1" applyAlignment="1" applyProtection="1">
      <alignment horizontal="center" vertical="center"/>
      <protection/>
    </xf>
    <xf numFmtId="4" fontId="42" fillId="28" borderId="52" xfId="63" applyNumberFormat="1" applyFont="1" applyFill="1" applyBorder="1" applyAlignment="1" applyProtection="1">
      <alignment horizontal="center" vertical="center"/>
      <protection/>
    </xf>
    <xf numFmtId="0" fontId="41" fillId="0" borderId="67" xfId="63" applyFont="1" applyBorder="1" applyAlignment="1" applyProtection="1">
      <alignment horizontal="center" vertical="center"/>
      <protection/>
    </xf>
    <xf numFmtId="4" fontId="42" fillId="29" borderId="51" xfId="63" applyNumberFormat="1" applyFont="1" applyFill="1" applyBorder="1" applyAlignment="1" applyProtection="1">
      <alignment horizontal="center" vertical="center"/>
      <protection/>
    </xf>
    <xf numFmtId="0" fontId="41" fillId="14" borderId="50" xfId="63" applyFont="1" applyFill="1" applyBorder="1" applyAlignment="1" applyProtection="1">
      <alignment horizontal="left" vertical="center" wrapText="1"/>
      <protection/>
    </xf>
    <xf numFmtId="177" fontId="41" fillId="0" borderId="52" xfId="63" applyNumberFormat="1" applyFont="1" applyBorder="1" applyAlignment="1" applyProtection="1">
      <alignment horizontal="right" vertical="center"/>
      <protection/>
    </xf>
    <xf numFmtId="0" fontId="42" fillId="0" borderId="98" xfId="63" applyFont="1" applyBorder="1" applyAlignment="1" applyProtection="1">
      <alignment vertical="center"/>
      <protection locked="0"/>
    </xf>
    <xf numFmtId="0" fontId="42" fillId="0" borderId="11" xfId="63" applyFont="1" applyBorder="1" applyAlignment="1" applyProtection="1">
      <alignment vertical="center"/>
      <protection locked="0"/>
    </xf>
    <xf numFmtId="0" fontId="42" fillId="0" borderId="64" xfId="63" applyFont="1" applyBorder="1" applyAlignment="1" applyProtection="1">
      <alignment vertical="center"/>
      <protection locked="0"/>
    </xf>
    <xf numFmtId="0" fontId="42" fillId="0" borderId="57" xfId="63" applyFont="1" applyBorder="1" applyAlignment="1" applyProtection="1">
      <alignment vertical="center"/>
      <protection locked="0"/>
    </xf>
    <xf numFmtId="0" fontId="42" fillId="0" borderId="58" xfId="63" applyFont="1" applyBorder="1" applyAlignment="1" applyProtection="1">
      <alignment vertical="center"/>
      <protection locked="0"/>
    </xf>
    <xf numFmtId="0" fontId="42" fillId="0" borderId="56" xfId="63" applyFont="1" applyBorder="1" applyAlignment="1" applyProtection="1">
      <alignment vertical="center"/>
      <protection locked="0"/>
    </xf>
    <xf numFmtId="14" fontId="42" fillId="0" borderId="17" xfId="64" applyNumberFormat="1" applyFont="1" applyFill="1" applyBorder="1" applyAlignment="1">
      <alignment horizontal="center" vertical="center" wrapText="1"/>
      <protection/>
    </xf>
    <xf numFmtId="4" fontId="42" fillId="0" borderId="22" xfId="0" applyNumberFormat="1" applyFont="1" applyBorder="1" applyAlignment="1">
      <alignment vertical="center"/>
    </xf>
    <xf numFmtId="4" fontId="41" fillId="0" borderId="19" xfId="0" applyNumberFormat="1" applyFont="1" applyBorder="1" applyAlignment="1">
      <alignment horizontal="right" vertical="center"/>
    </xf>
    <xf numFmtId="0" fontId="41" fillId="0" borderId="69" xfId="63" applyFont="1" applyBorder="1" applyAlignment="1" applyProtection="1">
      <alignment horizontal="center" vertical="center"/>
      <protection/>
    </xf>
    <xf numFmtId="4" fontId="42" fillId="29" borderId="58" xfId="63" applyNumberFormat="1" applyFont="1" applyFill="1" applyBorder="1" applyAlignment="1" applyProtection="1">
      <alignment horizontal="center" vertical="center"/>
      <protection/>
    </xf>
    <xf numFmtId="0" fontId="42" fillId="0" borderId="12" xfId="63" applyNumberFormat="1" applyFont="1" applyFill="1" applyBorder="1" applyAlignment="1" applyProtection="1">
      <alignment vertical="center"/>
      <protection locked="0"/>
    </xf>
    <xf numFmtId="0" fontId="41" fillId="0" borderId="0" xfId="63" applyFont="1" applyAlignment="1">
      <alignment vertical="center"/>
      <protection/>
    </xf>
    <xf numFmtId="0" fontId="41" fillId="0" borderId="0" xfId="63" applyFont="1" applyAlignment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177" fontId="42" fillId="0" borderId="11" xfId="0" applyNumberFormat="1" applyFont="1" applyBorder="1" applyAlignment="1" applyProtection="1">
      <alignment vertical="center"/>
      <protection locked="0"/>
    </xf>
    <xf numFmtId="3" fontId="42" fillId="0" borderId="0" xfId="0" applyNumberFormat="1" applyFont="1" applyAlignment="1">
      <alignment vertical="center"/>
    </xf>
    <xf numFmtId="4" fontId="42" fillId="26" borderId="17" xfId="63" applyNumberFormat="1" applyFont="1" applyFill="1" applyBorder="1" applyAlignment="1" applyProtection="1">
      <alignment horizontal="center" vertical="center"/>
      <protection locked="0"/>
    </xf>
    <xf numFmtId="177" fontId="42" fillId="0" borderId="17" xfId="64" applyNumberFormat="1" applyFont="1" applyFill="1" applyBorder="1" applyAlignment="1">
      <alignment vertical="center" wrapText="1"/>
      <protection/>
    </xf>
    <xf numFmtId="177" fontId="42" fillId="0" borderId="17" xfId="64" applyNumberFormat="1" applyFont="1" applyBorder="1" applyAlignment="1">
      <alignment vertical="center"/>
      <protection/>
    </xf>
    <xf numFmtId="177" fontId="42" fillId="0" borderId="17" xfId="64" applyNumberFormat="1" applyFont="1" applyBorder="1" applyAlignment="1">
      <alignment horizontal="right" vertical="center"/>
      <protection/>
    </xf>
    <xf numFmtId="3" fontId="41" fillId="0" borderId="18" xfId="67" applyNumberFormat="1" applyFont="1" applyFill="1" applyBorder="1" applyAlignment="1">
      <alignment vertical="center" wrapText="1"/>
      <protection/>
    </xf>
    <xf numFmtId="3" fontId="42" fillId="0" borderId="18" xfId="67" applyNumberFormat="1" applyFont="1" applyFill="1" applyBorder="1" applyAlignment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177" fontId="39" fillId="0" borderId="0" xfId="51" applyNumberFormat="1" applyFont="1" applyBorder="1" applyAlignment="1" applyProtection="1">
      <alignment vertical="center"/>
      <protection/>
    </xf>
    <xf numFmtId="2" fontId="42" fillId="0" borderId="0" xfId="0" applyNumberFormat="1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77" fontId="42" fillId="0" borderId="0" xfId="0" applyNumberFormat="1" applyFont="1" applyFill="1" applyAlignment="1">
      <alignment vertical="center"/>
    </xf>
    <xf numFmtId="177" fontId="41" fillId="0" borderId="0" xfId="0" applyNumberFormat="1" applyFont="1" applyFill="1" applyBorder="1" applyAlignment="1" applyProtection="1">
      <alignment horizontal="center" vertical="center"/>
      <protection/>
    </xf>
    <xf numFmtId="177" fontId="42" fillId="0" borderId="0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51" applyNumberFormat="1" applyFont="1" applyFill="1" applyBorder="1" applyAlignment="1">
      <alignment vertical="center"/>
    </xf>
    <xf numFmtId="177" fontId="41" fillId="0" borderId="0" xfId="51" applyNumberFormat="1" applyFont="1" applyFill="1" applyBorder="1" applyAlignment="1" applyProtection="1">
      <alignment vertical="center"/>
      <protection/>
    </xf>
    <xf numFmtId="177" fontId="41" fillId="0" borderId="0" xfId="0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>
      <alignment vertical="center"/>
    </xf>
    <xf numFmtId="177" fontId="41" fillId="0" borderId="0" xfId="62" applyNumberFormat="1" applyFont="1" applyFill="1" applyBorder="1" applyAlignment="1" applyProtection="1">
      <alignment horizontal="center" vertical="center" wrapText="1"/>
      <protection/>
    </xf>
    <xf numFmtId="177" fontId="42" fillId="0" borderId="0" xfId="62" applyNumberFormat="1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 applyProtection="1">
      <alignment vertical="center"/>
      <protection locked="0"/>
    </xf>
    <xf numFmtId="0" fontId="42" fillId="0" borderId="11" xfId="63" applyFont="1" applyFill="1" applyBorder="1" applyAlignment="1" applyProtection="1">
      <alignment vertical="center"/>
      <protection locked="0"/>
    </xf>
    <xf numFmtId="4" fontId="42" fillId="0" borderId="11" xfId="63" applyNumberFormat="1" applyFont="1" applyFill="1" applyBorder="1" applyAlignment="1" applyProtection="1">
      <alignment horizontal="center" vertical="center"/>
      <protection locked="0"/>
    </xf>
    <xf numFmtId="177" fontId="42" fillId="0" borderId="17" xfId="52" applyNumberFormat="1" applyFont="1" applyFill="1" applyBorder="1" applyAlignment="1" applyProtection="1">
      <alignment horizontal="right" vertical="center"/>
      <protection locked="0"/>
    </xf>
    <xf numFmtId="177" fontId="42" fillId="0" borderId="17" xfId="45" applyNumberFormat="1" applyFont="1" applyFill="1" applyBorder="1" applyAlignment="1" applyProtection="1">
      <alignment vertical="center" wrapText="1"/>
      <protection locked="0"/>
    </xf>
    <xf numFmtId="177" fontId="42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1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42" fillId="0" borderId="62" xfId="63" applyNumberFormat="1" applyFont="1" applyFill="1" applyBorder="1" applyAlignment="1" applyProtection="1">
      <alignment horizontal="center" vertical="center"/>
      <protection locked="0"/>
    </xf>
    <xf numFmtId="0" fontId="42" fillId="0" borderId="25" xfId="63" applyNumberFormat="1" applyFont="1" applyFill="1" applyBorder="1" applyAlignment="1" applyProtection="1">
      <alignment horizontal="center" vertical="center"/>
      <protection locked="0"/>
    </xf>
    <xf numFmtId="177" fontId="41" fillId="0" borderId="99" xfId="63" applyNumberFormat="1" applyFont="1" applyFill="1" applyBorder="1" applyAlignment="1" applyProtection="1">
      <alignment horizontal="right" vertical="center"/>
      <protection/>
    </xf>
    <xf numFmtId="177" fontId="41" fillId="0" borderId="52" xfId="63" applyNumberFormat="1" applyFont="1" applyFill="1" applyBorder="1" applyAlignment="1" applyProtection="1">
      <alignment horizontal="right" vertical="center"/>
      <protection/>
    </xf>
    <xf numFmtId="177" fontId="41" fillId="0" borderId="95" xfId="63" applyNumberFormat="1" applyFont="1" applyFill="1" applyBorder="1" applyAlignment="1" applyProtection="1">
      <alignment vertical="center"/>
      <protection/>
    </xf>
    <xf numFmtId="177" fontId="41" fillId="0" borderId="58" xfId="63" applyNumberFormat="1" applyFont="1" applyFill="1" applyBorder="1" applyAlignment="1" applyProtection="1">
      <alignment horizontal="right" vertical="center"/>
      <protection/>
    </xf>
    <xf numFmtId="177" fontId="41" fillId="0" borderId="38" xfId="63" applyNumberFormat="1" applyFont="1" applyFill="1" applyBorder="1" applyAlignment="1" applyProtection="1">
      <alignment horizontal="right" vertical="center"/>
      <protection/>
    </xf>
    <xf numFmtId="177" fontId="41" fillId="0" borderId="51" xfId="63" applyNumberFormat="1" applyFont="1" applyFill="1" applyBorder="1" applyAlignment="1" applyProtection="1">
      <alignment horizontal="right" vertical="center"/>
      <protection/>
    </xf>
    <xf numFmtId="0" fontId="42" fillId="0" borderId="59" xfId="0" applyFont="1" applyFill="1" applyBorder="1" applyAlignment="1" applyProtection="1">
      <alignment horizontal="left" vertical="center"/>
      <protection locked="0"/>
    </xf>
    <xf numFmtId="4" fontId="42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2" fillId="0" borderId="12" xfId="0" applyNumberFormat="1" applyFont="1" applyFill="1" applyBorder="1" applyAlignment="1" applyProtection="1">
      <alignment horizontal="right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2" fillId="0" borderId="59" xfId="0" applyFont="1" applyBorder="1" applyAlignment="1" applyProtection="1">
      <alignment horizontal="left" vertical="center" wrapText="1"/>
      <protection locked="0"/>
    </xf>
    <xf numFmtId="0" fontId="41" fillId="0" borderId="19" xfId="0" applyFont="1" applyBorder="1" applyAlignment="1">
      <alignment horizontal="center" vertical="center"/>
    </xf>
    <xf numFmtId="0" fontId="41" fillId="0" borderId="11" xfId="64" applyFont="1" applyFill="1" applyBorder="1" applyAlignment="1">
      <alignment vertical="center" wrapText="1"/>
      <protection/>
    </xf>
    <xf numFmtId="4" fontId="42" fillId="0" borderId="66" xfId="0" applyNumberFormat="1" applyFont="1" applyBorder="1" applyAlignment="1" applyProtection="1">
      <alignment horizontal="right" vertical="center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4" fontId="44" fillId="22" borderId="0" xfId="59" applyNumberFormat="1" applyFont="1" applyFill="1" applyBorder="1" applyAlignment="1">
      <alignment horizontal="left" vertical="center"/>
      <protection/>
    </xf>
    <xf numFmtId="0" fontId="42" fillId="22" borderId="0" xfId="59" applyFont="1" applyFill="1" applyAlignment="1">
      <alignment vertical="center"/>
      <protection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8" fillId="0" borderId="15" xfId="6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5" fillId="0" borderId="15" xfId="61" applyNumberFormat="1" applyFont="1" applyFill="1" applyBorder="1" applyAlignment="1">
      <alignment horizontal="left" vertical="center"/>
      <protection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5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81" xfId="0" applyFont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67" fillId="0" borderId="28" xfId="0" applyFont="1" applyBorder="1" applyAlignment="1">
      <alignment/>
    </xf>
    <xf numFmtId="0" fontId="67" fillId="0" borderId="55" xfId="0" applyFont="1" applyBorder="1" applyAlignment="1">
      <alignment horizontal="left"/>
    </xf>
    <xf numFmtId="0" fontId="67" fillId="0" borderId="55" xfId="0" applyFont="1" applyBorder="1" applyAlignment="1">
      <alignment horizontal="center" wrapText="1"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14" fontId="66" fillId="0" borderId="0" xfId="0" applyNumberFormat="1" applyFont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5" fillId="0" borderId="28" xfId="61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1" fillId="0" borderId="67" xfId="64" applyNumberFormat="1" applyFont="1" applyBorder="1" applyAlignment="1" applyProtection="1">
      <alignment horizontal="right" vertical="center"/>
      <protection locked="0"/>
    </xf>
    <xf numFmtId="4" fontId="41" fillId="16" borderId="12" xfId="0" applyNumberFormat="1" applyFont="1" applyFill="1" applyBorder="1" applyAlignment="1">
      <alignment vertical="center"/>
    </xf>
    <xf numFmtId="0" fontId="68" fillId="0" borderId="0" xfId="55" applyFont="1">
      <alignment/>
      <protection/>
    </xf>
    <xf numFmtId="0" fontId="69" fillId="0" borderId="0" xfId="55" applyFont="1">
      <alignment/>
      <protection/>
    </xf>
    <xf numFmtId="0" fontId="68" fillId="0" borderId="0" xfId="55" applyFont="1" applyAlignment="1">
      <alignment vertical="center"/>
      <protection/>
    </xf>
    <xf numFmtId="0" fontId="70" fillId="0" borderId="0" xfId="55" applyFont="1">
      <alignment/>
      <protection/>
    </xf>
    <xf numFmtId="0" fontId="69" fillId="16" borderId="17" xfId="55" applyFont="1" applyFill="1" applyBorder="1" applyAlignment="1">
      <alignment horizontal="center"/>
      <protection/>
    </xf>
    <xf numFmtId="17" fontId="69" fillId="16" borderId="17" xfId="55" applyNumberFormat="1" applyFont="1" applyFill="1" applyBorder="1" applyAlignment="1">
      <alignment horizontal="center"/>
      <protection/>
    </xf>
    <xf numFmtId="0" fontId="28" fillId="0" borderId="0" xfId="55" applyFont="1">
      <alignment/>
      <protection/>
    </xf>
    <xf numFmtId="0" fontId="70" fillId="0" borderId="0" xfId="55" applyFont="1" applyAlignment="1">
      <alignment vertical="center"/>
      <protection/>
    </xf>
    <xf numFmtId="17" fontId="28" fillId="16" borderId="17" xfId="55" applyNumberFormat="1" applyFont="1" applyFill="1" applyBorder="1" applyAlignment="1">
      <alignment horizontal="center"/>
      <protection/>
    </xf>
    <xf numFmtId="0" fontId="28" fillId="16" borderId="17" xfId="55" applyFont="1" applyFill="1" applyBorder="1" applyAlignment="1">
      <alignment horizontal="center"/>
      <protection/>
    </xf>
    <xf numFmtId="0" fontId="64" fillId="8" borderId="13" xfId="61" applyNumberFormat="1" applyFont="1" applyFill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17" fontId="69" fillId="0" borderId="0" xfId="55" applyNumberFormat="1" applyFont="1" applyFill="1" applyBorder="1" applyAlignment="1">
      <alignment horizontal="center"/>
      <protection/>
    </xf>
    <xf numFmtId="0" fontId="69" fillId="0" borderId="0" xfId="55" applyFont="1" applyFill="1" applyBorder="1" applyAlignment="1">
      <alignment horizontal="center"/>
      <protection/>
    </xf>
    <xf numFmtId="0" fontId="72" fillId="0" borderId="17" xfId="59" applyFont="1" applyFill="1" applyBorder="1" applyAlignment="1">
      <alignment vertical="center"/>
      <protection/>
    </xf>
    <xf numFmtId="0" fontId="72" fillId="0" borderId="17" xfId="59" applyFont="1" applyBorder="1" applyAlignment="1">
      <alignment vertical="center"/>
      <protection/>
    </xf>
    <xf numFmtId="177" fontId="42" fillId="0" borderId="11" xfId="64" applyNumberFormat="1" applyFont="1" applyFill="1" applyBorder="1" applyAlignment="1">
      <alignment horizontal="right" vertical="center" wrapText="1"/>
      <protection/>
    </xf>
    <xf numFmtId="0" fontId="41" fillId="0" borderId="17" xfId="64" applyFont="1" applyFill="1" applyBorder="1" applyAlignment="1">
      <alignment vertical="center" wrapText="1"/>
      <protection/>
    </xf>
    <xf numFmtId="0" fontId="1" fillId="0" borderId="70" xfId="0" applyFont="1" applyBorder="1" applyAlignment="1">
      <alignment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66" fillId="0" borderId="0" xfId="0" applyNumberFormat="1" applyFont="1" applyBorder="1" applyAlignment="1">
      <alignment horizontal="center" vertical="center"/>
    </xf>
    <xf numFmtId="214" fontId="66" fillId="0" borderId="100" xfId="0" applyNumberFormat="1" applyFont="1" applyBorder="1" applyAlignment="1">
      <alignment horizontal="center" vertical="center"/>
    </xf>
    <xf numFmtId="180" fontId="66" fillId="0" borderId="100" xfId="0" applyNumberFormat="1" applyFont="1" applyBorder="1" applyAlignment="1">
      <alignment horizontal="center" vertical="center"/>
    </xf>
    <xf numFmtId="180" fontId="66" fillId="0" borderId="22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/>
    </xf>
    <xf numFmtId="180" fontId="42" fillId="0" borderId="0" xfId="65" applyNumberFormat="1" applyFont="1" applyAlignment="1">
      <alignment horizontal="right"/>
      <protection/>
    </xf>
    <xf numFmtId="4" fontId="42" fillId="0" borderId="17" xfId="0" applyNumberFormat="1" applyFont="1" applyFill="1" applyBorder="1" applyAlignment="1">
      <alignment horizontal="right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4" fontId="42" fillId="0" borderId="25" xfId="0" applyNumberFormat="1" applyFont="1" applyBorder="1" applyAlignment="1">
      <alignment horizontal="right" vertical="center"/>
    </xf>
    <xf numFmtId="0" fontId="42" fillId="0" borderId="68" xfId="0" applyFont="1" applyBorder="1" applyAlignment="1">
      <alignment horizontal="right" vertical="center" wrapText="1"/>
    </xf>
    <xf numFmtId="0" fontId="42" fillId="0" borderId="68" xfId="0" applyFont="1" applyBorder="1" applyAlignment="1">
      <alignment vertical="center"/>
    </xf>
    <xf numFmtId="4" fontId="41" fillId="0" borderId="52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16" borderId="12" xfId="0" applyNumberFormat="1" applyFont="1" applyFill="1" applyBorder="1" applyAlignment="1">
      <alignment/>
    </xf>
    <xf numFmtId="4" fontId="73" fillId="0" borderId="12" xfId="0" applyNumberFormat="1" applyFont="1" applyBorder="1" applyAlignment="1">
      <alignment/>
    </xf>
    <xf numFmtId="177" fontId="42" fillId="0" borderId="56" xfId="52" applyNumberFormat="1" applyFont="1" applyFill="1" applyBorder="1" applyAlignment="1" applyProtection="1">
      <alignment vertical="center"/>
      <protection locked="0"/>
    </xf>
    <xf numFmtId="180" fontId="42" fillId="0" borderId="0" xfId="65" applyNumberFormat="1" applyFont="1" applyFill="1" applyAlignment="1">
      <alignment horizontal="right"/>
      <protection/>
    </xf>
    <xf numFmtId="0" fontId="42" fillId="27" borderId="0" xfId="59" applyFont="1" applyFill="1" applyAlignment="1">
      <alignment vertical="center"/>
      <protection/>
    </xf>
    <xf numFmtId="4" fontId="44" fillId="27" borderId="0" xfId="59" applyNumberFormat="1" applyFont="1" applyFill="1" applyBorder="1" applyAlignment="1">
      <alignment horizontal="left" vertical="center"/>
      <protection/>
    </xf>
    <xf numFmtId="167" fontId="42" fillId="0" borderId="0" xfId="50" applyFont="1" applyAlignment="1">
      <alignment vertical="center"/>
    </xf>
    <xf numFmtId="0" fontId="42" fillId="0" borderId="59" xfId="63" applyFont="1" applyBorder="1" applyAlignment="1" applyProtection="1">
      <alignment vertical="center"/>
      <protection locked="0"/>
    </xf>
    <xf numFmtId="0" fontId="42" fillId="0" borderId="17" xfId="63" applyFont="1" applyBorder="1" applyAlignment="1" applyProtection="1">
      <alignment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2" fontId="42" fillId="0" borderId="0" xfId="0" applyNumberFormat="1" applyFont="1" applyAlignment="1" applyProtection="1">
      <alignment vertical="center"/>
      <protection/>
    </xf>
    <xf numFmtId="180" fontId="42" fillId="0" borderId="0" xfId="63" applyNumberFormat="1" applyFont="1" applyAlignment="1">
      <alignment vertical="center"/>
      <protection/>
    </xf>
    <xf numFmtId="180" fontId="4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42" fillId="0" borderId="15" xfId="52" applyNumberFormat="1" applyFont="1" applyBorder="1" applyAlignment="1" applyProtection="1">
      <alignment horizontal="right" vertical="center"/>
      <protection locked="0"/>
    </xf>
    <xf numFmtId="0" fontId="39" fillId="0" borderId="0" xfId="59" applyFont="1">
      <alignment/>
      <protection/>
    </xf>
    <xf numFmtId="0" fontId="39" fillId="0" borderId="0" xfId="59" applyFont="1" applyAlignment="1">
      <alignment vertical="center"/>
      <protection/>
    </xf>
    <xf numFmtId="180" fontId="42" fillId="0" borderId="0" xfId="0" applyNumberFormat="1" applyFont="1" applyFill="1" applyAlignment="1">
      <alignment vertical="center"/>
    </xf>
    <xf numFmtId="167" fontId="39" fillId="0" borderId="0" xfId="50" applyFont="1" applyAlignment="1">
      <alignment vertical="center"/>
    </xf>
    <xf numFmtId="0" fontId="39" fillId="0" borderId="0" xfId="59" applyFont="1" applyBorder="1">
      <alignment/>
      <protection/>
    </xf>
    <xf numFmtId="0" fontId="39" fillId="0" borderId="0" xfId="59" applyFont="1" applyBorder="1" applyAlignment="1">
      <alignment vertical="center"/>
      <protection/>
    </xf>
    <xf numFmtId="4" fontId="41" fillId="0" borderId="0" xfId="59" applyNumberFormat="1" applyFont="1" applyFill="1" applyBorder="1" applyAlignment="1" applyProtection="1">
      <alignment horizontal="right" vertical="center"/>
      <protection/>
    </xf>
    <xf numFmtId="4" fontId="42" fillId="0" borderId="0" xfId="59" applyNumberFormat="1" applyFont="1" applyFill="1" applyBorder="1" applyAlignment="1" applyProtection="1">
      <alignment horizontal="right" vertical="center"/>
      <protection/>
    </xf>
    <xf numFmtId="177" fontId="41" fillId="0" borderId="61" xfId="0" applyNumberFormat="1" applyFont="1" applyFill="1" applyBorder="1" applyAlignment="1" applyProtection="1">
      <alignment vertical="center"/>
      <protection/>
    </xf>
    <xf numFmtId="4" fontId="55" fillId="0" borderId="17" xfId="0" applyNumberFormat="1" applyFont="1" applyBorder="1" applyAlignment="1" applyProtection="1">
      <alignment horizontal="right" vertical="center"/>
      <protection locked="0"/>
    </xf>
    <xf numFmtId="0" fontId="42" fillId="0" borderId="65" xfId="0" applyFont="1" applyBorder="1" applyAlignment="1" applyProtection="1">
      <alignment horizontal="left" vertical="center"/>
      <protection locked="0"/>
    </xf>
    <xf numFmtId="4" fontId="41" fillId="0" borderId="17" xfId="50" applyNumberFormat="1" applyFont="1" applyFill="1" applyBorder="1" applyAlignment="1" applyProtection="1">
      <alignment horizontal="right" vertical="center"/>
      <protection/>
    </xf>
    <xf numFmtId="4" fontId="42" fillId="0" borderId="17" xfId="50" applyNumberFormat="1" applyFont="1" applyFill="1" applyBorder="1" applyAlignment="1" applyProtection="1">
      <alignment horizontal="right" vertical="center"/>
      <protection/>
    </xf>
    <xf numFmtId="4" fontId="42" fillId="0" borderId="17" xfId="50" applyNumberFormat="1" applyFont="1" applyFill="1" applyBorder="1" applyAlignment="1" applyProtection="1">
      <alignment horizontal="right" vertical="center"/>
      <protection locked="0"/>
    </xf>
    <xf numFmtId="4" fontId="41" fillId="0" borderId="17" xfId="50" applyNumberFormat="1" applyFont="1" applyFill="1" applyBorder="1" applyAlignment="1" applyProtection="1">
      <alignment horizontal="right" vertical="center"/>
      <protection locked="0"/>
    </xf>
    <xf numFmtId="4" fontId="41" fillId="0" borderId="17" xfId="50" applyNumberFormat="1" applyFont="1" applyFill="1" applyBorder="1" applyAlignment="1" applyProtection="1">
      <alignment vertical="center"/>
      <protection/>
    </xf>
    <xf numFmtId="4" fontId="41" fillId="0" borderId="17" xfId="50" applyNumberFormat="1" applyFont="1" applyFill="1" applyBorder="1" applyAlignment="1" applyProtection="1">
      <alignment vertical="center"/>
      <protection locked="0"/>
    </xf>
    <xf numFmtId="4" fontId="41" fillId="0" borderId="7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3" xfId="0" applyNumberFormat="1" applyFont="1" applyBorder="1" applyAlignment="1" applyProtection="1">
      <alignment horizontal="right" vertical="center" wrapText="1"/>
      <protection locked="0"/>
    </xf>
    <xf numFmtId="4" fontId="41" fillId="0" borderId="17" xfId="0" applyNumberFormat="1" applyFont="1" applyFill="1" applyBorder="1" applyAlignment="1" applyProtection="1">
      <alignment horizontal="right" vertical="center" wrapText="1"/>
      <protection/>
    </xf>
    <xf numFmtId="4" fontId="41" fillId="0" borderId="12" xfId="0" applyNumberFormat="1" applyFont="1" applyBorder="1" applyAlignment="1" applyProtection="1">
      <alignment horizontal="right" vertical="center" wrapText="1"/>
      <protection/>
    </xf>
    <xf numFmtId="4" fontId="41" fillId="16" borderId="19" xfId="0" applyNumberFormat="1" applyFont="1" applyFill="1" applyBorder="1" applyAlignment="1" applyProtection="1">
      <alignment horizontal="right" vertical="center" wrapText="1"/>
      <protection/>
    </xf>
    <xf numFmtId="4" fontId="41" fillId="16" borderId="20" xfId="0" applyNumberFormat="1" applyFont="1" applyFill="1" applyBorder="1" applyAlignment="1" applyProtection="1">
      <alignment horizontal="right" vertical="center" wrapText="1"/>
      <protection/>
    </xf>
    <xf numFmtId="4" fontId="41" fillId="0" borderId="51" xfId="0" applyNumberFormat="1" applyFont="1" applyFill="1" applyBorder="1" applyAlignment="1" applyProtection="1">
      <alignment horizontal="right" vertical="center" wrapText="1"/>
      <protection/>
    </xf>
    <xf numFmtId="4" fontId="41" fillId="0" borderId="52" xfId="0" applyNumberFormat="1" applyFont="1" applyFill="1" applyBorder="1" applyAlignment="1" applyProtection="1">
      <alignment horizontal="right" vertical="center" wrapText="1"/>
      <protection/>
    </xf>
    <xf numFmtId="4" fontId="41" fillId="0" borderId="74" xfId="0" applyNumberFormat="1" applyFont="1" applyFill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right" vertical="center" wrapText="1"/>
      <protection/>
    </xf>
    <xf numFmtId="4" fontId="41" fillId="0" borderId="11" xfId="0" applyNumberFormat="1" applyFont="1" applyFill="1" applyBorder="1" applyAlignment="1" applyProtection="1">
      <alignment horizontal="right" vertical="center" wrapText="1"/>
      <protection/>
    </xf>
    <xf numFmtId="4" fontId="41" fillId="0" borderId="11" xfId="0" applyNumberFormat="1" applyFont="1" applyBorder="1" applyAlignment="1" applyProtection="1">
      <alignment horizontal="right" vertical="center" wrapText="1"/>
      <protection/>
    </xf>
    <xf numFmtId="4" fontId="41" fillId="16" borderId="48" xfId="0" applyNumberFormat="1" applyFont="1" applyFill="1" applyBorder="1" applyAlignment="1" applyProtection="1">
      <alignment horizontal="right" vertical="center" wrapText="1"/>
      <protection/>
    </xf>
    <xf numFmtId="4" fontId="41" fillId="16" borderId="25" xfId="0" applyNumberFormat="1" applyFont="1" applyFill="1" applyBorder="1" applyAlignment="1" applyProtection="1">
      <alignment horizontal="right" vertical="center" wrapText="1"/>
      <protection/>
    </xf>
    <xf numFmtId="4" fontId="41" fillId="0" borderId="51" xfId="65" applyNumberFormat="1" applyFont="1" applyFill="1" applyBorder="1" applyAlignment="1" applyProtection="1">
      <alignment horizontal="right" vertical="center"/>
      <protection locked="0"/>
    </xf>
    <xf numFmtId="4" fontId="41" fillId="26" borderId="52" xfId="65" applyNumberFormat="1" applyFont="1" applyFill="1" applyBorder="1" applyAlignment="1" applyProtection="1">
      <alignment horizontal="right" vertical="center"/>
      <protection locked="0"/>
    </xf>
    <xf numFmtId="4" fontId="41" fillId="16" borderId="80" xfId="0" applyNumberFormat="1" applyFont="1" applyFill="1" applyBorder="1" applyAlignment="1" applyProtection="1">
      <alignment horizontal="right" vertical="center" wrapText="1"/>
      <protection/>
    </xf>
    <xf numFmtId="4" fontId="41" fillId="16" borderId="49" xfId="0" applyNumberFormat="1" applyFont="1" applyFill="1" applyBorder="1" applyAlignment="1" applyProtection="1">
      <alignment horizontal="right" vertical="center" wrapText="1"/>
      <protection/>
    </xf>
    <xf numFmtId="4" fontId="42" fillId="0" borderId="74" xfId="65" applyNumberFormat="1" applyFont="1" applyFill="1" applyBorder="1" applyAlignment="1" applyProtection="1">
      <alignment horizontal="right" vertical="center" wrapText="1"/>
      <protection locked="0"/>
    </xf>
    <xf numFmtId="4" fontId="42" fillId="0" borderId="13" xfId="65" applyNumberFormat="1" applyFont="1" applyBorder="1" applyAlignment="1" applyProtection="1">
      <alignment horizontal="right" vertical="center" wrapText="1"/>
      <protection locked="0"/>
    </xf>
    <xf numFmtId="4" fontId="42" fillId="0" borderId="19" xfId="65" applyNumberFormat="1" applyFont="1" applyFill="1" applyBorder="1" applyAlignment="1" applyProtection="1">
      <alignment horizontal="right" vertical="center" wrapText="1"/>
      <protection locked="0"/>
    </xf>
    <xf numFmtId="4" fontId="42" fillId="0" borderId="101" xfId="65" applyNumberFormat="1" applyFont="1" applyBorder="1" applyAlignment="1" applyProtection="1">
      <alignment horizontal="right" vertical="center" wrapText="1"/>
      <protection locked="0"/>
    </xf>
    <xf numFmtId="4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2" xfId="0" applyNumberFormat="1" applyFont="1" applyBorder="1" applyAlignment="1" applyProtection="1">
      <alignment horizontal="right" vertical="center" wrapText="1"/>
      <protection locked="0"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Border="1" applyAlignment="1" applyProtection="1">
      <alignment horizontal="right" vertical="center" wrapText="1"/>
      <protection/>
    </xf>
    <xf numFmtId="0" fontId="62" fillId="0" borderId="58" xfId="0" applyFont="1" applyFill="1" applyBorder="1" applyAlignment="1" applyProtection="1">
      <alignment horizontal="center" vertical="center"/>
      <protection locked="0"/>
    </xf>
    <xf numFmtId="0" fontId="62" fillId="0" borderId="38" xfId="0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vertical="center"/>
    </xf>
    <xf numFmtId="177" fontId="74" fillId="0" borderId="0" xfId="0" applyNumberFormat="1" applyFont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177" fontId="45" fillId="0" borderId="0" xfId="0" applyNumberFormat="1" applyFont="1" applyBorder="1" applyAlignment="1" applyProtection="1">
      <alignment vertical="center"/>
      <protection/>
    </xf>
    <xf numFmtId="0" fontId="74" fillId="0" borderId="0" xfId="55" applyFont="1" applyFill="1" applyBorder="1" applyAlignment="1">
      <alignment horizontal="left" vertical="center" wrapText="1"/>
      <protection/>
    </xf>
    <xf numFmtId="177" fontId="7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177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75" fillId="0" borderId="0" xfId="59" applyFont="1" applyAlignment="1">
      <alignment vertical="center"/>
      <protection/>
    </xf>
    <xf numFmtId="0" fontId="75" fillId="0" borderId="0" xfId="59" applyFont="1" applyAlignment="1">
      <alignment horizontal="center" vertical="center" wrapText="1"/>
      <protection/>
    </xf>
    <xf numFmtId="4" fontId="76" fillId="0" borderId="0" xfId="59" applyNumberFormat="1" applyFont="1" applyAlignment="1">
      <alignment vertical="center"/>
      <protection/>
    </xf>
    <xf numFmtId="4" fontId="75" fillId="0" borderId="0" xfId="59" applyNumberFormat="1" applyFont="1" applyAlignment="1">
      <alignment vertical="center"/>
      <protection/>
    </xf>
    <xf numFmtId="0" fontId="77" fillId="0" borderId="0" xfId="0" applyFont="1" applyAlignment="1">
      <alignment/>
    </xf>
    <xf numFmtId="4" fontId="75" fillId="0" borderId="0" xfId="59" applyNumberFormat="1" applyFont="1" applyFill="1" applyAlignment="1">
      <alignment vertical="center"/>
      <protection/>
    </xf>
    <xf numFmtId="4" fontId="74" fillId="0" borderId="0" xfId="59" applyNumberFormat="1" applyFont="1" applyFill="1" applyBorder="1" applyAlignment="1">
      <alignment vertical="center"/>
      <protection/>
    </xf>
    <xf numFmtId="0" fontId="74" fillId="0" borderId="0" xfId="59" applyFont="1" applyFill="1" applyBorder="1" applyAlignment="1">
      <alignment vertical="center"/>
      <protection/>
    </xf>
    <xf numFmtId="0" fontId="74" fillId="0" borderId="0" xfId="59" applyFont="1" applyBorder="1" applyAlignment="1">
      <alignment vertical="center"/>
      <protection/>
    </xf>
    <xf numFmtId="0" fontId="75" fillId="0" borderId="0" xfId="59" applyFont="1" applyBorder="1" applyAlignment="1">
      <alignment vertical="center"/>
      <protection/>
    </xf>
    <xf numFmtId="0" fontId="75" fillId="0" borderId="0" xfId="59" applyFont="1" applyFill="1" applyAlignment="1">
      <alignment vertical="center"/>
      <protection/>
    </xf>
    <xf numFmtId="0" fontId="74" fillId="0" borderId="0" xfId="59" applyFont="1" applyFill="1" applyAlignment="1">
      <alignment vertical="center"/>
      <protection/>
    </xf>
    <xf numFmtId="0" fontId="76" fillId="0" borderId="0" xfId="59" applyFont="1" applyFill="1" applyAlignment="1">
      <alignment horizontal="center" vertical="center" wrapText="1"/>
      <protection/>
    </xf>
    <xf numFmtId="4" fontId="76" fillId="0" borderId="0" xfId="59" applyNumberFormat="1" applyFont="1" applyFill="1" applyAlignment="1">
      <alignment vertical="center"/>
      <protection/>
    </xf>
    <xf numFmtId="4" fontId="74" fillId="0" borderId="0" xfId="59" applyNumberFormat="1" applyFont="1" applyFill="1" applyAlignment="1">
      <alignment vertical="center"/>
      <protection/>
    </xf>
    <xf numFmtId="4" fontId="78" fillId="0" borderId="0" xfId="59" applyNumberFormat="1" applyFont="1" applyFill="1" applyAlignment="1">
      <alignment vertical="center"/>
      <protection/>
    </xf>
    <xf numFmtId="180" fontId="75" fillId="0" borderId="0" xfId="59" applyNumberFormat="1" applyFont="1" applyFill="1" applyAlignment="1">
      <alignment vertical="center"/>
      <protection/>
    </xf>
    <xf numFmtId="0" fontId="77" fillId="0" borderId="0" xfId="0" applyFont="1" applyFill="1" applyAlignment="1">
      <alignment/>
    </xf>
    <xf numFmtId="180" fontId="74" fillId="0" borderId="0" xfId="59" applyNumberFormat="1" applyFont="1" applyFill="1" applyAlignment="1">
      <alignment vertical="center"/>
      <protection/>
    </xf>
    <xf numFmtId="0" fontId="77" fillId="0" borderId="0" xfId="55" applyFont="1">
      <alignment/>
      <protection/>
    </xf>
    <xf numFmtId="3" fontId="74" fillId="0" borderId="0" xfId="65" applyNumberFormat="1" applyFont="1">
      <alignment/>
      <protection/>
    </xf>
    <xf numFmtId="0" fontId="74" fillId="0" borderId="0" xfId="0" applyFont="1" applyAlignment="1">
      <alignment vertical="center"/>
    </xf>
    <xf numFmtId="0" fontId="45" fillId="0" borderId="0" xfId="55" applyFont="1" applyAlignment="1">
      <alignment horizontal="left" vertical="center" wrapText="1"/>
      <protection/>
    </xf>
    <xf numFmtId="2" fontId="74" fillId="0" borderId="0" xfId="55" applyNumberFormat="1" applyFont="1" applyAlignment="1">
      <alignment vertical="center"/>
      <protection/>
    </xf>
    <xf numFmtId="0" fontId="74" fillId="0" borderId="0" xfId="55" applyFont="1" applyAlignment="1">
      <alignment vertical="center"/>
      <protection/>
    </xf>
    <xf numFmtId="4" fontId="74" fillId="0" borderId="0" xfId="55" applyNumberFormat="1" applyFont="1" applyAlignment="1">
      <alignment vertical="center"/>
      <protection/>
    </xf>
    <xf numFmtId="169" fontId="74" fillId="0" borderId="0" xfId="0" applyNumberFormat="1" applyFont="1" applyAlignment="1">
      <alignment vertical="center"/>
    </xf>
    <xf numFmtId="0" fontId="74" fillId="0" borderId="0" xfId="0" applyFont="1" applyAlignment="1">
      <alignment horizontal="right" vertical="center"/>
    </xf>
    <xf numFmtId="173" fontId="74" fillId="22" borderId="0" xfId="0" applyNumberFormat="1" applyFont="1" applyFill="1" applyAlignment="1">
      <alignment vertical="center"/>
    </xf>
    <xf numFmtId="0" fontId="80" fillId="0" borderId="0" xfId="55" applyFont="1" applyAlignment="1">
      <alignment horizontal="left" vertical="center" wrapText="1"/>
      <protection/>
    </xf>
    <xf numFmtId="49" fontId="75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4" fontId="74" fillId="0" borderId="0" xfId="0" applyNumberFormat="1" applyFont="1" applyAlignment="1">
      <alignment vertical="center"/>
    </xf>
    <xf numFmtId="49" fontId="75" fillId="0" borderId="0" xfId="0" applyNumberFormat="1" applyFont="1" applyAlignment="1">
      <alignment horizontal="center" vertical="center" wrapText="1"/>
    </xf>
    <xf numFmtId="4" fontId="75" fillId="0" borderId="0" xfId="0" applyNumberFormat="1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4" fillId="0" borderId="0" xfId="63" applyFont="1" applyAlignment="1">
      <alignment vertical="center"/>
      <protection/>
    </xf>
    <xf numFmtId="4" fontId="74" fillId="0" borderId="0" xfId="63" applyNumberFormat="1" applyFont="1" applyAlignment="1">
      <alignment vertical="center"/>
      <protection/>
    </xf>
    <xf numFmtId="3" fontId="74" fillId="0" borderId="0" xfId="63" applyNumberFormat="1" applyFont="1" applyAlignment="1">
      <alignment vertical="center"/>
      <protection/>
    </xf>
    <xf numFmtId="4" fontId="45" fillId="0" borderId="0" xfId="63" applyNumberFormat="1" applyFont="1" applyAlignment="1">
      <alignment vertical="center"/>
      <protection/>
    </xf>
    <xf numFmtId="177" fontId="74" fillId="0" borderId="0" xfId="0" applyNumberFormat="1" applyFont="1" applyAlignment="1">
      <alignment vertical="center"/>
    </xf>
    <xf numFmtId="0" fontId="74" fillId="0" borderId="0" xfId="64" applyFont="1" applyAlignment="1">
      <alignment vertical="center"/>
      <protection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41" fillId="16" borderId="15" xfId="0" applyNumberFormat="1" applyFont="1" applyFill="1" applyBorder="1" applyAlignment="1" applyProtection="1">
      <alignment vertical="center"/>
      <protection/>
    </xf>
    <xf numFmtId="3" fontId="41" fillId="16" borderId="26" xfId="0" applyNumberFormat="1" applyFont="1" applyFill="1" applyBorder="1" applyAlignment="1">
      <alignment vertical="center"/>
    </xf>
    <xf numFmtId="177" fontId="41" fillId="16" borderId="27" xfId="51" applyNumberFormat="1" applyFont="1" applyFill="1" applyBorder="1" applyAlignment="1" applyProtection="1">
      <alignment vertical="center"/>
      <protection/>
    </xf>
    <xf numFmtId="177" fontId="41" fillId="16" borderId="27" xfId="0" applyNumberFormat="1" applyFont="1" applyFill="1" applyBorder="1" applyAlignment="1" applyProtection="1">
      <alignment vertical="center"/>
      <protection/>
    </xf>
    <xf numFmtId="2" fontId="64" fillId="8" borderId="59" xfId="61" applyNumberFormat="1" applyFont="1" applyFill="1" applyBorder="1" applyAlignment="1">
      <alignment horizontal="left" vertical="center"/>
      <protection/>
    </xf>
    <xf numFmtId="0" fontId="63" fillId="25" borderId="73" xfId="61" applyFont="1" applyFill="1" applyBorder="1" applyAlignment="1">
      <alignment horizontal="center" vertical="center" wrapText="1"/>
      <protection/>
    </xf>
    <xf numFmtId="0" fontId="63" fillId="25" borderId="74" xfId="61" applyFont="1" applyFill="1" applyBorder="1" applyAlignment="1">
      <alignment horizontal="center" vertical="center" wrapText="1"/>
      <protection/>
    </xf>
    <xf numFmtId="177" fontId="1" fillId="0" borderId="35" xfId="0" applyNumberFormat="1" applyFont="1" applyBorder="1" applyAlignment="1">
      <alignment vertical="center"/>
    </xf>
    <xf numFmtId="177" fontId="0" fillId="8" borderId="102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8" borderId="49" xfId="62" applyNumberFormat="1" applyFont="1" applyFill="1" applyBorder="1" applyAlignment="1" applyProtection="1">
      <alignment horizontal="center" vertical="center" wrapText="1"/>
      <protection/>
    </xf>
    <xf numFmtId="177" fontId="0" fillId="8" borderId="27" xfId="62" applyNumberFormat="1" applyFont="1" applyFill="1" applyBorder="1" applyAlignment="1">
      <alignment horizontal="center" vertical="center" wrapText="1"/>
      <protection/>
    </xf>
    <xf numFmtId="177" fontId="0" fillId="8" borderId="14" xfId="62" applyNumberFormat="1" applyFont="1" applyFill="1" applyBorder="1" applyAlignment="1">
      <alignment horizontal="center" vertical="center" wrapText="1"/>
      <protection/>
    </xf>
    <xf numFmtId="177" fontId="1" fillId="8" borderId="103" xfId="0" applyNumberFormat="1" applyFont="1" applyFill="1" applyBorder="1" applyAlignment="1" applyProtection="1">
      <alignment horizontal="center" vertical="center"/>
      <protection/>
    </xf>
    <xf numFmtId="177" fontId="0" fillId="8" borderId="104" xfId="0" applyNumberFormat="1" applyFont="1" applyFill="1" applyBorder="1" applyAlignment="1">
      <alignment horizontal="center" vertical="center"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2" fontId="28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5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6" xfId="0" applyNumberFormat="1" applyFont="1" applyFill="1" applyBorder="1" applyAlignment="1">
      <alignment vertical="center"/>
    </xf>
    <xf numFmtId="177" fontId="0" fillId="0" borderId="107" xfId="0" applyNumberFormat="1" applyFont="1" applyBorder="1" applyAlignment="1">
      <alignment vertical="center"/>
    </xf>
    <xf numFmtId="0" fontId="10" fillId="0" borderId="0" xfId="0" applyFont="1" applyAlignment="1">
      <alignment horizontal="justify" vertical="justify" wrapText="1"/>
    </xf>
    <xf numFmtId="2" fontId="64" fillId="8" borderId="17" xfId="61" applyNumberFormat="1" applyFont="1" applyFill="1" applyBorder="1" applyAlignment="1">
      <alignment horizontal="left" vertical="center"/>
      <protection/>
    </xf>
    <xf numFmtId="2" fontId="64" fillId="8" borderId="12" xfId="61" applyNumberFormat="1" applyFont="1" applyFill="1" applyBorder="1" applyAlignment="1">
      <alignment horizontal="left" vertical="center"/>
      <protection/>
    </xf>
    <xf numFmtId="2" fontId="7" fillId="0" borderId="43" xfId="61" applyNumberFormat="1" applyFont="1" applyFill="1" applyBorder="1" applyAlignment="1">
      <alignment horizontal="left" vertical="center"/>
      <protection/>
    </xf>
    <xf numFmtId="2" fontId="7" fillId="0" borderId="54" xfId="61" applyNumberFormat="1" applyFont="1" applyFill="1" applyBorder="1" applyAlignment="1">
      <alignment horizontal="left" vertical="center"/>
      <protection/>
    </xf>
    <xf numFmtId="2" fontId="7" fillId="0" borderId="82" xfId="61" applyNumberFormat="1" applyFont="1" applyFill="1" applyBorder="1" applyAlignment="1">
      <alignment horizontal="left" vertical="center"/>
      <protection/>
    </xf>
    <xf numFmtId="177" fontId="41" fillId="8" borderId="103" xfId="0" applyNumberFormat="1" applyFont="1" applyFill="1" applyBorder="1" applyAlignment="1" applyProtection="1">
      <alignment horizontal="center" vertical="center"/>
      <protection/>
    </xf>
    <xf numFmtId="177" fontId="42" fillId="8" borderId="108" xfId="0" applyNumberFormat="1" applyFont="1" applyFill="1" applyBorder="1" applyAlignment="1">
      <alignment horizontal="center" vertical="center"/>
    </xf>
    <xf numFmtId="177" fontId="41" fillId="8" borderId="49" xfId="62" applyNumberFormat="1" applyFont="1" applyFill="1" applyBorder="1" applyAlignment="1" applyProtection="1">
      <alignment horizontal="center" vertical="center" wrapText="1"/>
      <protection/>
    </xf>
    <xf numFmtId="177" fontId="42" fillId="8" borderId="38" xfId="6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2" fontId="43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3" fontId="41" fillId="8" borderId="43" xfId="0" applyNumberFormat="1" applyFont="1" applyFill="1" applyBorder="1" applyAlignment="1" applyProtection="1">
      <alignment horizontal="center" vertical="center"/>
      <protection/>
    </xf>
    <xf numFmtId="3" fontId="41" fillId="8" borderId="44" xfId="0" applyNumberFormat="1" applyFont="1" applyFill="1" applyBorder="1" applyAlignment="1" applyProtection="1">
      <alignment horizontal="center" vertical="center"/>
      <protection/>
    </xf>
    <xf numFmtId="3" fontId="41" fillId="8" borderId="41" xfId="0" applyNumberFormat="1" applyFont="1" applyFill="1" applyBorder="1" applyAlignment="1" applyProtection="1">
      <alignment horizontal="center" vertical="center"/>
      <protection/>
    </xf>
    <xf numFmtId="3" fontId="41" fillId="8" borderId="53" xfId="0" applyNumberFormat="1" applyFont="1" applyFill="1" applyBorder="1" applyAlignment="1" applyProtection="1">
      <alignment horizontal="center" vertical="center"/>
      <protection/>
    </xf>
    <xf numFmtId="2" fontId="60" fillId="0" borderId="48" xfId="59" applyNumberFormat="1" applyFont="1" applyFill="1" applyBorder="1" applyAlignment="1">
      <alignment horizontal="center" vertical="center"/>
      <protection/>
    </xf>
    <xf numFmtId="2" fontId="60" fillId="0" borderId="17" xfId="59" applyNumberFormat="1" applyFont="1" applyFill="1" applyBorder="1" applyAlignment="1">
      <alignment horizontal="center" vertical="center"/>
      <protection/>
    </xf>
    <xf numFmtId="2" fontId="59" fillId="8" borderId="18" xfId="59" applyNumberFormat="1" applyFont="1" applyFill="1" applyBorder="1" applyAlignment="1" applyProtection="1">
      <alignment horizontal="center" vertical="center"/>
      <protection locked="0"/>
    </xf>
    <xf numFmtId="2" fontId="59" fillId="8" borderId="109" xfId="59" applyNumberFormat="1" applyFont="1" applyFill="1" applyBorder="1" applyAlignment="1" applyProtection="1">
      <alignment horizontal="center" vertical="center"/>
      <protection locked="0"/>
    </xf>
    <xf numFmtId="2" fontId="59" fillId="8" borderId="66" xfId="59" applyNumberFormat="1" applyFont="1" applyFill="1" applyBorder="1" applyAlignment="1" applyProtection="1">
      <alignment horizontal="center" vertical="center"/>
      <protection locked="0"/>
    </xf>
    <xf numFmtId="0" fontId="58" fillId="25" borderId="18" xfId="59" applyFont="1" applyFill="1" applyBorder="1" applyAlignment="1">
      <alignment horizontal="center" vertical="center" wrapText="1"/>
      <protection/>
    </xf>
    <xf numFmtId="0" fontId="58" fillId="25" borderId="109" xfId="59" applyFont="1" applyFill="1" applyBorder="1" applyAlignment="1">
      <alignment horizontal="center" vertical="center" wrapText="1"/>
      <protection/>
    </xf>
    <xf numFmtId="0" fontId="58" fillId="25" borderId="66" xfId="59" applyFont="1" applyFill="1" applyBorder="1" applyAlignment="1">
      <alignment horizontal="center" vertical="center" wrapText="1"/>
      <protection/>
    </xf>
    <xf numFmtId="0" fontId="58" fillId="25" borderId="17" xfId="59" applyFont="1" applyFill="1" applyBorder="1" applyAlignment="1">
      <alignment horizontal="center" vertical="center" wrapText="1"/>
      <protection/>
    </xf>
    <xf numFmtId="2" fontId="60" fillId="8" borderId="18" xfId="58" applyNumberFormat="1" applyFont="1" applyFill="1" applyBorder="1" applyAlignment="1">
      <alignment horizontal="center" vertical="center" wrapText="1"/>
      <protection/>
    </xf>
    <xf numFmtId="2" fontId="60" fillId="8" borderId="109" xfId="58" applyNumberFormat="1" applyFont="1" applyFill="1" applyBorder="1" applyAlignment="1">
      <alignment horizontal="center" vertical="center" wrapText="1"/>
      <protection/>
    </xf>
    <xf numFmtId="2" fontId="60" fillId="8" borderId="66" xfId="58" applyNumberFormat="1" applyFont="1" applyFill="1" applyBorder="1" applyAlignment="1">
      <alignment horizontal="center" vertical="center" wrapText="1"/>
      <protection/>
    </xf>
    <xf numFmtId="168" fontId="60" fillId="0" borderId="17" xfId="59" applyNumberFormat="1" applyFont="1" applyFill="1" applyBorder="1" applyAlignment="1">
      <alignment horizontal="center" vertical="center" wrapText="1"/>
      <protection/>
    </xf>
    <xf numFmtId="2" fontId="58" fillId="8" borderId="18" xfId="59" applyNumberFormat="1" applyFont="1" applyFill="1" applyBorder="1" applyAlignment="1">
      <alignment horizontal="center" vertical="center"/>
      <protection/>
    </xf>
    <xf numFmtId="2" fontId="58" fillId="8" borderId="109" xfId="59" applyNumberFormat="1" applyFont="1" applyFill="1" applyBorder="1" applyAlignment="1">
      <alignment horizontal="center" vertical="center"/>
      <protection/>
    </xf>
    <xf numFmtId="0" fontId="70" fillId="0" borderId="0" xfId="55" applyFont="1" applyAlignment="1">
      <alignment horizontal="left" vertical="center" wrapText="1"/>
      <protection/>
    </xf>
    <xf numFmtId="3" fontId="41" fillId="16" borderId="23" xfId="68" applyNumberFormat="1" applyFont="1" applyFill="1" applyBorder="1" applyAlignment="1">
      <alignment horizontal="left" vertical="center" wrapText="1"/>
      <protection/>
    </xf>
    <xf numFmtId="3" fontId="41" fillId="16" borderId="24" xfId="68" applyNumberFormat="1" applyFont="1" applyFill="1" applyBorder="1" applyAlignment="1">
      <alignment horizontal="left" vertical="center" wrapText="1"/>
      <protection/>
    </xf>
    <xf numFmtId="0" fontId="41" fillId="25" borderId="73" xfId="60" applyFont="1" applyFill="1" applyBorder="1" applyAlignment="1">
      <alignment horizontal="center" vertical="center" wrapText="1"/>
      <protection/>
    </xf>
    <xf numFmtId="0" fontId="41" fillId="25" borderId="74" xfId="60" applyFont="1" applyFill="1" applyBorder="1" applyAlignment="1">
      <alignment horizontal="center" vertical="center" wrapText="1"/>
      <protection/>
    </xf>
    <xf numFmtId="0" fontId="41" fillId="25" borderId="110" xfId="60" applyFont="1" applyFill="1" applyBorder="1" applyAlignment="1">
      <alignment horizontal="center" vertical="center" wrapText="1"/>
      <protection/>
    </xf>
    <xf numFmtId="2" fontId="46" fillId="8" borderId="16" xfId="60" applyNumberFormat="1" applyFont="1" applyFill="1" applyBorder="1" applyAlignment="1">
      <alignment horizontal="left" vertical="center" wrapText="1"/>
      <protection/>
    </xf>
    <xf numFmtId="2" fontId="46" fillId="8" borderId="68" xfId="60" applyNumberFormat="1" applyFont="1" applyFill="1" applyBorder="1" applyAlignment="1">
      <alignment horizontal="left" vertical="center" wrapText="1"/>
      <protection/>
    </xf>
    <xf numFmtId="2" fontId="46" fillId="0" borderId="111" xfId="60" applyNumberFormat="1" applyFont="1" applyFill="1" applyBorder="1" applyAlignment="1">
      <alignment horizontal="center" vertical="center" wrapText="1"/>
      <protection/>
    </xf>
    <xf numFmtId="2" fontId="46" fillId="0" borderId="112" xfId="60" applyNumberFormat="1" applyFont="1" applyFill="1" applyBorder="1" applyAlignment="1">
      <alignment horizontal="center" vertical="center" wrapText="1"/>
      <protection/>
    </xf>
    <xf numFmtId="2" fontId="46" fillId="0" borderId="113" xfId="60" applyNumberFormat="1" applyFont="1" applyFill="1" applyBorder="1" applyAlignment="1">
      <alignment horizontal="center" vertical="center" wrapText="1"/>
      <protection/>
    </xf>
    <xf numFmtId="3" fontId="41" fillId="16" borderId="16" xfId="68" applyNumberFormat="1" applyFont="1" applyFill="1" applyBorder="1" applyAlignment="1">
      <alignment horizontal="left" vertical="center" wrapText="1"/>
      <protection/>
    </xf>
    <xf numFmtId="3" fontId="41" fillId="16" borderId="68" xfId="68" applyNumberFormat="1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 horizontal="left" vertical="center"/>
    </xf>
    <xf numFmtId="0" fontId="41" fillId="8" borderId="43" xfId="0" applyFont="1" applyFill="1" applyBorder="1" applyAlignment="1">
      <alignment horizontal="center" vertical="center"/>
    </xf>
    <xf numFmtId="0" fontId="41" fillId="8" borderId="54" xfId="0" applyFont="1" applyFill="1" applyBorder="1" applyAlignment="1">
      <alignment horizontal="center" vertical="center"/>
    </xf>
    <xf numFmtId="0" fontId="41" fillId="8" borderId="28" xfId="0" applyFont="1" applyFill="1" applyBorder="1" applyAlignment="1">
      <alignment horizontal="center" vertical="center"/>
    </xf>
    <xf numFmtId="0" fontId="41" fillId="8" borderId="55" xfId="0" applyFont="1" applyFill="1" applyBorder="1" applyAlignment="1">
      <alignment horizontal="center" vertical="center"/>
    </xf>
    <xf numFmtId="2" fontId="41" fillId="8" borderId="16" xfId="0" applyNumberFormat="1" applyFont="1" applyFill="1" applyBorder="1" applyAlignment="1">
      <alignment horizontal="left" vertical="center"/>
    </xf>
    <xf numFmtId="0" fontId="41" fillId="8" borderId="68" xfId="0" applyFont="1" applyFill="1" applyBorder="1" applyAlignment="1">
      <alignment horizontal="left" vertical="center"/>
    </xf>
    <xf numFmtId="0" fontId="41" fillId="8" borderId="16" xfId="0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horizontal="center" vertical="center"/>
    </xf>
    <xf numFmtId="0" fontId="41" fillId="8" borderId="101" xfId="0" applyFont="1" applyFill="1" applyBorder="1" applyAlignment="1">
      <alignment horizontal="center" vertical="center"/>
    </xf>
    <xf numFmtId="0" fontId="41" fillId="8" borderId="82" xfId="0" applyFont="1" applyFill="1" applyBorder="1" applyAlignment="1">
      <alignment horizontal="center" vertical="center"/>
    </xf>
    <xf numFmtId="0" fontId="41" fillId="8" borderId="81" xfId="0" applyFont="1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25" borderId="73" xfId="58" applyFont="1" applyFill="1" applyBorder="1" applyAlignment="1">
      <alignment horizontal="center" vertical="center" wrapText="1"/>
      <protection/>
    </xf>
    <xf numFmtId="0" fontId="41" fillId="25" borderId="74" xfId="58" applyFont="1" applyFill="1" applyBorder="1" applyAlignment="1">
      <alignment horizontal="center" vertical="center" wrapText="1"/>
      <protection/>
    </xf>
    <xf numFmtId="1" fontId="41" fillId="25" borderId="74" xfId="58" applyNumberFormat="1" applyFont="1" applyFill="1" applyBorder="1" applyAlignment="1">
      <alignment horizontal="center" vertical="center" wrapText="1"/>
      <protection/>
    </xf>
    <xf numFmtId="1" fontId="41" fillId="25" borderId="13" xfId="58" applyNumberFormat="1" applyFont="1" applyFill="1" applyBorder="1" applyAlignment="1">
      <alignment horizontal="center" vertical="center" wrapText="1"/>
      <protection/>
    </xf>
    <xf numFmtId="2" fontId="46" fillId="0" borderId="59" xfId="58" applyNumberFormat="1" applyFont="1" applyFill="1" applyBorder="1" applyAlignment="1">
      <alignment horizontal="center" vertical="center" wrapText="1"/>
      <protection/>
    </xf>
    <xf numFmtId="2" fontId="46" fillId="0" borderId="17" xfId="58" applyNumberFormat="1" applyFont="1" applyFill="1" applyBorder="1" applyAlignment="1">
      <alignment horizontal="center" vertical="center" wrapText="1"/>
      <protection/>
    </xf>
    <xf numFmtId="2" fontId="46" fillId="0" borderId="12" xfId="58" applyNumberFormat="1" applyFont="1" applyFill="1" applyBorder="1" applyAlignment="1">
      <alignment horizontal="center" vertical="center" wrapText="1"/>
      <protection/>
    </xf>
    <xf numFmtId="0" fontId="42" fillId="8" borderId="59" xfId="55" applyFont="1" applyFill="1" applyBorder="1" applyAlignment="1">
      <alignment vertical="center" wrapText="1"/>
      <protection/>
    </xf>
    <xf numFmtId="0" fontId="42" fillId="8" borderId="17" xfId="55" applyFont="1" applyFill="1" applyBorder="1" applyAlignment="1">
      <alignment vertical="center" wrapText="1"/>
      <protection/>
    </xf>
    <xf numFmtId="0" fontId="42" fillId="8" borderId="12" xfId="55" applyFont="1" applyFill="1" applyBorder="1" applyAlignment="1">
      <alignment vertical="center" wrapText="1"/>
      <protection/>
    </xf>
    <xf numFmtId="0" fontId="41" fillId="0" borderId="59" xfId="55" applyFont="1" applyBorder="1" applyAlignment="1">
      <alignment horizontal="center" vertical="center" wrapText="1"/>
      <protection/>
    </xf>
    <xf numFmtId="0" fontId="41" fillId="0" borderId="17" xfId="55" applyFont="1" applyBorder="1" applyAlignment="1">
      <alignment horizontal="center" vertical="center" wrapText="1"/>
      <protection/>
    </xf>
    <xf numFmtId="0" fontId="41" fillId="0" borderId="12" xfId="55" applyFont="1" applyBorder="1" applyAlignment="1">
      <alignment horizontal="center" vertical="center" wrapText="1"/>
      <protection/>
    </xf>
    <xf numFmtId="2" fontId="46" fillId="8" borderId="59" xfId="58" applyNumberFormat="1" applyFont="1" applyFill="1" applyBorder="1" applyAlignment="1">
      <alignment horizontal="center" vertical="center" wrapText="1"/>
      <protection/>
    </xf>
    <xf numFmtId="2" fontId="46" fillId="8" borderId="17" xfId="58" applyNumberFormat="1" applyFont="1" applyFill="1" applyBorder="1" applyAlignment="1">
      <alignment horizontal="center" vertical="center" wrapText="1"/>
      <protection/>
    </xf>
    <xf numFmtId="2" fontId="31" fillId="8" borderId="17" xfId="59" applyNumberFormat="1" applyFont="1" applyFill="1" applyBorder="1" applyAlignment="1">
      <alignment horizontal="center" vertical="center" wrapText="1"/>
      <protection/>
    </xf>
    <xf numFmtId="2" fontId="31" fillId="8" borderId="12" xfId="59" applyNumberFormat="1" applyFont="1" applyFill="1" applyBorder="1" applyAlignment="1">
      <alignment horizontal="center" vertical="center" wrapText="1"/>
      <protection/>
    </xf>
    <xf numFmtId="0" fontId="79" fillId="0" borderId="0" xfId="55" applyFont="1" applyAlignment="1">
      <alignment horizontal="left" vertical="center" wrapText="1"/>
      <protection/>
    </xf>
    <xf numFmtId="0" fontId="1" fillId="25" borderId="111" xfId="58" applyFont="1" applyFill="1" applyBorder="1" applyAlignment="1">
      <alignment horizontal="center" vertical="center" wrapText="1"/>
      <protection/>
    </xf>
    <xf numFmtId="0" fontId="1" fillId="25" borderId="112" xfId="58" applyFont="1" applyFill="1" applyBorder="1" applyAlignment="1">
      <alignment horizontal="center" vertical="center" wrapText="1"/>
      <protection/>
    </xf>
    <xf numFmtId="0" fontId="1" fillId="25" borderId="76" xfId="58" applyFont="1" applyFill="1" applyBorder="1" applyAlignment="1">
      <alignment horizontal="center" vertical="center" wrapText="1"/>
      <protection/>
    </xf>
    <xf numFmtId="2" fontId="28" fillId="8" borderId="10" xfId="58" applyNumberFormat="1" applyFont="1" applyFill="1" applyBorder="1" applyAlignment="1">
      <alignment horizontal="left" vertical="center" wrapText="1"/>
      <protection/>
    </xf>
    <xf numFmtId="2" fontId="28" fillId="8" borderId="109" xfId="58" applyNumberFormat="1" applyFont="1" applyFill="1" applyBorder="1" applyAlignment="1">
      <alignment horizontal="left" vertical="center" wrapText="1"/>
      <protection/>
    </xf>
    <xf numFmtId="2" fontId="28" fillId="8" borderId="66" xfId="58" applyNumberFormat="1" applyFont="1" applyFill="1" applyBorder="1" applyAlignment="1">
      <alignment horizontal="left" vertical="center" wrapText="1"/>
      <protection/>
    </xf>
    <xf numFmtId="2" fontId="28" fillId="0" borderId="10" xfId="58" applyNumberFormat="1" applyFont="1" applyFill="1" applyBorder="1" applyAlignment="1">
      <alignment horizontal="center" vertical="center"/>
      <protection/>
    </xf>
    <xf numFmtId="2" fontId="28" fillId="0" borderId="109" xfId="58" applyNumberFormat="1" applyFont="1" applyFill="1" applyBorder="1" applyAlignment="1">
      <alignment horizontal="center" vertical="center"/>
      <protection/>
    </xf>
    <xf numFmtId="2" fontId="28" fillId="0" borderId="60" xfId="58" applyNumberFormat="1" applyFont="1" applyFill="1" applyBorder="1" applyAlignment="1">
      <alignment horizontal="center" vertical="center"/>
      <protection/>
    </xf>
    <xf numFmtId="0" fontId="49" fillId="0" borderId="114" xfId="0" applyFont="1" applyBorder="1" applyAlignment="1" applyProtection="1">
      <alignment horizontal="center" vertical="center" wrapText="1"/>
      <protection locked="0"/>
    </xf>
    <xf numFmtId="0" fontId="49" fillId="0" borderId="115" xfId="0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left" vertical="center" wrapText="1"/>
      <protection locked="0"/>
    </xf>
    <xf numFmtId="177" fontId="42" fillId="0" borderId="115" xfId="0" applyNumberFormat="1" applyFont="1" applyBorder="1" applyAlignment="1" applyProtection="1">
      <alignment horizontal="left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2" fontId="46" fillId="0" borderId="10" xfId="58" applyNumberFormat="1" applyFont="1" applyFill="1" applyBorder="1" applyAlignment="1">
      <alignment horizontal="center" vertical="center" wrapText="1"/>
      <protection/>
    </xf>
    <xf numFmtId="2" fontId="46" fillId="0" borderId="109" xfId="58" applyNumberFormat="1" applyFont="1" applyFill="1" applyBorder="1" applyAlignment="1">
      <alignment horizontal="center" vertical="center" wrapText="1"/>
      <protection/>
    </xf>
    <xf numFmtId="2" fontId="46" fillId="0" borderId="60" xfId="58" applyNumberFormat="1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177" fontId="41" fillId="0" borderId="114" xfId="0" applyNumberFormat="1" applyFont="1" applyBorder="1" applyAlignment="1" applyProtection="1">
      <alignment horizontal="center" vertical="center" wrapText="1"/>
      <protection locked="0"/>
    </xf>
    <xf numFmtId="177" fontId="41" fillId="0" borderId="115" xfId="0" applyNumberFormat="1" applyFont="1" applyBorder="1" applyAlignment="1" applyProtection="1">
      <alignment horizontal="center" vertical="center" wrapText="1"/>
      <protection locked="0"/>
    </xf>
    <xf numFmtId="177" fontId="41" fillId="0" borderId="116" xfId="0" applyNumberFormat="1" applyFont="1" applyBorder="1" applyAlignment="1" applyProtection="1">
      <alignment horizontal="center" vertical="center" wrapText="1"/>
      <protection locked="0"/>
    </xf>
    <xf numFmtId="177" fontId="41" fillId="0" borderId="117" xfId="0" applyNumberFormat="1" applyFont="1" applyBorder="1" applyAlignment="1" applyProtection="1">
      <alignment horizontal="center" vertical="center" wrapText="1"/>
      <protection locked="0"/>
    </xf>
    <xf numFmtId="177" fontId="48" fillId="0" borderId="118" xfId="0" applyNumberFormat="1" applyFont="1" applyBorder="1" applyAlignment="1" applyProtection="1">
      <alignment horizontal="center" vertical="center" wrapText="1"/>
      <protection locked="0"/>
    </xf>
    <xf numFmtId="177" fontId="48" fillId="0" borderId="83" xfId="0" applyNumberFormat="1" applyFont="1" applyBorder="1" applyAlignment="1" applyProtection="1">
      <alignment horizontal="center" vertical="center" wrapText="1"/>
      <protection locked="0"/>
    </xf>
    <xf numFmtId="177" fontId="48" fillId="0" borderId="84" xfId="0" applyNumberFormat="1" applyFont="1" applyBorder="1" applyAlignment="1" applyProtection="1">
      <alignment horizontal="center" vertical="center" wrapText="1"/>
      <protection locked="0"/>
    </xf>
    <xf numFmtId="0" fontId="48" fillId="0" borderId="118" xfId="0" applyFont="1" applyBorder="1" applyAlignment="1">
      <alignment horizontal="center" vertical="center" wrapText="1"/>
    </xf>
    <xf numFmtId="0" fontId="48" fillId="0" borderId="83" xfId="0" applyFont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2" fontId="46" fillId="0" borderId="28" xfId="58" applyNumberFormat="1" applyFont="1" applyFill="1" applyBorder="1" applyAlignment="1">
      <alignment horizontal="center" vertical="center" wrapText="1"/>
      <protection/>
    </xf>
    <xf numFmtId="2" fontId="46" fillId="0" borderId="55" xfId="58" applyNumberFormat="1" applyFont="1" applyFill="1" applyBorder="1" applyAlignment="1">
      <alignment horizontal="center" vertical="center" wrapText="1"/>
      <protection/>
    </xf>
    <xf numFmtId="2" fontId="46" fillId="0" borderId="81" xfId="58" applyNumberFormat="1" applyFont="1" applyFill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41" fillId="25" borderId="45" xfId="58" applyFont="1" applyFill="1" applyBorder="1" applyAlignment="1">
      <alignment horizontal="center" vertical="center" wrapText="1"/>
      <protection/>
    </xf>
    <xf numFmtId="0" fontId="41" fillId="25" borderId="46" xfId="58" applyFont="1" applyFill="1" applyBorder="1" applyAlignment="1">
      <alignment horizontal="center" vertical="center" wrapText="1"/>
      <protection/>
    </xf>
    <xf numFmtId="0" fontId="41" fillId="25" borderId="47" xfId="58" applyFont="1" applyFill="1" applyBorder="1" applyAlignment="1">
      <alignment horizontal="center" vertical="center" wrapText="1"/>
      <protection/>
    </xf>
    <xf numFmtId="2" fontId="46" fillId="8" borderId="45" xfId="58" applyNumberFormat="1" applyFont="1" applyFill="1" applyBorder="1" applyAlignment="1">
      <alignment horizontal="center" vertical="center" wrapText="1"/>
      <protection/>
    </xf>
    <xf numFmtId="2" fontId="46" fillId="8" borderId="46" xfId="58" applyNumberFormat="1" applyFont="1" applyFill="1" applyBorder="1" applyAlignment="1">
      <alignment horizontal="center" vertical="center" wrapText="1"/>
      <protection/>
    </xf>
    <xf numFmtId="2" fontId="46" fillId="8" borderId="47" xfId="58" applyNumberFormat="1" applyFont="1" applyFill="1" applyBorder="1" applyAlignment="1">
      <alignment horizontal="center" vertical="center" wrapText="1"/>
      <protection/>
    </xf>
    <xf numFmtId="2" fontId="31" fillId="8" borderId="45" xfId="59" applyNumberFormat="1" applyFont="1" applyFill="1" applyBorder="1" applyAlignment="1">
      <alignment horizontal="center" vertical="center" wrapText="1"/>
      <protection/>
    </xf>
    <xf numFmtId="2" fontId="31" fillId="8" borderId="47" xfId="59" applyNumberFormat="1" applyFont="1" applyFill="1" applyBorder="1" applyAlignment="1">
      <alignment horizontal="center" vertical="center" wrapText="1"/>
      <protection/>
    </xf>
    <xf numFmtId="1" fontId="41" fillId="25" borderId="45" xfId="58" applyNumberFormat="1" applyFont="1" applyFill="1" applyBorder="1" applyAlignment="1">
      <alignment horizontal="center" vertical="center" wrapText="1"/>
      <protection/>
    </xf>
    <xf numFmtId="1" fontId="41" fillId="25" borderId="47" xfId="58" applyNumberFormat="1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41" fillId="0" borderId="12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41" fillId="0" borderId="57" xfId="55" applyFont="1" applyBorder="1" applyAlignment="1">
      <alignment horizontal="center" vertical="center" wrapText="1"/>
      <protection/>
    </xf>
    <xf numFmtId="0" fontId="41" fillId="0" borderId="19" xfId="55" applyFont="1" applyBorder="1" applyAlignment="1">
      <alignment horizontal="center" vertical="center" wrapText="1"/>
      <protection/>
    </xf>
    <xf numFmtId="0" fontId="41" fillId="0" borderId="50" xfId="55" applyFont="1" applyBorder="1" applyAlignment="1">
      <alignment horizontal="left" vertical="center" wrapText="1"/>
      <protection/>
    </xf>
    <xf numFmtId="0" fontId="41" fillId="0" borderId="51" xfId="55" applyFont="1" applyBorder="1" applyAlignment="1">
      <alignment horizontal="left" vertical="center" wrapText="1"/>
      <protection/>
    </xf>
    <xf numFmtId="0" fontId="42" fillId="0" borderId="65" xfId="55" applyFont="1" applyBorder="1" applyAlignment="1">
      <alignment horizontal="left" vertical="center" wrapText="1"/>
      <protection/>
    </xf>
    <xf numFmtId="0" fontId="42" fillId="0" borderId="11" xfId="55" applyFont="1" applyBorder="1" applyAlignment="1">
      <alignment horizontal="left" vertical="center" wrapText="1"/>
      <protection/>
    </xf>
    <xf numFmtId="0" fontId="42" fillId="0" borderId="64" xfId="55" applyFont="1" applyBorder="1" applyAlignment="1">
      <alignment horizontal="left" vertical="center" wrapText="1"/>
      <protection/>
    </xf>
    <xf numFmtId="0" fontId="42" fillId="0" borderId="48" xfId="55" applyFont="1" applyBorder="1" applyAlignment="1">
      <alignment horizontal="left" vertical="center" wrapText="1"/>
      <protection/>
    </xf>
    <xf numFmtId="0" fontId="42" fillId="0" borderId="0" xfId="55" applyFont="1" applyBorder="1" applyAlignment="1">
      <alignment vertical="center" wrapText="1"/>
      <protection/>
    </xf>
    <xf numFmtId="0" fontId="42" fillId="0" borderId="10" xfId="55" applyFont="1" applyBorder="1" applyAlignment="1">
      <alignment horizontal="left" vertical="center" wrapText="1"/>
      <protection/>
    </xf>
    <xf numFmtId="0" fontId="42" fillId="0" borderId="109" xfId="55" applyFont="1" applyBorder="1" applyAlignment="1">
      <alignment horizontal="left" vertical="center" wrapText="1"/>
      <protection/>
    </xf>
    <xf numFmtId="0" fontId="42" fillId="0" borderId="98" xfId="55" applyFont="1" applyFill="1" applyBorder="1" applyAlignment="1">
      <alignment horizontal="left" vertical="center" wrapText="1"/>
      <protection/>
    </xf>
    <xf numFmtId="0" fontId="42" fillId="0" borderId="56" xfId="55" applyFont="1" applyFill="1" applyBorder="1" applyAlignment="1">
      <alignment horizontal="left" vertical="center" wrapText="1"/>
      <protection/>
    </xf>
    <xf numFmtId="0" fontId="41" fillId="25" borderId="111" xfId="58" applyFont="1" applyFill="1" applyBorder="1" applyAlignment="1">
      <alignment horizontal="center" vertical="center" wrapText="1"/>
      <protection/>
    </xf>
    <xf numFmtId="0" fontId="41" fillId="25" borderId="112" xfId="58" applyFont="1" applyFill="1" applyBorder="1" applyAlignment="1">
      <alignment horizontal="center" vertical="center" wrapText="1"/>
      <protection/>
    </xf>
    <xf numFmtId="0" fontId="41" fillId="25" borderId="76" xfId="58" applyFont="1" applyFill="1" applyBorder="1" applyAlignment="1">
      <alignment horizontal="center" vertical="center" wrapText="1"/>
      <protection/>
    </xf>
    <xf numFmtId="2" fontId="46" fillId="0" borderId="23" xfId="58" applyNumberFormat="1" applyFont="1" applyFill="1" applyBorder="1" applyAlignment="1">
      <alignment horizontal="center" vertical="center"/>
      <protection/>
    </xf>
    <xf numFmtId="0" fontId="42" fillId="0" borderId="100" xfId="0" applyFont="1" applyBorder="1" applyAlignment="1">
      <alignment vertical="center"/>
    </xf>
    <xf numFmtId="0" fontId="42" fillId="0" borderId="121" xfId="0" applyFont="1" applyBorder="1" applyAlignment="1">
      <alignment vertical="center"/>
    </xf>
    <xf numFmtId="2" fontId="46" fillId="8" borderId="10" xfId="58" applyNumberFormat="1" applyFont="1" applyFill="1" applyBorder="1" applyAlignment="1">
      <alignment horizontal="center" vertical="center"/>
      <protection/>
    </xf>
    <xf numFmtId="2" fontId="46" fillId="8" borderId="109" xfId="58" applyNumberFormat="1" applyFont="1" applyFill="1" applyBorder="1" applyAlignment="1">
      <alignment horizontal="center" vertical="center"/>
      <protection/>
    </xf>
    <xf numFmtId="2" fontId="46" fillId="8" borderId="66" xfId="58" applyNumberFormat="1" applyFont="1" applyFill="1" applyBorder="1" applyAlignment="1">
      <alignment horizontal="center" vertical="center"/>
      <protection/>
    </xf>
    <xf numFmtId="3" fontId="42" fillId="0" borderId="65" xfId="55" applyNumberFormat="1" applyFont="1" applyBorder="1" applyAlignment="1">
      <alignment horizontal="left" vertical="center" wrapText="1"/>
      <protection/>
    </xf>
    <xf numFmtId="3" fontId="42" fillId="0" borderId="59" xfId="55" applyNumberFormat="1" applyFont="1" applyBorder="1" applyAlignment="1">
      <alignment horizontal="left" vertical="center" wrapText="1"/>
      <protection/>
    </xf>
    <xf numFmtId="0" fontId="42" fillId="0" borderId="17" xfId="55" applyFont="1" applyBorder="1" applyAlignment="1">
      <alignment horizontal="left" vertical="center" wrapText="1"/>
      <protection/>
    </xf>
    <xf numFmtId="0" fontId="74" fillId="0" borderId="0" xfId="55" applyFont="1" applyAlignment="1">
      <alignment horizontal="justify" vertical="center" wrapText="1"/>
      <protection/>
    </xf>
    <xf numFmtId="0" fontId="42" fillId="0" borderId="98" xfId="55" applyFont="1" applyBorder="1" applyAlignment="1">
      <alignment horizontal="left" vertical="center" wrapText="1"/>
      <protection/>
    </xf>
    <xf numFmtId="0" fontId="42" fillId="0" borderId="56" xfId="55" applyFont="1" applyBorder="1" applyAlignment="1">
      <alignment horizontal="left" vertical="center" wrapText="1"/>
      <protection/>
    </xf>
    <xf numFmtId="1" fontId="46" fillId="8" borderId="74" xfId="59" applyNumberFormat="1" applyFont="1" applyFill="1" applyBorder="1" applyAlignment="1" applyProtection="1">
      <alignment horizontal="center" vertical="center"/>
      <protection/>
    </xf>
    <xf numFmtId="1" fontId="46" fillId="8" borderId="13" xfId="59" applyNumberFormat="1" applyFont="1" applyFill="1" applyBorder="1" applyAlignment="1" applyProtection="1">
      <alignment horizontal="center" vertical="center"/>
      <protection/>
    </xf>
    <xf numFmtId="2" fontId="46" fillId="8" borderId="63" xfId="59" applyNumberFormat="1" applyFont="1" applyFill="1" applyBorder="1" applyAlignment="1" applyProtection="1">
      <alignment horizontal="center" vertical="center" wrapText="1"/>
      <protection/>
    </xf>
    <xf numFmtId="2" fontId="46" fillId="8" borderId="68" xfId="59" applyNumberFormat="1" applyFont="1" applyFill="1" applyBorder="1" applyAlignment="1" applyProtection="1">
      <alignment horizontal="center" vertical="center" wrapText="1"/>
      <protection/>
    </xf>
    <xf numFmtId="2" fontId="46" fillId="8" borderId="101" xfId="59" applyNumberFormat="1" applyFont="1" applyFill="1" applyBorder="1" applyAlignment="1" applyProtection="1">
      <alignment horizontal="center" vertical="center" wrapText="1"/>
      <protection/>
    </xf>
    <xf numFmtId="2" fontId="46" fillId="8" borderId="16" xfId="59" applyNumberFormat="1" applyFont="1" applyFill="1" applyBorder="1" applyAlignment="1" applyProtection="1">
      <alignment horizontal="center" vertical="center"/>
      <protection/>
    </xf>
    <xf numFmtId="2" fontId="46" fillId="8" borderId="68" xfId="59" applyNumberFormat="1" applyFont="1" applyFill="1" applyBorder="1" applyAlignment="1" applyProtection="1">
      <alignment horizontal="center" vertical="center"/>
      <protection/>
    </xf>
    <xf numFmtId="0" fontId="41" fillId="25" borderId="111" xfId="59" applyFont="1" applyFill="1" applyBorder="1" applyAlignment="1" applyProtection="1">
      <alignment horizontal="center" vertical="center" wrapText="1"/>
      <protection/>
    </xf>
    <xf numFmtId="0" fontId="41" fillId="25" borderId="112" xfId="59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quotePrefix="1">
      <alignment horizontal="left" vertical="center"/>
    </xf>
    <xf numFmtId="0" fontId="41" fillId="0" borderId="15" xfId="63" applyFont="1" applyFill="1" applyBorder="1" applyAlignment="1" applyProtection="1">
      <alignment horizontal="center" vertical="center"/>
      <protection/>
    </xf>
    <xf numFmtId="0" fontId="41" fillId="0" borderId="0" xfId="63" applyFont="1" applyFill="1" applyBorder="1" applyAlignment="1" applyProtection="1">
      <alignment horizontal="center" vertical="center"/>
      <protection/>
    </xf>
    <xf numFmtId="0" fontId="41" fillId="0" borderId="22" xfId="63" applyFont="1" applyFill="1" applyBorder="1" applyAlignment="1" applyProtection="1">
      <alignment horizontal="center" vertical="center"/>
      <protection/>
    </xf>
    <xf numFmtId="0" fontId="42" fillId="0" borderId="0" xfId="0" applyFont="1" applyAlignment="1" quotePrefix="1">
      <alignment horizontal="left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111" xfId="0" applyFont="1" applyFill="1" applyBorder="1" applyAlignment="1">
      <alignment horizontal="center" vertical="center" wrapText="1"/>
    </xf>
    <xf numFmtId="0" fontId="41" fillId="0" borderId="113" xfId="0" applyFont="1" applyFill="1" applyBorder="1" applyAlignment="1">
      <alignment horizontal="center" vertical="center" wrapText="1"/>
    </xf>
    <xf numFmtId="0" fontId="41" fillId="0" borderId="112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2" fontId="41" fillId="8" borderId="57" xfId="0" applyNumberFormat="1" applyFont="1" applyFill="1" applyBorder="1" applyAlignment="1">
      <alignment horizontal="left" vertical="center"/>
    </xf>
    <xf numFmtId="0" fontId="41" fillId="8" borderId="19" xfId="0" applyFont="1" applyFill="1" applyBorder="1" applyAlignment="1">
      <alignment horizontal="left" vertical="center"/>
    </xf>
    <xf numFmtId="0" fontId="41" fillId="8" borderId="63" xfId="0" applyFont="1" applyFill="1" applyBorder="1" applyAlignment="1">
      <alignment horizontal="left" vertical="center"/>
    </xf>
    <xf numFmtId="0" fontId="41" fillId="8" borderId="15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41" fillId="8" borderId="57" xfId="0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center" vertical="center" wrapText="1"/>
    </xf>
    <xf numFmtId="0" fontId="41" fillId="8" borderId="73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/>
    </xf>
    <xf numFmtId="0" fontId="41" fillId="8" borderId="59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98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2" fontId="46" fillId="8" borderId="45" xfId="59" applyNumberFormat="1" applyFont="1" applyFill="1" applyBorder="1" applyAlignment="1">
      <alignment horizontal="center" vertical="center"/>
      <protection/>
    </xf>
    <xf numFmtId="2" fontId="46" fillId="8" borderId="47" xfId="59" applyNumberFormat="1" applyFont="1" applyFill="1" applyBorder="1" applyAlignment="1">
      <alignment horizontal="center" vertical="center"/>
      <protection/>
    </xf>
    <xf numFmtId="4" fontId="42" fillId="0" borderId="10" xfId="64" applyNumberFormat="1" applyFont="1" applyBorder="1" applyAlignment="1">
      <alignment horizontal="center" vertical="center"/>
      <protection/>
    </xf>
    <xf numFmtId="4" fontId="42" fillId="0" borderId="109" xfId="64" applyNumberFormat="1" applyFont="1" applyBorder="1" applyAlignment="1">
      <alignment horizontal="center" vertical="center"/>
      <protection/>
    </xf>
    <xf numFmtId="4" fontId="42" fillId="0" borderId="66" xfId="64" applyNumberFormat="1" applyFont="1" applyBorder="1" applyAlignment="1">
      <alignment horizontal="center" vertical="center"/>
      <protection/>
    </xf>
    <xf numFmtId="0" fontId="41" fillId="25" borderId="45" xfId="59" applyFont="1" applyFill="1" applyBorder="1" applyAlignment="1">
      <alignment horizontal="center" vertical="center" wrapText="1"/>
      <protection/>
    </xf>
    <xf numFmtId="0" fontId="41" fillId="25" borderId="46" xfId="59" applyFont="1" applyFill="1" applyBorder="1" applyAlignment="1">
      <alignment horizontal="center" vertical="center" wrapText="1"/>
      <protection/>
    </xf>
    <xf numFmtId="0" fontId="41" fillId="25" borderId="47" xfId="59" applyFont="1" applyFill="1" applyBorder="1" applyAlignment="1">
      <alignment horizontal="center" vertical="center" wrapText="1"/>
      <protection/>
    </xf>
    <xf numFmtId="0" fontId="42" fillId="0" borderId="18" xfId="64" applyNumberFormat="1" applyFont="1" applyBorder="1" applyAlignment="1" applyProtection="1">
      <alignment horizontal="center" vertical="center"/>
      <protection locked="0"/>
    </xf>
    <xf numFmtId="0" fontId="42" fillId="0" borderId="109" xfId="64" applyNumberFormat="1" applyFont="1" applyBorder="1" applyAlignment="1" applyProtection="1">
      <alignment horizontal="center" vertical="center"/>
      <protection locked="0"/>
    </xf>
    <xf numFmtId="4" fontId="42" fillId="0" borderId="17" xfId="64" applyNumberFormat="1" applyFont="1" applyFill="1" applyBorder="1" applyAlignment="1">
      <alignment horizontal="center" vertical="center" wrapText="1"/>
      <protection/>
    </xf>
    <xf numFmtId="0" fontId="42" fillId="0" borderId="66" xfId="64" applyNumberFormat="1" applyFont="1" applyBorder="1" applyAlignment="1" applyProtection="1">
      <alignment horizontal="center" vertical="center"/>
      <protection locked="0"/>
    </xf>
    <xf numFmtId="1" fontId="46" fillId="8" borderId="45" xfId="59" applyNumberFormat="1" applyFont="1" applyFill="1" applyBorder="1" applyAlignment="1">
      <alignment horizontal="center" vertical="center"/>
      <protection/>
    </xf>
    <xf numFmtId="1" fontId="46" fillId="8" borderId="47" xfId="59" applyNumberFormat="1" applyFont="1" applyFill="1" applyBorder="1" applyAlignment="1">
      <alignment horizontal="center" vertical="center"/>
      <protection/>
    </xf>
    <xf numFmtId="0" fontId="43" fillId="0" borderId="28" xfId="64" applyFont="1" applyFill="1" applyBorder="1" applyAlignment="1">
      <alignment horizontal="center" vertical="center" wrapText="1"/>
      <protection/>
    </xf>
    <xf numFmtId="0" fontId="43" fillId="0" borderId="55" xfId="64" applyFont="1" applyFill="1" applyBorder="1" applyAlignment="1">
      <alignment horizontal="center" vertical="center" wrapText="1"/>
      <protection/>
    </xf>
    <xf numFmtId="0" fontId="43" fillId="0" borderId="81" xfId="64" applyFont="1" applyFill="1" applyBorder="1" applyAlignment="1">
      <alignment horizontal="center" vertical="center" wrapText="1"/>
      <protection/>
    </xf>
    <xf numFmtId="0" fontId="41" fillId="0" borderId="17" xfId="64" applyFont="1" applyFill="1" applyBorder="1" applyAlignment="1">
      <alignment horizontal="center" vertical="center" wrapText="1"/>
      <protection/>
    </xf>
    <xf numFmtId="0" fontId="41" fillId="0" borderId="18" xfId="64" applyFont="1" applyFill="1" applyBorder="1" applyAlignment="1">
      <alignment horizontal="center" vertical="center" wrapText="1"/>
      <protection/>
    </xf>
    <xf numFmtId="0" fontId="41" fillId="0" borderId="60" xfId="64" applyFont="1" applyFill="1" applyBorder="1" applyAlignment="1">
      <alignment horizontal="center" vertical="center" wrapText="1"/>
      <protection/>
    </xf>
    <xf numFmtId="0" fontId="41" fillId="0" borderId="66" xfId="64" applyFont="1" applyFill="1" applyBorder="1" applyAlignment="1">
      <alignment horizontal="center" vertical="center" wrapText="1"/>
      <protection/>
    </xf>
    <xf numFmtId="2" fontId="46" fillId="8" borderId="46" xfId="59" applyNumberFormat="1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 wrapText="1"/>
      <protection/>
    </xf>
    <xf numFmtId="0" fontId="41" fillId="0" borderId="109" xfId="64" applyFont="1" applyFill="1" applyBorder="1" applyAlignment="1">
      <alignment horizontal="center" vertical="center" wrapText="1"/>
      <protection/>
    </xf>
    <xf numFmtId="0" fontId="42" fillId="0" borderId="60" xfId="64" applyNumberFormat="1" applyFont="1" applyBorder="1" applyAlignment="1" applyProtection="1">
      <alignment horizontal="center" vertical="center"/>
      <protection locked="0"/>
    </xf>
    <xf numFmtId="4" fontId="42" fillId="0" borderId="18" xfId="64" applyNumberFormat="1" applyFont="1" applyFill="1" applyBorder="1" applyAlignment="1">
      <alignment horizontal="center" vertical="center" wrapText="1"/>
      <protection/>
    </xf>
    <xf numFmtId="4" fontId="42" fillId="0" borderId="109" xfId="64" applyNumberFormat="1" applyFont="1" applyFill="1" applyBorder="1" applyAlignment="1">
      <alignment horizontal="center" vertical="center" wrapText="1"/>
      <protection/>
    </xf>
    <xf numFmtId="4" fontId="42" fillId="0" borderId="66" xfId="64" applyNumberFormat="1" applyFont="1" applyFill="1" applyBorder="1" applyAlignment="1">
      <alignment horizontal="center" vertical="center" wrapText="1"/>
      <protection/>
    </xf>
    <xf numFmtId="0" fontId="41" fillId="0" borderId="48" xfId="64" applyFont="1" applyFill="1" applyBorder="1" applyAlignment="1">
      <alignment horizontal="center" vertical="center" wrapText="1"/>
      <protection/>
    </xf>
    <xf numFmtId="0" fontId="41" fillId="0" borderId="11" xfId="64" applyFont="1" applyFill="1" applyBorder="1" applyAlignment="1">
      <alignment horizontal="center" vertical="center" wrapText="1"/>
      <protection/>
    </xf>
    <xf numFmtId="0" fontId="43" fillId="0" borderId="59" xfId="64" applyFont="1" applyFill="1" applyBorder="1" applyAlignment="1">
      <alignment horizontal="center" vertical="center" wrapText="1"/>
      <protection/>
    </xf>
    <xf numFmtId="0" fontId="43" fillId="0" borderId="17" xfId="64" applyFont="1" applyFill="1" applyBorder="1" applyAlignment="1">
      <alignment horizontal="center" vertical="center" wrapText="1"/>
      <protection/>
    </xf>
    <xf numFmtId="0" fontId="43" fillId="0" borderId="12" xfId="64" applyFont="1" applyFill="1" applyBorder="1" applyAlignment="1">
      <alignment horizontal="center" vertical="center" wrapText="1"/>
      <protection/>
    </xf>
    <xf numFmtId="0" fontId="41" fillId="0" borderId="59" xfId="64" applyFont="1" applyFill="1" applyBorder="1" applyAlignment="1">
      <alignment horizontal="center" vertical="center" wrapText="1"/>
      <protection/>
    </xf>
    <xf numFmtId="0" fontId="41" fillId="0" borderId="62" xfId="64" applyFont="1" applyFill="1" applyBorder="1" applyAlignment="1">
      <alignment horizontal="center" vertical="center" wrapText="1"/>
      <protection/>
    </xf>
    <xf numFmtId="0" fontId="41" fillId="0" borderId="24" xfId="64" applyFont="1" applyFill="1" applyBorder="1" applyAlignment="1">
      <alignment horizontal="center" vertical="center" wrapText="1"/>
      <protection/>
    </xf>
    <xf numFmtId="0" fontId="41" fillId="0" borderId="122" xfId="64" applyFont="1" applyFill="1" applyBorder="1" applyAlignment="1">
      <alignment horizontal="center" vertical="center" wrapText="1"/>
      <protection/>
    </xf>
    <xf numFmtId="0" fontId="41" fillId="0" borderId="29" xfId="64" applyFont="1" applyFill="1" applyBorder="1" applyAlignment="1">
      <alignment horizontal="center" vertical="center" wrapText="1"/>
      <protection/>
    </xf>
    <xf numFmtId="0" fontId="42" fillId="0" borderId="45" xfId="64" applyNumberFormat="1" applyFont="1" applyBorder="1" applyAlignment="1" applyProtection="1">
      <alignment horizontal="center" vertical="center"/>
      <protection locked="0"/>
    </xf>
    <xf numFmtId="0" fontId="42" fillId="0" borderId="47" xfId="64" applyNumberFormat="1" applyFont="1" applyBorder="1" applyAlignment="1" applyProtection="1">
      <alignment horizontal="center" vertical="center"/>
      <protection locked="0"/>
    </xf>
    <xf numFmtId="0" fontId="42" fillId="0" borderId="18" xfId="64" applyNumberFormat="1" applyFont="1" applyFill="1" applyBorder="1" applyAlignment="1">
      <alignment horizontal="center" vertical="center" wrapText="1"/>
      <protection/>
    </xf>
    <xf numFmtId="0" fontId="42" fillId="0" borderId="66" xfId="64" applyNumberFormat="1" applyFont="1" applyFill="1" applyBorder="1" applyAlignment="1">
      <alignment horizontal="center" vertical="center" wrapText="1"/>
      <protection/>
    </xf>
    <xf numFmtId="0" fontId="42" fillId="0" borderId="62" xfId="64" applyNumberFormat="1" applyFont="1" applyFill="1" applyBorder="1" applyAlignment="1">
      <alignment horizontal="center" vertical="center" wrapText="1"/>
      <protection/>
    </xf>
    <xf numFmtId="0" fontId="42" fillId="0" borderId="24" xfId="64" applyNumberFormat="1" applyFont="1" applyFill="1" applyBorder="1" applyAlignment="1">
      <alignment horizontal="center" vertical="center" wrapText="1"/>
      <protection/>
    </xf>
    <xf numFmtId="0" fontId="41" fillId="0" borderId="12" xfId="64" applyFont="1" applyFill="1" applyBorder="1" applyAlignment="1">
      <alignment horizontal="center" vertical="center" wrapText="1"/>
      <protection/>
    </xf>
    <xf numFmtId="0" fontId="7" fillId="25" borderId="111" xfId="59" applyFont="1" applyFill="1" applyBorder="1" applyAlignment="1">
      <alignment horizontal="center" vertical="center" wrapText="1"/>
      <protection/>
    </xf>
    <xf numFmtId="0" fontId="7" fillId="25" borderId="112" xfId="59" applyFont="1" applyFill="1" applyBorder="1" applyAlignment="1">
      <alignment horizontal="center" vertical="center" wrapText="1"/>
      <protection/>
    </xf>
    <xf numFmtId="0" fontId="7" fillId="25" borderId="76" xfId="59" applyFont="1" applyFill="1" applyBorder="1" applyAlignment="1">
      <alignment horizontal="center" vertical="center" wrapText="1"/>
      <protection/>
    </xf>
    <xf numFmtId="2" fontId="8" fillId="8" borderId="23" xfId="59" applyNumberFormat="1" applyFont="1" applyFill="1" applyBorder="1" applyAlignment="1">
      <alignment horizontal="left" vertical="center" wrapText="1"/>
      <protection/>
    </xf>
    <xf numFmtId="2" fontId="8" fillId="8" borderId="100" xfId="59" applyNumberFormat="1" applyFont="1" applyFill="1" applyBorder="1" applyAlignment="1">
      <alignment horizontal="left" vertical="center" wrapText="1"/>
      <protection/>
    </xf>
    <xf numFmtId="2" fontId="8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77" xfId="56" applyFont="1" applyBorder="1" applyAlignment="1">
      <alignment horizontal="center"/>
      <protection/>
    </xf>
    <xf numFmtId="0" fontId="41" fillId="0" borderId="65" xfId="64" applyFont="1" applyFill="1" applyBorder="1" applyAlignment="1">
      <alignment horizontal="center" vertical="center" wrapText="1"/>
      <protection/>
    </xf>
    <xf numFmtId="0" fontId="41" fillId="0" borderId="14" xfId="64" applyFont="1" applyFill="1" applyBorder="1" applyAlignment="1">
      <alignment horizontal="center" vertical="center" wrapText="1"/>
      <protection/>
    </xf>
    <xf numFmtId="0" fontId="41" fillId="0" borderId="64" xfId="64" applyFont="1" applyFill="1" applyBorder="1" applyAlignment="1">
      <alignment horizontal="center" vertical="center" wrapText="1"/>
      <protection/>
    </xf>
    <xf numFmtId="0" fontId="42" fillId="0" borderId="23" xfId="0" applyFont="1" applyBorder="1" applyAlignment="1">
      <alignment vertical="center" wrapText="1"/>
    </xf>
    <xf numFmtId="0" fontId="42" fillId="0" borderId="100" xfId="0" applyFont="1" applyBorder="1" applyAlignment="1">
      <alignment vertical="center" wrapText="1"/>
    </xf>
    <xf numFmtId="0" fontId="42" fillId="0" borderId="12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55" xfId="0" applyFont="1" applyBorder="1" applyAlignment="1">
      <alignment vertical="center" wrapText="1"/>
    </xf>
    <xf numFmtId="0" fontId="42" fillId="0" borderId="81" xfId="0" applyFont="1" applyBorder="1" applyAlignment="1">
      <alignment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41" fillId="0" borderId="46" xfId="0" applyFont="1" applyBorder="1" applyAlignment="1">
      <alignment horizontal="left" vertical="center" wrapText="1"/>
    </xf>
    <xf numFmtId="0" fontId="41" fillId="0" borderId="47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68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9" xfId="0" applyFont="1" applyBorder="1" applyAlignment="1">
      <alignment horizontal="left" vertical="center"/>
    </xf>
    <xf numFmtId="0" fontId="42" fillId="0" borderId="66" xfId="0" applyFont="1" applyBorder="1" applyAlignment="1">
      <alignment horizontal="left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31" fillId="8" borderId="123" xfId="0" applyFont="1" applyFill="1" applyBorder="1" applyAlignment="1">
      <alignment horizontal="center" vertical="center"/>
    </xf>
    <xf numFmtId="0" fontId="31" fillId="8" borderId="69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1" fillId="8" borderId="54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2" fontId="31" fillId="8" borderId="45" xfId="0" applyNumberFormat="1" applyFont="1" applyFill="1" applyBorder="1" applyAlignment="1">
      <alignment horizontal="left" vertical="center"/>
    </xf>
    <xf numFmtId="0" fontId="31" fillId="8" borderId="46" xfId="0" applyFont="1" applyFill="1" applyBorder="1" applyAlignment="1">
      <alignment horizontal="left" vertical="center"/>
    </xf>
    <xf numFmtId="0" fontId="31" fillId="8" borderId="47" xfId="0" applyFont="1" applyFill="1" applyBorder="1" applyAlignment="1">
      <alignment horizontal="left" vertical="center"/>
    </xf>
    <xf numFmtId="2" fontId="46" fillId="0" borderId="45" xfId="58" applyNumberFormat="1" applyFont="1" applyFill="1" applyBorder="1" applyAlignment="1">
      <alignment horizontal="center" vertical="center"/>
      <protection/>
    </xf>
    <xf numFmtId="2" fontId="46" fillId="0" borderId="46" xfId="58" applyNumberFormat="1" applyFont="1" applyFill="1" applyBorder="1" applyAlignment="1">
      <alignment horizontal="center" vertical="center"/>
      <protection/>
    </xf>
    <xf numFmtId="2" fontId="46" fillId="0" borderId="47" xfId="58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horizontal="left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0" fontId="41" fillId="0" borderId="122" xfId="0" applyFont="1" applyFill="1" applyBorder="1" applyAlignment="1" applyProtection="1">
      <alignment horizontal="center" vertical="center"/>
      <protection locked="0"/>
    </xf>
    <xf numFmtId="0" fontId="41" fillId="0" borderId="81" xfId="0" applyFont="1" applyFill="1" applyBorder="1" applyAlignment="1" applyProtection="1">
      <alignment horizontal="center" vertical="center"/>
      <protection locked="0"/>
    </xf>
    <xf numFmtId="2" fontId="46" fillId="8" borderId="10" xfId="58" applyNumberFormat="1" applyFont="1" applyFill="1" applyBorder="1" applyAlignment="1">
      <alignment horizontal="center" vertical="center" wrapText="1"/>
      <protection/>
    </xf>
    <xf numFmtId="0" fontId="42" fillId="0" borderId="109" xfId="0" applyFont="1" applyBorder="1" applyAlignment="1">
      <alignment/>
    </xf>
    <xf numFmtId="0" fontId="42" fillId="0" borderId="66" xfId="0" applyFont="1" applyBorder="1" applyAlignment="1">
      <alignment/>
    </xf>
    <xf numFmtId="2" fontId="46" fillId="0" borderId="10" xfId="58" applyNumberFormat="1" applyFont="1" applyFill="1" applyBorder="1" applyAlignment="1">
      <alignment horizontal="center" vertical="center"/>
      <protection/>
    </xf>
    <xf numFmtId="2" fontId="46" fillId="0" borderId="109" xfId="58" applyNumberFormat="1" applyFont="1" applyFill="1" applyBorder="1" applyAlignment="1">
      <alignment horizontal="center" vertical="center"/>
      <protection/>
    </xf>
    <xf numFmtId="2" fontId="46" fillId="0" borderId="60" xfId="58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66" xfId="0" applyFont="1" applyFill="1" applyBorder="1" applyAlignment="1" applyProtection="1">
      <alignment horizontal="center" vertical="center"/>
      <protection locked="0"/>
    </xf>
    <xf numFmtId="0" fontId="41" fillId="0" borderId="18" xfId="0" applyFont="1" applyFill="1" applyBorder="1" applyAlignment="1" applyProtection="1">
      <alignment horizontal="center" vertical="center"/>
      <protection locked="0"/>
    </xf>
    <xf numFmtId="0" fontId="41" fillId="0" borderId="60" xfId="0" applyFont="1" applyFill="1" applyBorder="1" applyAlignment="1" applyProtection="1">
      <alignment horizontal="center" vertical="center"/>
      <protection locked="0"/>
    </xf>
    <xf numFmtId="2" fontId="46" fillId="8" borderId="109" xfId="58" applyNumberFormat="1" applyFont="1" applyFill="1" applyBorder="1" applyAlignment="1">
      <alignment horizontal="center" vertical="center" wrapText="1"/>
      <protection/>
    </xf>
    <xf numFmtId="2" fontId="46" fillId="8" borderId="66" xfId="58" applyNumberFormat="1" applyFont="1" applyFill="1" applyBorder="1" applyAlignment="1">
      <alignment horizontal="center" vertical="center" wrapText="1"/>
      <protection/>
    </xf>
    <xf numFmtId="0" fontId="42" fillId="0" borderId="109" xfId="0" applyFont="1" applyBorder="1" applyAlignment="1">
      <alignment vertical="center"/>
    </xf>
    <xf numFmtId="0" fontId="42" fillId="0" borderId="60" xfId="0" applyFont="1" applyBorder="1" applyAlignment="1">
      <alignment vertical="center"/>
    </xf>
    <xf numFmtId="0" fontId="0" fillId="0" borderId="18" xfId="0" applyBorder="1" applyAlignment="1" quotePrefix="1">
      <alignment horizontal="left" vertical="top"/>
    </xf>
    <xf numFmtId="0" fontId="0" fillId="0" borderId="109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177" fontId="42" fillId="8" borderId="104" xfId="0" applyNumberFormat="1" applyFont="1" applyFill="1" applyBorder="1" applyAlignment="1">
      <alignment horizontal="center" vertical="center"/>
    </xf>
    <xf numFmtId="177" fontId="41" fillId="8" borderId="13" xfId="62" applyNumberFormat="1" applyFont="1" applyFill="1" applyBorder="1" applyAlignment="1" applyProtection="1">
      <alignment horizontal="center" vertical="center" wrapText="1"/>
      <protection/>
    </xf>
    <xf numFmtId="177" fontId="42" fillId="8" borderId="20" xfId="62" applyNumberFormat="1" applyFont="1" applyFill="1" applyBorder="1" applyAlignment="1">
      <alignment horizontal="center" vertical="center" wrapText="1"/>
      <protection/>
    </xf>
    <xf numFmtId="3" fontId="41" fillId="8" borderId="54" xfId="0" applyNumberFormat="1" applyFont="1" applyFill="1" applyBorder="1" applyAlignment="1" applyProtection="1">
      <alignment horizontal="center" vertical="center"/>
      <protection/>
    </xf>
    <xf numFmtId="3" fontId="41" fillId="8" borderId="42" xfId="0" applyNumberFormat="1" applyFont="1" applyFill="1" applyBorder="1" applyAlignment="1" applyProtection="1">
      <alignment horizontal="center" vertical="center"/>
      <protection/>
    </xf>
    <xf numFmtId="3" fontId="41" fillId="8" borderId="15" xfId="0" applyNumberFormat="1" applyFont="1" applyFill="1" applyBorder="1" applyAlignment="1" applyProtection="1">
      <alignment horizontal="center" vertical="center"/>
      <protection/>
    </xf>
    <xf numFmtId="3" fontId="41" fillId="8" borderId="26" xfId="0" applyNumberFormat="1" applyFont="1" applyFill="1" applyBorder="1" applyAlignment="1" applyProtection="1">
      <alignment horizontal="center" vertical="center"/>
      <protection/>
    </xf>
    <xf numFmtId="177" fontId="41" fillId="8" borderId="124" xfId="0" applyNumberFormat="1" applyFont="1" applyFill="1" applyBorder="1" applyAlignment="1" applyProtection="1">
      <alignment horizontal="center" vertical="center"/>
      <protection/>
    </xf>
    <xf numFmtId="177" fontId="42" fillId="8" borderId="125" xfId="0" applyNumberFormat="1" applyFont="1" applyFill="1" applyBorder="1" applyAlignment="1">
      <alignment horizontal="center" vertical="center"/>
    </xf>
    <xf numFmtId="177" fontId="41" fillId="8" borderId="82" xfId="62" applyNumberFormat="1" applyFont="1" applyFill="1" applyBorder="1" applyAlignment="1" applyProtection="1">
      <alignment horizontal="center" vertical="center" wrapText="1"/>
      <protection/>
    </xf>
    <xf numFmtId="177" fontId="42" fillId="8" borderId="70" xfId="62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Modelos PIAF 2014 (flujo+inversiones+deuda)" xfId="60"/>
    <cellStyle name="Normal_AGBOD-94_PLANTILLAS EPEL+INTEGRA+MAYORITARIA" xfId="61"/>
    <cellStyle name="Normal_CONSOLIDADO-2002" xfId="62"/>
    <cellStyle name="Normal_CS-96" xfId="63"/>
    <cellStyle name="Normal_CS-96_PAIF EMPRESAS PARA ENVIAR" xfId="64"/>
    <cellStyle name="Normal_PF1-INV" xfId="65"/>
    <cellStyle name="Normal_PF1-INV_1. CASINO TAORO PAIF 2009" xfId="66"/>
    <cellStyle name="Normal_PYG96" xfId="67"/>
    <cellStyle name="Normal_PYG96_Modelos PIAF 2014 (flujo+inversiones+deuda)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Währung" xfId="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714375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742950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676275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666750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104775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771525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90868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209550</xdr:colOff>
      <xdr:row>53</xdr:row>
      <xdr:rowOff>228600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209550</xdr:colOff>
      <xdr:row>53</xdr:row>
      <xdr:rowOff>228600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209550</xdr:colOff>
      <xdr:row>54</xdr:row>
      <xdr:rowOff>228600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583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209550</xdr:colOff>
      <xdr:row>54</xdr:row>
      <xdr:rowOff>228600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971550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704850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CD%20PRESUPUESTO\2016\PEPO\Gastos%20corrientes%20e%20Inversi&#243;n%20(17-11-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corrientes e Inversión ("/>
      <sheetName val="C.20.11"/>
      <sheetName val="K.20.11"/>
      <sheetName val="C.23.11"/>
      <sheetName val="K.23.11"/>
      <sheetName val="C.K.24.11"/>
      <sheetName val="C.K.25.11"/>
      <sheetName val="C.K.26.11"/>
      <sheetName val="Hoja1"/>
      <sheetName val="C.K.28.11"/>
      <sheetName val="Hoja3"/>
      <sheetName val="Hoja4"/>
      <sheetName val="Hoja5"/>
    </sheetNames>
    <sheetDataSet>
      <sheetData sheetId="7">
        <row r="1411">
          <cell r="H1411">
            <v>448636.16</v>
          </cell>
        </row>
        <row r="1412">
          <cell r="H1412">
            <v>9324.32</v>
          </cell>
        </row>
        <row r="1413">
          <cell r="H1413">
            <v>79704.38</v>
          </cell>
        </row>
        <row r="1414">
          <cell r="H1414">
            <v>30610.72</v>
          </cell>
        </row>
        <row r="1416">
          <cell r="H1416">
            <v>95543.31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685</v>
      </c>
      <c r="C1" s="15"/>
    </row>
    <row r="2" spans="1:3" s="4" customFormat="1" ht="12.75">
      <c r="A2" s="4" t="s">
        <v>684</v>
      </c>
      <c r="C2" s="15"/>
    </row>
    <row r="3" ht="12.75"/>
    <row r="4" ht="12.75"/>
    <row r="5" spans="1:4" ht="12.75">
      <c r="A5" s="935" t="e">
        <f>CPYG!#REF!</f>
        <v>#REF!</v>
      </c>
      <c r="B5" s="935"/>
      <c r="C5" s="935"/>
      <c r="D5" s="935"/>
    </row>
    <row r="6" ht="12.75"/>
    <row r="7" ht="13.5" thickBot="1"/>
    <row r="8" spans="1:3" ht="12.75">
      <c r="A8" s="936" t="s">
        <v>647</v>
      </c>
      <c r="B8" s="934"/>
      <c r="C8" s="928" t="s">
        <v>648</v>
      </c>
    </row>
    <row r="9" spans="1:3" ht="12.75">
      <c r="A9" s="933"/>
      <c r="B9" s="930"/>
      <c r="C9" s="929"/>
    </row>
    <row r="10" spans="1:3" ht="12.75">
      <c r="A10" s="933"/>
      <c r="B10" s="930"/>
      <c r="C10" s="929"/>
    </row>
    <row r="11" spans="1:3" ht="12.75">
      <c r="A11" s="931"/>
      <c r="B11" s="932"/>
      <c r="C11" s="923"/>
    </row>
    <row r="12" spans="1:3" ht="12.75">
      <c r="A12" s="50"/>
      <c r="B12" s="51"/>
      <c r="C12" s="52"/>
    </row>
    <row r="13" spans="1:3" ht="12.75">
      <c r="A13" s="53" t="s">
        <v>649</v>
      </c>
      <c r="B13" s="54" t="s">
        <v>736</v>
      </c>
      <c r="C13" s="55">
        <v>0</v>
      </c>
    </row>
    <row r="14" spans="1:10" ht="12.75" customHeight="1">
      <c r="A14" s="53" t="s">
        <v>650</v>
      </c>
      <c r="B14" s="54" t="s">
        <v>737</v>
      </c>
      <c r="C14" s="55">
        <v>0</v>
      </c>
      <c r="F14" s="943" t="s">
        <v>687</v>
      </c>
      <c r="G14" s="943"/>
      <c r="H14" s="943"/>
      <c r="I14" s="943"/>
      <c r="J14" s="107"/>
    </row>
    <row r="15" spans="1:10" ht="12.75">
      <c r="A15" s="53" t="s">
        <v>651</v>
      </c>
      <c r="B15" s="54" t="s">
        <v>738</v>
      </c>
      <c r="C15" s="55">
        <f>CPYG!D12</f>
        <v>2454889.7100000004</v>
      </c>
      <c r="F15" s="943"/>
      <c r="G15" s="943"/>
      <c r="H15" s="943"/>
      <c r="I15" s="943"/>
      <c r="J15" s="107"/>
    </row>
    <row r="16" spans="1:10" ht="12.75">
      <c r="A16" s="53" t="s">
        <v>652</v>
      </c>
      <c r="B16" s="54" t="s">
        <v>739</v>
      </c>
      <c r="C16" s="55" t="e">
        <f>'No rellenar EP-5 '!E29+#REF!</f>
        <v>#REF!</v>
      </c>
      <c r="F16" s="943"/>
      <c r="G16" s="943"/>
      <c r="H16" s="943"/>
      <c r="I16" s="943"/>
      <c r="J16" s="107"/>
    </row>
    <row r="17" spans="1:9" ht="12.75">
      <c r="A17" s="53" t="s">
        <v>653</v>
      </c>
      <c r="B17" s="54" t="s">
        <v>740</v>
      </c>
      <c r="C17" s="55">
        <f>CPYG!D34+CPYG!D83+CPYG!D79</f>
        <v>354289.73</v>
      </c>
      <c r="F17" s="943"/>
      <c r="G17" s="943"/>
      <c r="H17" s="943"/>
      <c r="I17" s="943"/>
    </row>
    <row r="18" spans="1:9" ht="12.75">
      <c r="A18" s="56"/>
      <c r="B18" s="57"/>
      <c r="C18" s="58"/>
      <c r="F18" s="943"/>
      <c r="G18" s="943"/>
      <c r="H18" s="943"/>
      <c r="I18" s="943"/>
    </row>
    <row r="19" spans="1:9" ht="12.75">
      <c r="A19" s="92" t="s">
        <v>654</v>
      </c>
      <c r="B19" s="93"/>
      <c r="C19" s="94" t="e">
        <f>SUM(C13:C17)</f>
        <v>#REF!</v>
      </c>
      <c r="F19" s="943"/>
      <c r="G19" s="943"/>
      <c r="H19" s="943"/>
      <c r="I19" s="943"/>
    </row>
    <row r="20" spans="1:9" ht="12.75">
      <c r="A20" s="59"/>
      <c r="B20" s="60"/>
      <c r="C20" s="61"/>
      <c r="F20" s="943"/>
      <c r="G20" s="943"/>
      <c r="H20" s="943"/>
      <c r="I20" s="943"/>
    </row>
    <row r="21" spans="1:9" ht="12.75">
      <c r="A21" s="56"/>
      <c r="B21" s="57"/>
      <c r="C21" s="58"/>
      <c r="F21" s="943"/>
      <c r="G21" s="943"/>
      <c r="H21" s="943"/>
      <c r="I21" s="943"/>
    </row>
    <row r="22" spans="1:9" ht="12.75">
      <c r="A22" s="53" t="s">
        <v>655</v>
      </c>
      <c r="B22" s="54" t="s">
        <v>741</v>
      </c>
      <c r="C22" s="58">
        <f>'Inv. NO FIN'!H23+'Inv. NO FIN'!H24+'Inv. NO FIN'!H25+'Inv. NO FIN'!H26</f>
        <v>0</v>
      </c>
      <c r="F22" s="943"/>
      <c r="G22" s="943"/>
      <c r="H22" s="943"/>
      <c r="I22" s="943"/>
    </row>
    <row r="23" spans="1:9" ht="12.75">
      <c r="A23" s="53" t="s">
        <v>656</v>
      </c>
      <c r="B23" s="54" t="s">
        <v>742</v>
      </c>
      <c r="C23" s="58" t="e">
        <f>'Transf. y subv.'!E20+'Transf. y subv.'!#REF!</f>
        <v>#REF!</v>
      </c>
      <c r="F23" s="943"/>
      <c r="G23" s="943"/>
      <c r="H23" s="943"/>
      <c r="I23" s="943"/>
    </row>
    <row r="24" spans="1:3" ht="12.75">
      <c r="A24" s="56"/>
      <c r="B24" s="57"/>
      <c r="C24" s="58"/>
    </row>
    <row r="25" spans="1:3" ht="12.75">
      <c r="A25" s="92" t="s">
        <v>657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658</v>
      </c>
      <c r="B28" s="54" t="s">
        <v>743</v>
      </c>
      <c r="C28" s="55">
        <f>'Inv. FIN'!E45</f>
        <v>0</v>
      </c>
    </row>
    <row r="29" spans="1:3" ht="12.75">
      <c r="A29" s="53" t="s">
        <v>659</v>
      </c>
      <c r="B29" s="54" t="s">
        <v>744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660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661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39" t="s">
        <v>662</v>
      </c>
      <c r="C38" s="924">
        <f>CPYG!D98</f>
        <v>0</v>
      </c>
    </row>
    <row r="39" spans="1:3" ht="13.5" thickBot="1">
      <c r="A39" s="77"/>
      <c r="B39" s="940"/>
      <c r="C39" s="922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661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36" t="s">
        <v>647</v>
      </c>
      <c r="B49" s="934"/>
      <c r="C49" s="925" t="s">
        <v>648</v>
      </c>
    </row>
    <row r="50" spans="1:3" ht="12.75">
      <c r="A50" s="933"/>
      <c r="B50" s="930"/>
      <c r="C50" s="926"/>
    </row>
    <row r="51" spans="1:3" ht="12.75">
      <c r="A51" s="933"/>
      <c r="B51" s="930"/>
      <c r="C51" s="926"/>
    </row>
    <row r="52" spans="1:3" ht="12.75">
      <c r="A52" s="931"/>
      <c r="B52" s="932"/>
      <c r="C52" s="927"/>
    </row>
    <row r="53" spans="1:3" ht="12.75">
      <c r="A53" s="62"/>
      <c r="B53" s="51"/>
      <c r="C53" s="64"/>
    </row>
    <row r="54" spans="1:3" ht="12.75">
      <c r="A54" s="53" t="s">
        <v>649</v>
      </c>
      <c r="B54" s="82" t="s">
        <v>663</v>
      </c>
      <c r="C54" s="83">
        <f>-CPYG!D46</f>
        <v>1278397.22</v>
      </c>
    </row>
    <row r="55" spans="1:3" ht="12.75">
      <c r="A55" s="53" t="s">
        <v>650</v>
      </c>
      <c r="B55" s="82" t="s">
        <v>664</v>
      </c>
      <c r="C55" s="83">
        <f>-CPYG!D29-CPYG!D54+CPYG!D57-CPYG!D107</f>
        <v>1984642.28</v>
      </c>
    </row>
    <row r="56" spans="1:3" ht="12.75">
      <c r="A56" s="53" t="s">
        <v>651</v>
      </c>
      <c r="B56" s="82" t="s">
        <v>97</v>
      </c>
      <c r="C56" s="83">
        <f>-CPYG!D91</f>
        <v>600</v>
      </c>
    </row>
    <row r="57" spans="1:3" ht="12.75">
      <c r="A57" s="53" t="s">
        <v>652</v>
      </c>
      <c r="B57" s="82" t="s">
        <v>665</v>
      </c>
      <c r="C57" s="83"/>
    </row>
    <row r="58" spans="1:3" ht="12.75">
      <c r="A58" s="62"/>
      <c r="B58" s="63"/>
      <c r="C58" s="83"/>
    </row>
    <row r="59" spans="1:6" ht="12.75">
      <c r="A59" s="92" t="s">
        <v>666</v>
      </c>
      <c r="B59" s="93"/>
      <c r="C59" s="95">
        <f>SUM(C54:C58)</f>
        <v>3263639.5</v>
      </c>
      <c r="E59" s="37" t="e">
        <f>C19-C59</f>
        <v>#REF!</v>
      </c>
      <c r="F59" s="2" t="s">
        <v>667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655</v>
      </c>
      <c r="B62" s="82" t="s">
        <v>668</v>
      </c>
      <c r="C62" s="83">
        <f>'Inv. NO FIN'!C23+'Inv. NO FIN'!C24+'Inv. NO FIN'!C25+'Inv. NO FIN'!C26</f>
        <v>17641.58</v>
      </c>
      <c r="E62" s="2" t="e">
        <f>-#REF!</f>
        <v>#REF!</v>
      </c>
    </row>
    <row r="63" spans="1:7" ht="12.75">
      <c r="A63" s="53" t="s">
        <v>656</v>
      </c>
      <c r="B63" s="82" t="s">
        <v>669</v>
      </c>
      <c r="C63" s="83"/>
      <c r="E63" s="37" t="e">
        <f>SUM(E59:E62)</f>
        <v>#REF!</v>
      </c>
      <c r="F63" s="2">
        <f>CPYG!D111</f>
        <v>-498916.3299999997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670</v>
      </c>
      <c r="B65" s="93"/>
      <c r="C65" s="95">
        <f>SUM(C62:C63)</f>
        <v>17641.58</v>
      </c>
      <c r="E65" s="37" t="e">
        <f>C25+C31-C65-C71</f>
        <v>#REF!</v>
      </c>
      <c r="F65" s="2" t="s">
        <v>671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658</v>
      </c>
      <c r="B68" s="82" t="s">
        <v>672</v>
      </c>
      <c r="C68" s="83">
        <f>'Inv. FIN'!G45</f>
        <v>0</v>
      </c>
    </row>
    <row r="69" spans="1:3" ht="12.75">
      <c r="A69" s="53" t="s">
        <v>659</v>
      </c>
      <c r="B69" s="82" t="s">
        <v>673</v>
      </c>
      <c r="C69" s="83"/>
    </row>
    <row r="70" spans="1:3" ht="12.75">
      <c r="A70" s="62"/>
      <c r="B70" s="63"/>
      <c r="C70" s="64"/>
    </row>
    <row r="71" spans="1:6" ht="12.75">
      <c r="A71" s="92" t="s">
        <v>674</v>
      </c>
      <c r="B71" s="93"/>
      <c r="C71" s="95">
        <f>SUM(C68:C69)</f>
        <v>0</v>
      </c>
      <c r="E71" s="37" t="e">
        <f>SUM(E59:E66)</f>
        <v>#REF!</v>
      </c>
      <c r="F71" s="2" t="s">
        <v>675</v>
      </c>
    </row>
    <row r="72" spans="1:3" ht="13.5" thickBot="1">
      <c r="A72" s="85"/>
      <c r="B72" s="86"/>
      <c r="C72" s="87"/>
    </row>
    <row r="73" spans="1:3" ht="13.5" thickTop="1">
      <c r="A73" s="937"/>
      <c r="B73" s="939" t="s">
        <v>676</v>
      </c>
      <c r="C73" s="941" t="e">
        <f>#REF!+#REF!</f>
        <v>#REF!</v>
      </c>
    </row>
    <row r="74" spans="1:6" ht="13.5" thickBot="1">
      <c r="A74" s="938"/>
      <c r="B74" s="940"/>
      <c r="C74" s="942"/>
      <c r="E74" s="37"/>
      <c r="F74" s="2" t="s">
        <v>98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677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37"/>
      <c r="B80" s="939" t="s">
        <v>678</v>
      </c>
      <c r="C80" s="941" t="e">
        <f>-D97</f>
        <v>#REF!</v>
      </c>
      <c r="E80" s="37" t="e">
        <f>E71-E74</f>
        <v>#REF!</v>
      </c>
      <c r="F80" s="2" t="s">
        <v>537</v>
      </c>
    </row>
    <row r="81" spans="1:3" ht="13.5" thickBot="1">
      <c r="A81" s="938"/>
      <c r="B81" s="940"/>
      <c r="C81" s="942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679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735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686</v>
      </c>
      <c r="C94" s="2"/>
      <c r="D94" s="38" t="e">
        <f>-#REF!</f>
        <v>#REF!</v>
      </c>
      <c r="E94" s="2" t="s">
        <v>680</v>
      </c>
    </row>
    <row r="95" spans="2:4" ht="12.75">
      <c r="B95" s="49" t="s">
        <v>681</v>
      </c>
      <c r="C95" s="2"/>
      <c r="D95" s="38"/>
    </row>
    <row r="96" spans="2:5" ht="12.75">
      <c r="B96" s="4" t="s">
        <v>682</v>
      </c>
      <c r="C96" s="2"/>
      <c r="D96" s="38" t="e">
        <f>#REF!+#REF!</f>
        <v>#REF!</v>
      </c>
      <c r="E96" s="2" t="s">
        <v>683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hidden="1" customWidth="1"/>
    <col min="14" max="17" width="0" style="223" hidden="1" customWidth="1"/>
    <col min="18" max="16384" width="11.421875" style="223" customWidth="1"/>
  </cols>
  <sheetData>
    <row r="1" spans="1:7" ht="15">
      <c r="A1" s="756"/>
      <c r="B1" s="756"/>
      <c r="C1" s="756"/>
      <c r="D1" s="757" t="s">
        <v>481</v>
      </c>
      <c r="E1" s="756"/>
      <c r="F1" s="756"/>
      <c r="G1" s="759"/>
    </row>
    <row r="2" spans="1:7" ht="14.25">
      <c r="A2" s="756"/>
      <c r="B2" s="756"/>
      <c r="C2" s="756"/>
      <c r="D2" s="758" t="s">
        <v>482</v>
      </c>
      <c r="E2" s="756"/>
      <c r="F2" s="756"/>
      <c r="G2" s="759"/>
    </row>
    <row r="3" spans="1:7" ht="14.25">
      <c r="A3" s="756"/>
      <c r="B3" s="758"/>
      <c r="C3" s="756"/>
      <c r="D3" s="756"/>
      <c r="E3" s="756"/>
      <c r="F3" s="756"/>
      <c r="G3" s="759"/>
    </row>
    <row r="4" spans="1:6" ht="15">
      <c r="A4" s="756" t="s">
        <v>319</v>
      </c>
      <c r="B4" s="756"/>
      <c r="C4" s="756"/>
      <c r="D4" s="761">
        <v>42339</v>
      </c>
      <c r="E4" s="756"/>
      <c r="F4" s="756"/>
    </row>
    <row r="5" spans="1:6" ht="15">
      <c r="A5" s="756" t="s">
        <v>480</v>
      </c>
      <c r="B5" s="756"/>
      <c r="C5" s="756"/>
      <c r="D5" s="760" t="s">
        <v>483</v>
      </c>
      <c r="E5" s="756"/>
      <c r="F5" s="756"/>
    </row>
    <row r="6" ht="13.5" thickBot="1"/>
    <row r="7" spans="1:11" ht="42" customHeight="1">
      <c r="A7" s="1005" t="s">
        <v>182</v>
      </c>
      <c r="B7" s="1006"/>
      <c r="C7" s="1006"/>
      <c r="D7" s="1006"/>
      <c r="E7" s="1006"/>
      <c r="F7" s="1006"/>
      <c r="G7" s="1006"/>
      <c r="H7" s="1006"/>
      <c r="I7" s="1006"/>
      <c r="J7" s="1007">
        <f>CPYG!D7</f>
        <v>2016</v>
      </c>
      <c r="K7" s="1008"/>
    </row>
    <row r="8" spans="1:11" ht="51" customHeight="1">
      <c r="A8" s="1018" t="str">
        <f>CPYG!A8</f>
        <v>EMPRESA PÚBLICA:  INSTITUCIÓN FERIAL DE TENERIFE, S.A.</v>
      </c>
      <c r="B8" s="1019"/>
      <c r="C8" s="1019"/>
      <c r="D8" s="1019"/>
      <c r="E8" s="1019"/>
      <c r="F8" s="1019"/>
      <c r="G8" s="1019"/>
      <c r="H8" s="1019"/>
      <c r="I8" s="1019"/>
      <c r="J8" s="1020" t="s">
        <v>169</v>
      </c>
      <c r="K8" s="1021"/>
    </row>
    <row r="9" spans="1:11" s="224" customFormat="1" ht="27" customHeight="1">
      <c r="A9" s="1009" t="s">
        <v>746</v>
      </c>
      <c r="B9" s="1010"/>
      <c r="C9" s="1010"/>
      <c r="D9" s="1010"/>
      <c r="E9" s="1010"/>
      <c r="F9" s="1010"/>
      <c r="G9" s="1010"/>
      <c r="H9" s="1010"/>
      <c r="I9" s="1010"/>
      <c r="J9" s="1010"/>
      <c r="K9" s="1011"/>
    </row>
    <row r="10" spans="1:11" ht="19.5" customHeight="1">
      <c r="A10" s="1015" t="s">
        <v>603</v>
      </c>
      <c r="B10" s="1016" t="s">
        <v>602</v>
      </c>
      <c r="C10" s="529"/>
      <c r="D10" s="1016"/>
      <c r="E10" s="1016"/>
      <c r="F10" s="1016"/>
      <c r="G10" s="1016"/>
      <c r="H10" s="1016"/>
      <c r="I10" s="1016"/>
      <c r="J10" s="1016" t="s">
        <v>363</v>
      </c>
      <c r="K10" s="1017" t="s">
        <v>436</v>
      </c>
    </row>
    <row r="11" spans="1:11" ht="64.5" customHeight="1">
      <c r="A11" s="1015"/>
      <c r="B11" s="1016"/>
      <c r="C11" s="529" t="s">
        <v>437</v>
      </c>
      <c r="D11" s="529" t="s">
        <v>525</v>
      </c>
      <c r="E11" s="529" t="s">
        <v>438</v>
      </c>
      <c r="F11" s="529" t="s">
        <v>636</v>
      </c>
      <c r="G11" s="529" t="s">
        <v>439</v>
      </c>
      <c r="H11" s="529" t="s">
        <v>440</v>
      </c>
      <c r="I11" s="529" t="s">
        <v>441</v>
      </c>
      <c r="J11" s="1016"/>
      <c r="K11" s="1017"/>
    </row>
    <row r="12" spans="1:11" ht="12.75">
      <c r="A12" s="1012"/>
      <c r="B12" s="1013"/>
      <c r="C12" s="1013"/>
      <c r="D12" s="1013"/>
      <c r="E12" s="1013"/>
      <c r="F12" s="1013"/>
      <c r="G12" s="1013"/>
      <c r="H12" s="1013"/>
      <c r="I12" s="1013"/>
      <c r="J12" s="1013"/>
      <c r="K12" s="1014"/>
    </row>
    <row r="13" spans="1:11" ht="33" customHeight="1">
      <c r="A13" s="530" t="s">
        <v>442</v>
      </c>
      <c r="B13" s="566">
        <v>5529.45</v>
      </c>
      <c r="C13" s="557">
        <v>17566.25</v>
      </c>
      <c r="D13" s="557">
        <v>0</v>
      </c>
      <c r="E13" s="557">
        <v>0</v>
      </c>
      <c r="F13" s="557">
        <v>-2356.48</v>
      </c>
      <c r="G13" s="557">
        <v>0</v>
      </c>
      <c r="H13" s="557">
        <v>0</v>
      </c>
      <c r="I13" s="557">
        <v>0</v>
      </c>
      <c r="J13" s="566">
        <f>SUM(B13:I13)</f>
        <v>20739.22</v>
      </c>
      <c r="K13" s="558"/>
    </row>
    <row r="14" spans="1:11" ht="39" customHeight="1">
      <c r="A14" s="530" t="s">
        <v>16</v>
      </c>
      <c r="B14" s="566">
        <v>183671.54</v>
      </c>
      <c r="C14" s="557">
        <v>23667.75</v>
      </c>
      <c r="D14" s="557">
        <v>0</v>
      </c>
      <c r="E14" s="557">
        <v>0</v>
      </c>
      <c r="F14" s="557">
        <v>-58762.35</v>
      </c>
      <c r="G14" s="557">
        <v>0</v>
      </c>
      <c r="H14" s="557">
        <v>0</v>
      </c>
      <c r="I14" s="557">
        <v>0</v>
      </c>
      <c r="J14" s="566">
        <f>SUM(B14:I14)</f>
        <v>148576.94</v>
      </c>
      <c r="K14" s="558"/>
    </row>
    <row r="15" spans="1:11" ht="45" customHeight="1">
      <c r="A15" s="531" t="s">
        <v>443</v>
      </c>
      <c r="B15" s="566">
        <v>0</v>
      </c>
      <c r="C15" s="557">
        <v>0</v>
      </c>
      <c r="D15" s="557">
        <v>0</v>
      </c>
      <c r="E15" s="557">
        <v>0</v>
      </c>
      <c r="F15" s="557">
        <v>0</v>
      </c>
      <c r="G15" s="557">
        <v>0</v>
      </c>
      <c r="H15" s="557">
        <v>0</v>
      </c>
      <c r="I15" s="557">
        <v>0</v>
      </c>
      <c r="J15" s="566">
        <f>SUM(B15:I15)</f>
        <v>0</v>
      </c>
      <c r="K15" s="559"/>
    </row>
    <row r="16" spans="1:13" ht="20.25" customHeight="1">
      <c r="A16" s="531" t="s">
        <v>444</v>
      </c>
      <c r="B16" s="566"/>
      <c r="C16" s="557"/>
      <c r="D16" s="557"/>
      <c r="E16" s="557"/>
      <c r="F16" s="557"/>
      <c r="G16" s="557"/>
      <c r="H16" s="557"/>
      <c r="I16" s="557"/>
      <c r="J16" s="566">
        <f>SUM(B16:I16)</f>
        <v>0</v>
      </c>
      <c r="K16" s="559"/>
      <c r="M16" s="225"/>
    </row>
    <row r="17" spans="1:11" s="226" customFormat="1" ht="23.25" customHeight="1">
      <c r="A17" s="531" t="s">
        <v>105</v>
      </c>
      <c r="B17" s="567">
        <f>SUM(B13:B16)</f>
        <v>189200.99000000002</v>
      </c>
      <c r="C17" s="567">
        <f aca="true" t="shared" si="0" ref="C17:J17">SUM(C13:C16)</f>
        <v>41234</v>
      </c>
      <c r="D17" s="567">
        <f t="shared" si="0"/>
        <v>0</v>
      </c>
      <c r="E17" s="567">
        <f t="shared" si="0"/>
        <v>0</v>
      </c>
      <c r="F17" s="567">
        <f t="shared" si="0"/>
        <v>-61118.83</v>
      </c>
      <c r="G17" s="567">
        <f t="shared" si="0"/>
        <v>0</v>
      </c>
      <c r="H17" s="567">
        <f t="shared" si="0"/>
        <v>0</v>
      </c>
      <c r="I17" s="567">
        <f t="shared" si="0"/>
        <v>0</v>
      </c>
      <c r="J17" s="567">
        <f t="shared" si="0"/>
        <v>169316.16</v>
      </c>
      <c r="K17" s="560"/>
    </row>
    <row r="18" spans="1:13" ht="20.25" customHeight="1">
      <c r="A18" s="531" t="s">
        <v>445</v>
      </c>
      <c r="B18" s="566">
        <f>ACTIVO!B35</f>
        <v>1227.6</v>
      </c>
      <c r="C18" s="557">
        <v>61924.99</v>
      </c>
      <c r="D18" s="557">
        <v>0</v>
      </c>
      <c r="E18" s="557">
        <v>0</v>
      </c>
      <c r="F18" s="557">
        <v>0</v>
      </c>
      <c r="G18" s="557">
        <v>0</v>
      </c>
      <c r="H18" s="557">
        <v>-60652.59</v>
      </c>
      <c r="I18" s="557">
        <v>0</v>
      </c>
      <c r="J18" s="566">
        <f>+B18+C18+D18+E18+F18+G18+H18+I18</f>
        <v>2500</v>
      </c>
      <c r="K18" s="559"/>
      <c r="M18" s="225"/>
    </row>
    <row r="19" spans="1:11" ht="26.25" customHeight="1">
      <c r="A19" s="532"/>
      <c r="B19" s="561"/>
      <c r="C19" s="561"/>
      <c r="D19" s="561"/>
      <c r="E19" s="561"/>
      <c r="F19" s="561"/>
      <c r="G19" s="561"/>
      <c r="H19" s="561"/>
      <c r="I19" s="561"/>
      <c r="J19" s="562"/>
      <c r="K19" s="563"/>
    </row>
    <row r="20" spans="1:11" ht="19.5" customHeight="1">
      <c r="A20" s="1015" t="s">
        <v>598</v>
      </c>
      <c r="B20" s="1016" t="s">
        <v>604</v>
      </c>
      <c r="C20" s="529"/>
      <c r="D20" s="1016"/>
      <c r="E20" s="1016"/>
      <c r="F20" s="1016"/>
      <c r="G20" s="1016"/>
      <c r="H20" s="1016"/>
      <c r="I20" s="1016"/>
      <c r="J20" s="1016" t="s">
        <v>605</v>
      </c>
      <c r="K20" s="1017" t="s">
        <v>436</v>
      </c>
    </row>
    <row r="21" spans="1:11" ht="63.75">
      <c r="A21" s="1015"/>
      <c r="B21" s="1016"/>
      <c r="C21" s="529" t="s">
        <v>437</v>
      </c>
      <c r="D21" s="529" t="s">
        <v>525</v>
      </c>
      <c r="E21" s="529" t="s">
        <v>438</v>
      </c>
      <c r="F21" s="529" t="s">
        <v>636</v>
      </c>
      <c r="G21" s="529" t="s">
        <v>439</v>
      </c>
      <c r="H21" s="529" t="s">
        <v>440</v>
      </c>
      <c r="I21" s="529" t="s">
        <v>441</v>
      </c>
      <c r="J21" s="1016"/>
      <c r="K21" s="1017"/>
    </row>
    <row r="22" spans="1:11" ht="12.75">
      <c r="A22" s="1012"/>
      <c r="B22" s="1013"/>
      <c r="C22" s="1013"/>
      <c r="D22" s="1013"/>
      <c r="E22" s="1013"/>
      <c r="F22" s="1013"/>
      <c r="G22" s="1013"/>
      <c r="H22" s="1013"/>
      <c r="I22" s="1013"/>
      <c r="J22" s="1013"/>
      <c r="K22" s="1014"/>
    </row>
    <row r="23" spans="1:11" ht="36.75" customHeight="1">
      <c r="A23" s="530" t="s">
        <v>442</v>
      </c>
      <c r="B23" s="566">
        <f>+J13</f>
        <v>20739.22</v>
      </c>
      <c r="C23" s="686">
        <v>375</v>
      </c>
      <c r="D23" s="686">
        <v>0</v>
      </c>
      <c r="E23" s="686">
        <v>0</v>
      </c>
      <c r="F23" s="686">
        <v>-2156.48</v>
      </c>
      <c r="G23" s="686">
        <v>0</v>
      </c>
      <c r="H23" s="686">
        <v>0</v>
      </c>
      <c r="I23" s="686">
        <v>0</v>
      </c>
      <c r="J23" s="566">
        <f>SUM(B23:I23)</f>
        <v>18957.74</v>
      </c>
      <c r="K23" s="558"/>
    </row>
    <row r="24" spans="1:11" ht="39" customHeight="1">
      <c r="A24" s="530" t="s">
        <v>16</v>
      </c>
      <c r="B24" s="566">
        <f>+J14</f>
        <v>148576.94</v>
      </c>
      <c r="C24" s="686">
        <v>17266.58</v>
      </c>
      <c r="D24" s="686">
        <v>0</v>
      </c>
      <c r="E24" s="686">
        <v>0</v>
      </c>
      <c r="F24" s="686">
        <v>-59043.52</v>
      </c>
      <c r="G24" s="686">
        <v>0</v>
      </c>
      <c r="H24" s="686">
        <v>0</v>
      </c>
      <c r="I24" s="686">
        <v>0</v>
      </c>
      <c r="J24" s="566">
        <f>SUM(B24:I24)</f>
        <v>106800.00000000003</v>
      </c>
      <c r="K24" s="558"/>
    </row>
    <row r="25" spans="1:11" ht="38.25">
      <c r="A25" s="531" t="s">
        <v>443</v>
      </c>
      <c r="B25" s="566"/>
      <c r="C25" s="686"/>
      <c r="D25" s="686"/>
      <c r="E25" s="686"/>
      <c r="F25" s="686"/>
      <c r="G25" s="686"/>
      <c r="H25" s="686"/>
      <c r="I25" s="686"/>
      <c r="J25" s="566">
        <f>SUM(B25:I25)</f>
        <v>0</v>
      </c>
      <c r="K25" s="559"/>
    </row>
    <row r="26" spans="1:11" ht="21.75" customHeight="1">
      <c r="A26" s="531" t="s">
        <v>444</v>
      </c>
      <c r="B26" s="566"/>
      <c r="C26" s="686"/>
      <c r="D26" s="686"/>
      <c r="E26" s="686"/>
      <c r="F26" s="686"/>
      <c r="G26" s="686"/>
      <c r="H26" s="686"/>
      <c r="I26" s="686"/>
      <c r="J26" s="566">
        <f>SUM(B26:I26)</f>
        <v>0</v>
      </c>
      <c r="K26" s="559"/>
    </row>
    <row r="27" spans="1:11" s="226" customFormat="1" ht="22.5" customHeight="1">
      <c r="A27" s="531" t="s">
        <v>105</v>
      </c>
      <c r="B27" s="567">
        <f aca="true" t="shared" si="1" ref="B27:H27">SUM(B23:B26)</f>
        <v>169316.16</v>
      </c>
      <c r="C27" s="588">
        <f t="shared" si="1"/>
        <v>17641.58</v>
      </c>
      <c r="D27" s="588">
        <f t="shared" si="1"/>
        <v>0</v>
      </c>
      <c r="E27" s="588">
        <f t="shared" si="1"/>
        <v>0</v>
      </c>
      <c r="F27" s="588">
        <f t="shared" si="1"/>
        <v>-61200</v>
      </c>
      <c r="G27" s="588">
        <f t="shared" si="1"/>
        <v>0</v>
      </c>
      <c r="H27" s="588">
        <f t="shared" si="1"/>
        <v>0</v>
      </c>
      <c r="I27" s="588">
        <f>SUM(I23:I26)</f>
        <v>0</v>
      </c>
      <c r="J27" s="588">
        <f>SUM(J23:J26)</f>
        <v>125757.74000000003</v>
      </c>
      <c r="K27" s="564"/>
    </row>
    <row r="28" spans="1:13" ht="20.25" customHeight="1" thickBot="1">
      <c r="A28" s="533" t="s">
        <v>445</v>
      </c>
      <c r="B28" s="568">
        <f>+J18</f>
        <v>2500</v>
      </c>
      <c r="C28" s="687">
        <v>65000</v>
      </c>
      <c r="D28" s="687">
        <v>0</v>
      </c>
      <c r="E28" s="687">
        <v>0</v>
      </c>
      <c r="F28" s="687">
        <v>0</v>
      </c>
      <c r="G28" s="687">
        <v>0</v>
      </c>
      <c r="H28" s="687">
        <v>-65500</v>
      </c>
      <c r="I28" s="687">
        <v>0</v>
      </c>
      <c r="J28" s="568">
        <f>SUM(B28:I28)</f>
        <v>2000</v>
      </c>
      <c r="K28" s="565"/>
      <c r="M28" s="225"/>
    </row>
    <row r="30" spans="1:14" ht="12.75" hidden="1">
      <c r="A30" s="890" t="s">
        <v>446</v>
      </c>
      <c r="B30" s="891"/>
      <c r="C30" s="892"/>
      <c r="D30" s="892"/>
      <c r="E30" s="892"/>
      <c r="F30" s="892"/>
      <c r="G30" s="892"/>
      <c r="H30" s="892"/>
      <c r="I30" s="892"/>
      <c r="J30" s="892"/>
      <c r="K30" s="893"/>
      <c r="L30" s="892"/>
      <c r="M30" s="892"/>
      <c r="N30" s="892"/>
    </row>
    <row r="31" spans="1:14" ht="12.75" hidden="1">
      <c r="A31" s="1022" t="s">
        <v>447</v>
      </c>
      <c r="B31" s="1022"/>
      <c r="C31" s="1022"/>
      <c r="D31" s="1022"/>
      <c r="E31" s="1022"/>
      <c r="F31" s="1022"/>
      <c r="G31" s="1022"/>
      <c r="H31" s="1022"/>
      <c r="I31" s="1022"/>
      <c r="J31" s="1022"/>
      <c r="K31" s="1022"/>
      <c r="L31" s="892"/>
      <c r="M31" s="892"/>
      <c r="N31" s="892"/>
    </row>
    <row r="32" spans="1:14" ht="12.75" hidden="1">
      <c r="A32" s="1022" t="s">
        <v>448</v>
      </c>
      <c r="B32" s="1022"/>
      <c r="C32" s="1022"/>
      <c r="D32" s="1022"/>
      <c r="E32" s="1022"/>
      <c r="F32" s="1022"/>
      <c r="G32" s="1022"/>
      <c r="H32" s="1022"/>
      <c r="I32" s="1022"/>
      <c r="J32" s="1022"/>
      <c r="K32" s="1022"/>
      <c r="L32" s="892"/>
      <c r="M32" s="892"/>
      <c r="N32" s="892"/>
    </row>
    <row r="33" spans="1:14" ht="12.75" hidden="1">
      <c r="A33" s="1022" t="s">
        <v>453</v>
      </c>
      <c r="B33" s="1022"/>
      <c r="C33" s="1022"/>
      <c r="D33" s="1022"/>
      <c r="E33" s="1022"/>
      <c r="F33" s="1022"/>
      <c r="G33" s="1022"/>
      <c r="H33" s="1022"/>
      <c r="I33" s="1022"/>
      <c r="J33" s="1022"/>
      <c r="K33" s="1022"/>
      <c r="L33" s="892"/>
      <c r="M33" s="892"/>
      <c r="N33" s="892"/>
    </row>
    <row r="34" spans="1:14" ht="12.75" hidden="1">
      <c r="A34" s="1022" t="s">
        <v>454</v>
      </c>
      <c r="B34" s="1022"/>
      <c r="C34" s="1022"/>
      <c r="D34" s="1022"/>
      <c r="E34" s="1022"/>
      <c r="F34" s="1022"/>
      <c r="G34" s="1022"/>
      <c r="H34" s="1022"/>
      <c r="I34" s="1022"/>
      <c r="J34" s="1022"/>
      <c r="K34" s="1022"/>
      <c r="L34" s="892"/>
      <c r="M34" s="892"/>
      <c r="N34" s="892"/>
    </row>
    <row r="35" spans="1:14" ht="12.75" hidden="1">
      <c r="A35" s="1022" t="s">
        <v>477</v>
      </c>
      <c r="B35" s="1022"/>
      <c r="C35" s="1022"/>
      <c r="D35" s="1022"/>
      <c r="E35" s="1022"/>
      <c r="F35" s="1022"/>
      <c r="G35" s="1022"/>
      <c r="H35" s="1022"/>
      <c r="I35" s="1022"/>
      <c r="J35" s="1022"/>
      <c r="K35" s="1022"/>
      <c r="L35" s="892"/>
      <c r="M35" s="892"/>
      <c r="N35" s="892"/>
    </row>
    <row r="36" spans="1:14" ht="12.75" hidden="1">
      <c r="A36" s="1022" t="s">
        <v>478</v>
      </c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892"/>
      <c r="M36" s="892"/>
      <c r="N36" s="892"/>
    </row>
    <row r="37" spans="1:14" ht="12.75" hidden="1">
      <c r="A37" s="1022" t="s">
        <v>479</v>
      </c>
      <c r="B37" s="1022"/>
      <c r="C37" s="1022"/>
      <c r="D37" s="1022"/>
      <c r="E37" s="1022"/>
      <c r="F37" s="1022"/>
      <c r="G37" s="1022"/>
      <c r="H37" s="1022"/>
      <c r="I37" s="1022"/>
      <c r="J37" s="1022"/>
      <c r="K37" s="1022"/>
      <c r="L37" s="892"/>
      <c r="M37" s="892"/>
      <c r="N37" s="892"/>
    </row>
    <row r="38" spans="1:14" ht="12.75" hidden="1">
      <c r="A38" s="1022" t="s">
        <v>488</v>
      </c>
      <c r="B38" s="1022"/>
      <c r="C38" s="1022"/>
      <c r="D38" s="1022"/>
      <c r="E38" s="1022"/>
      <c r="F38" s="1022"/>
      <c r="G38" s="1022"/>
      <c r="H38" s="1022"/>
      <c r="I38" s="1022"/>
      <c r="J38" s="1022"/>
      <c r="K38" s="1022"/>
      <c r="L38" s="892"/>
      <c r="M38" s="892"/>
      <c r="N38" s="892"/>
    </row>
    <row r="39" spans="1:14" ht="12.75" hidden="1">
      <c r="A39" s="1022" t="s">
        <v>489</v>
      </c>
      <c r="B39" s="1022"/>
      <c r="C39" s="1022"/>
      <c r="D39" s="1022"/>
      <c r="E39" s="1022"/>
      <c r="F39" s="1022"/>
      <c r="G39" s="1022"/>
      <c r="H39" s="1022"/>
      <c r="I39" s="1022"/>
      <c r="J39" s="1022"/>
      <c r="K39" s="1022"/>
      <c r="L39" s="892"/>
      <c r="M39" s="892"/>
      <c r="N39" s="892"/>
    </row>
    <row r="40" spans="1:14" ht="12.75" hidden="1">
      <c r="A40" s="1022" t="s">
        <v>491</v>
      </c>
      <c r="B40" s="1022"/>
      <c r="C40" s="1022"/>
      <c r="D40" s="1022"/>
      <c r="E40" s="1022"/>
      <c r="F40" s="1022"/>
      <c r="G40" s="1022"/>
      <c r="H40" s="1022"/>
      <c r="I40" s="1022"/>
      <c r="J40" s="1022"/>
      <c r="K40" s="1022"/>
      <c r="L40" s="892"/>
      <c r="M40" s="892"/>
      <c r="N40" s="892"/>
    </row>
    <row r="41" spans="1:14" ht="12.75" hidden="1">
      <c r="A41" s="892"/>
      <c r="B41" s="892"/>
      <c r="C41" s="892"/>
      <c r="D41" s="892"/>
      <c r="E41" s="892"/>
      <c r="F41" s="892"/>
      <c r="G41" s="892"/>
      <c r="H41" s="892"/>
      <c r="I41" s="892"/>
      <c r="J41" s="892"/>
      <c r="K41" s="892"/>
      <c r="L41" s="892"/>
      <c r="M41" s="892"/>
      <c r="N41" s="892"/>
    </row>
    <row r="42" spans="1:14" ht="12.75" hidden="1">
      <c r="A42" s="892"/>
      <c r="B42" s="892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</row>
    <row r="43" spans="1:14" ht="12.75" hidden="1">
      <c r="A43" s="892"/>
      <c r="B43" s="892"/>
      <c r="C43" s="892"/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</row>
    <row r="44" spans="1:14" ht="12.75" hidden="1">
      <c r="A44" s="892"/>
      <c r="B44" s="892"/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</row>
    <row r="45" ht="12.75" hidden="1"/>
    <row r="46" ht="12.75" hidden="1"/>
    <row r="47" ht="12.75" hidden="1"/>
    <row r="48" ht="12.75" hidden="1"/>
    <row r="49" ht="12.75" hidden="1"/>
  </sheetData>
  <sheetProtection formatColumns="0" formatRows="0"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023" t="s">
        <v>91</v>
      </c>
      <c r="B1" s="1024"/>
      <c r="C1" s="1025"/>
      <c r="D1" s="16" t="e">
        <f>#REF!</f>
        <v>#REF!</v>
      </c>
    </row>
    <row r="2" spans="1:4" ht="25.5" customHeight="1">
      <c r="A2" s="1026" t="s">
        <v>637</v>
      </c>
      <c r="B2" s="1027"/>
      <c r="C2" s="1028"/>
      <c r="D2" s="13" t="s">
        <v>635</v>
      </c>
    </row>
    <row r="3" spans="1:4" ht="25.5" customHeight="1">
      <c r="A3" s="1029" t="s">
        <v>745</v>
      </c>
      <c r="B3" s="1030"/>
      <c r="C3" s="1030"/>
      <c r="D3" s="1031"/>
    </row>
    <row r="4" spans="1:4" ht="31.5" customHeight="1">
      <c r="A4" s="19" t="s">
        <v>102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138</v>
      </c>
      <c r="B5" s="21"/>
      <c r="C5" s="21"/>
      <c r="D5" s="22"/>
    </row>
    <row r="6" spans="1:4" s="3" customFormat="1" ht="19.5" customHeight="1">
      <c r="A6" s="5" t="s">
        <v>688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103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2145803.5000000005</v>
      </c>
    </row>
    <row r="8" spans="1:4" s="3" customFormat="1" ht="19.5" customHeight="1">
      <c r="A8" s="10" t="s">
        <v>139</v>
      </c>
      <c r="B8" s="25" t="str">
        <f>CPYG!A13</f>
        <v>          a) Ventas</v>
      </c>
      <c r="C8" s="25" t="e">
        <f>CPYG!#REF!</f>
        <v>#REF!</v>
      </c>
      <c r="D8" s="26">
        <f>CPYG!B13</f>
        <v>216.35</v>
      </c>
    </row>
    <row r="9" spans="1:4" s="3" customFormat="1" ht="19.5" customHeight="1">
      <c r="A9" s="10" t="s">
        <v>689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690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691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141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692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216.35</v>
      </c>
    </row>
    <row r="14" spans="1:4" s="3" customFormat="1" ht="19.5" customHeight="1">
      <c r="A14" s="10" t="s">
        <v>142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2145587.1500000004</v>
      </c>
    </row>
    <row r="15" spans="1:4" s="3" customFormat="1" ht="19.5" customHeight="1">
      <c r="A15" s="10" t="s">
        <v>694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820502.05</v>
      </c>
    </row>
    <row r="16" spans="1:4" s="3" customFormat="1" ht="19.5" customHeight="1">
      <c r="A16" s="10" t="s">
        <v>695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372054.79</v>
      </c>
    </row>
    <row r="17" spans="1:4" s="3" customFormat="1" ht="19.5" customHeight="1">
      <c r="A17" s="10" t="s">
        <v>696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448447.26</v>
      </c>
    </row>
    <row r="18" spans="1:4" s="3" customFormat="1" ht="19.5" customHeight="1">
      <c r="A18" s="10" t="s">
        <v>143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419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1325085.1</v>
      </c>
    </row>
    <row r="20" spans="1:4" s="3" customFormat="1" ht="19.5" customHeight="1">
      <c r="A20" s="5" t="s">
        <v>697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-6922.2</v>
      </c>
    </row>
    <row r="21" spans="1:4" s="3" customFormat="1" ht="19.5" customHeight="1">
      <c r="A21" s="5" t="s">
        <v>698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6547.74</v>
      </c>
    </row>
    <row r="22" spans="1:4" s="3" customFormat="1" ht="19.5" customHeight="1">
      <c r="A22" s="10" t="s">
        <v>699</v>
      </c>
      <c r="B22" s="25" t="str">
        <f>CPYG!A29</f>
        <v>4. APROVISIONAMIENTOS.</v>
      </c>
      <c r="C22" s="25" t="e">
        <f>CPYG!#REF!</f>
        <v>#REF!</v>
      </c>
      <c r="D22" s="26">
        <f>CPYG!B29</f>
        <v>-67446.66</v>
      </c>
    </row>
    <row r="23" spans="1:4" s="3" customFormat="1" ht="19.5" customHeight="1">
      <c r="A23" s="10" t="s">
        <v>700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-174.17</v>
      </c>
    </row>
    <row r="24" spans="1:4" s="3" customFormat="1" ht="19.5" customHeight="1">
      <c r="A24" s="10" t="s">
        <v>701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-67272.49</v>
      </c>
    </row>
    <row r="25" spans="1:4" s="3" customFormat="1" ht="19.5" customHeight="1">
      <c r="A25" s="10" t="s">
        <v>702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703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704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634726.49</v>
      </c>
    </row>
    <row r="28" spans="1:4" s="3" customFormat="1" ht="19.5" customHeight="1">
      <c r="A28" s="10" t="s">
        <v>706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137030.88</v>
      </c>
    </row>
    <row r="29" spans="1:4" s="3" customFormat="1" ht="19.5" customHeight="1">
      <c r="A29" s="10" t="s">
        <v>707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497695.61</v>
      </c>
    </row>
    <row r="30" spans="1:4" s="3" customFormat="1" ht="19.5" customHeight="1">
      <c r="A30" s="10" t="s">
        <v>420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421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708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709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491695.61</v>
      </c>
    </row>
    <row r="34" spans="1:4" s="3" customFormat="1" ht="19.5" customHeight="1">
      <c r="A34" s="10" t="s">
        <v>710</v>
      </c>
      <c r="B34" s="25" t="str">
        <f>CPYG!A44</f>
        <v>          b.5. ) Otros Entes.</v>
      </c>
      <c r="C34" s="27" t="e">
        <f>CPYG!#REF!</f>
        <v>#REF!</v>
      </c>
      <c r="D34" s="26">
        <f>CPYG!B44</f>
        <v>6000</v>
      </c>
    </row>
    <row r="35" spans="1:4" s="3" customFormat="1" ht="19.5" customHeight="1">
      <c r="A35" s="5" t="s">
        <v>711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712</v>
      </c>
      <c r="B36" s="25" t="str">
        <f>CPYG!A46</f>
        <v>6. GASTOS DE PERSONAL.</v>
      </c>
      <c r="C36" s="25" t="e">
        <f>CPYG!#REF!</f>
        <v>#REF!</v>
      </c>
      <c r="D36" s="26">
        <f>CPYG!B46</f>
        <v>-1226808.47</v>
      </c>
      <c r="E36" s="40"/>
    </row>
    <row r="37" spans="1:4" s="3" customFormat="1" ht="19.5" customHeight="1">
      <c r="A37" s="10" t="s">
        <v>422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-917629.28</v>
      </c>
    </row>
    <row r="38" spans="1:4" s="3" customFormat="1" ht="19.5" customHeight="1">
      <c r="A38" s="10" t="s">
        <v>423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424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-293918.02</v>
      </c>
    </row>
    <row r="40" spans="1:4" s="3" customFormat="1" ht="19.5" customHeight="1">
      <c r="A40" s="10" t="s">
        <v>425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-7000</v>
      </c>
    </row>
    <row r="41" spans="1:4" s="3" customFormat="1" ht="19.5" customHeight="1">
      <c r="A41" s="10" t="s">
        <v>426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-8261.17</v>
      </c>
    </row>
    <row r="42" spans="1:4" s="3" customFormat="1" ht="19.5" customHeight="1">
      <c r="A42" s="5" t="s">
        <v>714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427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-2001113.0299999998</v>
      </c>
    </row>
    <row r="44" spans="1:4" s="3" customFormat="1" ht="19.5" customHeight="1">
      <c r="A44" s="10" t="s">
        <v>428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-1854682.88</v>
      </c>
    </row>
    <row r="45" spans="1:4" s="3" customFormat="1" ht="19.5" customHeight="1">
      <c r="A45" s="10" t="s">
        <v>715</v>
      </c>
      <c r="B45" s="25" t="str">
        <f>CPYG!A56</f>
        <v>      b) Tributos</v>
      </c>
      <c r="C45" s="25" t="e">
        <f>CPYG!#REF!</f>
        <v>#REF!</v>
      </c>
      <c r="D45" s="26">
        <f>CPYG!B56</f>
        <v>-25151.49</v>
      </c>
    </row>
    <row r="46" spans="1:4" s="3" customFormat="1" ht="19.5" customHeight="1">
      <c r="A46" s="10" t="s">
        <v>716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-121278.66</v>
      </c>
    </row>
    <row r="47" spans="1:4" s="3" customFormat="1" ht="19.5" customHeight="1">
      <c r="A47" s="10" t="s">
        <v>717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718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719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720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-86589.99</v>
      </c>
    </row>
    <row r="51" spans="1:4" s="3" customFormat="1" ht="19.5" customHeight="1">
      <c r="A51" s="5" t="s">
        <v>721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62293.06</v>
      </c>
    </row>
    <row r="52" spans="1:4" s="3" customFormat="1" ht="19.5" customHeight="1">
      <c r="A52" s="5" t="s">
        <v>722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87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429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638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639</v>
      </c>
      <c r="B56" s="23" t="str">
        <f>CPYG!A79</f>
        <v>13. OTROS RESULTADOS</v>
      </c>
      <c r="C56" s="23" t="e">
        <f>CPYG!#REF!</f>
        <v>#REF!</v>
      </c>
      <c r="D56" s="24">
        <f>CPYG!B79</f>
        <v>90230.57</v>
      </c>
    </row>
    <row r="57" spans="1:4" s="3" customFormat="1" ht="19.5" customHeight="1">
      <c r="A57" s="5" t="s">
        <v>723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-449278.9899999991</v>
      </c>
    </row>
    <row r="58" spans="1:4" s="3" customFormat="1" ht="19.5" customHeight="1">
      <c r="A58" s="10" t="s">
        <v>724</v>
      </c>
      <c r="B58" s="25" t="str">
        <f>CPYG!A83</f>
        <v>14. INGRESOS FINANCIEROS.</v>
      </c>
      <c r="C58" s="25" t="e">
        <f>CPYG!#REF!</f>
        <v>#REF!</v>
      </c>
      <c r="D58" s="26">
        <f>CPYG!B83</f>
        <v>65.45</v>
      </c>
    </row>
    <row r="59" spans="1:4" s="3" customFormat="1" ht="19.5" customHeight="1">
      <c r="A59" s="10" t="s">
        <v>725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65.45</v>
      </c>
    </row>
    <row r="60" spans="1:4" s="3" customFormat="1" ht="19.5" customHeight="1">
      <c r="A60" s="10" t="s">
        <v>726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430</v>
      </c>
      <c r="B61" s="25" t="str">
        <f>CPYG!A86</f>
        <v>          a.2) En terceros.</v>
      </c>
      <c r="C61" s="25" t="e">
        <f>CPYG!#REF!</f>
        <v>#REF!</v>
      </c>
      <c r="D61" s="26">
        <f>CPYG!B86</f>
        <v>65.45</v>
      </c>
    </row>
    <row r="62" spans="1:4" s="3" customFormat="1" ht="19.5" customHeight="1">
      <c r="A62" s="10" t="s">
        <v>727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0</v>
      </c>
    </row>
    <row r="63" spans="1:4" s="3" customFormat="1" ht="19.5" customHeight="1">
      <c r="A63" s="10" t="s">
        <v>728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729</v>
      </c>
      <c r="B64" s="23" t="str">
        <f>CPYG!A89</f>
        <v>          b.2) En terceros.</v>
      </c>
      <c r="C64" s="23" t="e">
        <f>CPYG!#REF!</f>
        <v>#REF!</v>
      </c>
      <c r="D64" s="24">
        <f>CPYG!B89</f>
        <v>0</v>
      </c>
    </row>
    <row r="65" spans="1:4" s="3" customFormat="1" ht="19.5" customHeight="1">
      <c r="A65" s="10" t="s">
        <v>730</v>
      </c>
      <c r="B65" s="25" t="str">
        <f>CPYG!A91</f>
        <v>15. GASTOS FINANCIEROS.</v>
      </c>
      <c r="C65" s="27" t="e">
        <f>CPYG!#REF!</f>
        <v>#REF!</v>
      </c>
      <c r="D65" s="26">
        <f>CPYG!B91</f>
        <v>-39094.77</v>
      </c>
    </row>
    <row r="66" spans="1:4" s="3" customFormat="1" ht="19.5" customHeight="1">
      <c r="A66" s="10" t="s">
        <v>431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432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-39094.77</v>
      </c>
    </row>
    <row r="68" spans="1:4" s="3" customFormat="1" ht="19.5" customHeight="1">
      <c r="A68" s="5" t="s">
        <v>731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732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433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733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640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734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429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641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434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-39029.32</v>
      </c>
    </row>
    <row r="77" spans="1:4" s="3" customFormat="1" ht="19.5" customHeight="1">
      <c r="A77" s="5" t="s">
        <v>85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-488308.3099999991</v>
      </c>
    </row>
    <row r="78" spans="1:4" s="3" customFormat="1" ht="25.5" customHeight="1">
      <c r="A78" s="11" t="s">
        <v>642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435</v>
      </c>
      <c r="B79" s="23"/>
      <c r="C79" s="23"/>
      <c r="D79" s="24"/>
    </row>
    <row r="80" spans="1:4" s="3" customFormat="1" ht="19.5" customHeight="1">
      <c r="A80" s="5" t="s">
        <v>643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644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140</v>
      </c>
      <c r="B84" s="34"/>
      <c r="C84" s="34"/>
      <c r="D84" s="34"/>
    </row>
    <row r="85" spans="1:5" ht="19.5" customHeight="1">
      <c r="A85" s="7" t="s">
        <v>86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-488308.3099999991</v>
      </c>
      <c r="C90" s="33">
        <f>PASIVO!C25</f>
        <v>-506747.5199999996</v>
      </c>
      <c r="D90" s="33">
        <f>PASIVO!D25</f>
        <v>-498916.3299999997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498916.3299999997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69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3" width="11.421875" style="133" customWidth="1"/>
    <col min="14" max="17" width="0" style="133" hidden="1" customWidth="1"/>
    <col min="18" max="16384" width="11.421875" style="133" customWidth="1"/>
  </cols>
  <sheetData>
    <row r="1" spans="2:6" ht="15">
      <c r="B1" s="756"/>
      <c r="C1" s="756"/>
      <c r="D1" s="757" t="s">
        <v>481</v>
      </c>
      <c r="E1" s="767"/>
      <c r="F1" s="759"/>
    </row>
    <row r="2" spans="2:6" ht="14.25">
      <c r="B2" s="756"/>
      <c r="C2" s="756"/>
      <c r="D2" s="758" t="s">
        <v>482</v>
      </c>
      <c r="E2" s="767"/>
      <c r="F2" s="759"/>
    </row>
    <row r="3" spans="2:6" ht="14.25">
      <c r="B3" s="756"/>
      <c r="C3" s="758"/>
      <c r="D3" s="756"/>
      <c r="E3" s="756"/>
      <c r="F3" s="759"/>
    </row>
    <row r="4" spans="2:6" ht="15">
      <c r="B4" s="756" t="s">
        <v>319</v>
      </c>
      <c r="C4" s="756"/>
      <c r="D4" s="761">
        <v>42339</v>
      </c>
      <c r="E4" s="767"/>
      <c r="F4" s="759"/>
    </row>
    <row r="5" spans="2:6" ht="15">
      <c r="B5" s="756" t="s">
        <v>480</v>
      </c>
      <c r="C5" s="756"/>
      <c r="D5" s="760" t="s">
        <v>483</v>
      </c>
      <c r="E5" s="767"/>
      <c r="F5" s="759"/>
    </row>
    <row r="6" ht="20.25" customHeight="1" thickBot="1"/>
    <row r="7" spans="1:12" s="223" customFormat="1" ht="42" customHeight="1" thickBot="1">
      <c r="A7" s="1057" t="s">
        <v>182</v>
      </c>
      <c r="B7" s="1058"/>
      <c r="C7" s="1058"/>
      <c r="D7" s="1058"/>
      <c r="E7" s="1058"/>
      <c r="F7" s="1058"/>
      <c r="G7" s="1058"/>
      <c r="H7" s="1058"/>
      <c r="I7" s="1058"/>
      <c r="J7" s="1059"/>
      <c r="K7" s="1065">
        <f>CPYG!D7</f>
        <v>2016</v>
      </c>
      <c r="L7" s="1066"/>
    </row>
    <row r="8" spans="1:12" ht="35.25" customHeight="1" thickBot="1">
      <c r="A8" s="1060" t="str">
        <f>CPYG!A8</f>
        <v>EMPRESA PÚBLICA:  INSTITUCIÓN FERIAL DE TENERIFE, S.A.</v>
      </c>
      <c r="B8" s="1061"/>
      <c r="C8" s="1061"/>
      <c r="D8" s="1061"/>
      <c r="E8" s="1061"/>
      <c r="F8" s="1061"/>
      <c r="G8" s="1061"/>
      <c r="H8" s="1061"/>
      <c r="I8" s="1061"/>
      <c r="J8" s="1062"/>
      <c r="K8" s="1063" t="s">
        <v>170</v>
      </c>
      <c r="L8" s="1064"/>
    </row>
    <row r="9" spans="1:12" ht="18" customHeight="1">
      <c r="A9" s="1053" t="s">
        <v>476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5"/>
    </row>
    <row r="10" spans="1:12" s="229" customFormat="1" ht="22.5" customHeight="1">
      <c r="A10" s="1038" t="s">
        <v>175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40"/>
    </row>
    <row r="11" spans="1:12" ht="25.5" customHeight="1">
      <c r="A11" s="1068" t="s">
        <v>526</v>
      </c>
      <c r="B11" s="1069"/>
      <c r="C11" s="1041" t="s">
        <v>527</v>
      </c>
      <c r="D11" s="1041" t="s">
        <v>606</v>
      </c>
      <c r="E11" s="1041" t="s">
        <v>528</v>
      </c>
      <c r="F11" s="1041"/>
      <c r="G11" s="1041" t="s">
        <v>529</v>
      </c>
      <c r="H11" s="1041"/>
      <c r="I11" s="1042" t="s">
        <v>607</v>
      </c>
      <c r="J11" s="1042" t="s">
        <v>608</v>
      </c>
      <c r="K11" s="1042" t="s">
        <v>609</v>
      </c>
      <c r="L11" s="1067" t="s">
        <v>530</v>
      </c>
    </row>
    <row r="12" spans="1:12" ht="54" customHeight="1" thickBot="1">
      <c r="A12" s="1070"/>
      <c r="B12" s="1071"/>
      <c r="C12" s="1041"/>
      <c r="D12" s="1041"/>
      <c r="E12" s="228" t="s">
        <v>531</v>
      </c>
      <c r="F12" s="228" t="s">
        <v>532</v>
      </c>
      <c r="G12" s="228" t="s">
        <v>533</v>
      </c>
      <c r="H12" s="228" t="s">
        <v>534</v>
      </c>
      <c r="I12" s="1042"/>
      <c r="J12" s="1042"/>
      <c r="K12" s="1042"/>
      <c r="L12" s="1067"/>
    </row>
    <row r="13" spans="1:12" ht="21" customHeight="1" thickBot="1">
      <c r="A13" s="1050" t="s">
        <v>492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2"/>
    </row>
    <row r="14" spans="1:12" ht="19.5" customHeight="1" thickBot="1">
      <c r="A14" s="1032"/>
      <c r="B14" s="1033"/>
      <c r="C14" s="538"/>
      <c r="D14" s="539"/>
      <c r="E14" s="540"/>
      <c r="F14" s="540"/>
      <c r="G14" s="540"/>
      <c r="H14" s="541"/>
      <c r="I14" s="556">
        <f>SUM(D14:H14)</f>
        <v>0</v>
      </c>
      <c r="J14" s="542"/>
      <c r="K14" s="543"/>
      <c r="L14" s="544"/>
    </row>
    <row r="15" spans="1:12" ht="19.5" customHeight="1" thickBot="1">
      <c r="A15" s="1034"/>
      <c r="B15" s="1035"/>
      <c r="C15" s="545"/>
      <c r="D15" s="540"/>
      <c r="E15" s="540"/>
      <c r="F15" s="540"/>
      <c r="G15" s="540"/>
      <c r="H15" s="540"/>
      <c r="I15" s="556">
        <f>SUM(D15:H15)</f>
        <v>0</v>
      </c>
      <c r="J15" s="546"/>
      <c r="K15" s="543"/>
      <c r="L15" s="544"/>
    </row>
    <row r="16" spans="1:12" ht="19.5" customHeight="1" thickBot="1">
      <c r="A16" s="1036"/>
      <c r="B16" s="1037"/>
      <c r="C16" s="545"/>
      <c r="D16" s="540"/>
      <c r="E16" s="540"/>
      <c r="F16" s="540"/>
      <c r="G16" s="540"/>
      <c r="H16" s="540"/>
      <c r="I16" s="556">
        <f>SUM(D16:H16)</f>
        <v>0</v>
      </c>
      <c r="J16" s="543"/>
      <c r="K16" s="543"/>
      <c r="L16" s="544"/>
    </row>
    <row r="17" spans="1:12" ht="19.5" customHeight="1" thickBot="1">
      <c r="A17" s="1036"/>
      <c r="B17" s="1037"/>
      <c r="C17" s="545"/>
      <c r="D17" s="540"/>
      <c r="E17" s="540"/>
      <c r="F17" s="540"/>
      <c r="G17" s="540"/>
      <c r="H17" s="540"/>
      <c r="I17" s="556">
        <f>SUM(D17:H17)</f>
        <v>0</v>
      </c>
      <c r="J17" s="543"/>
      <c r="K17" s="543"/>
      <c r="L17" s="544"/>
    </row>
    <row r="18" spans="1:12" ht="19.5" customHeight="1" thickBot="1">
      <c r="A18" s="1036"/>
      <c r="B18" s="1037"/>
      <c r="C18" s="545"/>
      <c r="D18" s="540"/>
      <c r="E18" s="540"/>
      <c r="F18" s="540"/>
      <c r="G18" s="540"/>
      <c r="H18" s="540"/>
      <c r="I18" s="556">
        <f>SUM(D18:H18)</f>
        <v>0</v>
      </c>
      <c r="J18" s="543"/>
      <c r="K18" s="543"/>
      <c r="L18" s="544"/>
    </row>
    <row r="19" spans="1:12" s="132" customFormat="1" ht="19.5" customHeight="1" thickBot="1">
      <c r="A19" s="1043" t="s">
        <v>105</v>
      </c>
      <c r="B19" s="1044"/>
      <c r="C19" s="547"/>
      <c r="D19" s="582">
        <f>SUM(D14:D18)</f>
        <v>0</v>
      </c>
      <c r="E19" s="582">
        <f>SUM(E14:E18)</f>
        <v>0</v>
      </c>
      <c r="F19" s="583"/>
      <c r="G19" s="582">
        <f>SUM(G14:G18)</f>
        <v>0</v>
      </c>
      <c r="H19" s="582">
        <f>SUM(H14:H18)</f>
        <v>0</v>
      </c>
      <c r="I19" s="582">
        <f>SUM(I14:I18)</f>
        <v>0</v>
      </c>
      <c r="J19" s="548"/>
      <c r="K19" s="584">
        <f>SUM(K14:K18)</f>
        <v>0</v>
      </c>
      <c r="L19" s="549"/>
    </row>
    <row r="20" spans="1:12" ht="19.5" customHeight="1" thickBot="1">
      <c r="A20" s="1047" t="s">
        <v>493</v>
      </c>
      <c r="B20" s="1048"/>
      <c r="C20" s="1048"/>
      <c r="D20" s="1048"/>
      <c r="E20" s="1048"/>
      <c r="F20" s="1048"/>
      <c r="G20" s="1048"/>
      <c r="H20" s="1048"/>
      <c r="I20" s="1048"/>
      <c r="J20" s="1048"/>
      <c r="K20" s="1048"/>
      <c r="L20" s="1049"/>
    </row>
    <row r="21" spans="1:12" ht="19.5" customHeight="1" thickBot="1">
      <c r="A21" s="1034"/>
      <c r="B21" s="1035"/>
      <c r="C21" s="545"/>
      <c r="D21" s="540"/>
      <c r="E21" s="540"/>
      <c r="F21" s="540"/>
      <c r="G21" s="540"/>
      <c r="H21" s="540"/>
      <c r="I21" s="556">
        <f>SUM(D21:H21)</f>
        <v>0</v>
      </c>
      <c r="J21" s="546"/>
      <c r="K21" s="543"/>
      <c r="L21" s="544"/>
    </row>
    <row r="22" spans="1:12" ht="19.5" customHeight="1" thickBot="1">
      <c r="A22" s="1034"/>
      <c r="B22" s="1035"/>
      <c r="C22" s="545"/>
      <c r="D22" s="540"/>
      <c r="E22" s="540"/>
      <c r="F22" s="540"/>
      <c r="G22" s="540"/>
      <c r="H22" s="540"/>
      <c r="I22" s="556">
        <f>SUM(D22:H22)</f>
        <v>0</v>
      </c>
      <c r="J22" s="546"/>
      <c r="K22" s="543"/>
      <c r="L22" s="544"/>
    </row>
    <row r="23" spans="1:12" ht="19.5" customHeight="1" thickBot="1">
      <c r="A23" s="1034"/>
      <c r="B23" s="1035"/>
      <c r="C23" s="545"/>
      <c r="D23" s="540"/>
      <c r="E23" s="540"/>
      <c r="F23" s="540"/>
      <c r="G23" s="540"/>
      <c r="H23" s="540"/>
      <c r="I23" s="556">
        <f>SUM(D23:H23)</f>
        <v>0</v>
      </c>
      <c r="J23" s="546"/>
      <c r="K23" s="543"/>
      <c r="L23" s="544"/>
    </row>
    <row r="24" spans="1:12" ht="19.5" customHeight="1" thickBot="1">
      <c r="A24" s="1034"/>
      <c r="B24" s="1035"/>
      <c r="C24" s="545"/>
      <c r="D24" s="540"/>
      <c r="E24" s="540"/>
      <c r="F24" s="540"/>
      <c r="G24" s="540"/>
      <c r="H24" s="540"/>
      <c r="I24" s="556">
        <f>SUM(D24:H24)</f>
        <v>0</v>
      </c>
      <c r="J24" s="546"/>
      <c r="K24" s="543"/>
      <c r="L24" s="544"/>
    </row>
    <row r="25" spans="1:12" ht="19.5" customHeight="1" thickBot="1">
      <c r="A25" s="1036"/>
      <c r="B25" s="1037"/>
      <c r="C25" s="545"/>
      <c r="D25" s="540"/>
      <c r="E25" s="540"/>
      <c r="F25" s="540"/>
      <c r="G25" s="540"/>
      <c r="H25" s="540"/>
      <c r="I25" s="556">
        <f>SUM(D25:H25)</f>
        <v>0</v>
      </c>
      <c r="J25" s="546"/>
      <c r="K25" s="543"/>
      <c r="L25" s="544"/>
    </row>
    <row r="26" spans="1:12" s="132" customFormat="1" ht="19.5" customHeight="1" thickBot="1">
      <c r="A26" s="1043" t="s">
        <v>105</v>
      </c>
      <c r="B26" s="1044"/>
      <c r="C26" s="547"/>
      <c r="D26" s="582">
        <f>SUM(D21:D25)</f>
        <v>0</v>
      </c>
      <c r="E26" s="582">
        <f>SUM(E21:E25)</f>
        <v>0</v>
      </c>
      <c r="F26" s="583"/>
      <c r="G26" s="582">
        <f>SUM(G21:G25)</f>
        <v>0</v>
      </c>
      <c r="H26" s="582">
        <f>SUM(H21:H25)</f>
        <v>0</v>
      </c>
      <c r="I26" s="582">
        <f>SUM(I22:I25)</f>
        <v>0</v>
      </c>
      <c r="J26" s="548"/>
      <c r="K26" s="584">
        <f>SUM(K21:K25)</f>
        <v>0</v>
      </c>
      <c r="L26" s="549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1038" t="s">
        <v>177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40"/>
    </row>
    <row r="29" spans="1:12" s="229" customFormat="1" ht="22.5" customHeight="1">
      <c r="A29" s="1038" t="s">
        <v>747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40"/>
    </row>
    <row r="30" spans="1:12" ht="25.5" customHeight="1">
      <c r="A30" s="1068" t="s">
        <v>526</v>
      </c>
      <c r="B30" s="1069"/>
      <c r="C30" s="1041" t="s">
        <v>527</v>
      </c>
      <c r="D30" s="1041" t="s">
        <v>606</v>
      </c>
      <c r="E30" s="1041" t="s">
        <v>528</v>
      </c>
      <c r="F30" s="1041"/>
      <c r="G30" s="1041" t="s">
        <v>529</v>
      </c>
      <c r="H30" s="1041"/>
      <c r="I30" s="1042" t="s">
        <v>607</v>
      </c>
      <c r="J30" s="1042" t="s">
        <v>610</v>
      </c>
      <c r="K30" s="1042" t="s">
        <v>609</v>
      </c>
      <c r="L30" s="1067" t="s">
        <v>180</v>
      </c>
    </row>
    <row r="31" spans="1:12" ht="54" customHeight="1" thickBot="1">
      <c r="A31" s="1070"/>
      <c r="B31" s="1071"/>
      <c r="C31" s="1041"/>
      <c r="D31" s="1041"/>
      <c r="E31" s="228" t="s">
        <v>531</v>
      </c>
      <c r="F31" s="228" t="s">
        <v>532</v>
      </c>
      <c r="G31" s="228" t="s">
        <v>533</v>
      </c>
      <c r="H31" s="228" t="s">
        <v>534</v>
      </c>
      <c r="I31" s="1042"/>
      <c r="J31" s="1042"/>
      <c r="K31" s="1042"/>
      <c r="L31" s="1067"/>
    </row>
    <row r="32" spans="1:12" ht="13.5" thickBot="1">
      <c r="A32" s="1050" t="s">
        <v>178</v>
      </c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2"/>
    </row>
    <row r="33" spans="1:12" s="134" customFormat="1" ht="19.5" customHeight="1" thickBot="1">
      <c r="A33" s="1032"/>
      <c r="B33" s="1033"/>
      <c r="C33" s="538"/>
      <c r="D33" s="539"/>
      <c r="E33" s="545"/>
      <c r="F33" s="545"/>
      <c r="G33" s="545"/>
      <c r="H33" s="541"/>
      <c r="I33" s="556">
        <f>SUM(D33:H33)</f>
        <v>0</v>
      </c>
      <c r="J33" s="542"/>
      <c r="K33" s="543"/>
      <c r="L33" s="544"/>
    </row>
    <row r="34" spans="1:12" s="134" customFormat="1" ht="19.5" customHeight="1" thickBot="1">
      <c r="A34" s="1032"/>
      <c r="B34" s="1033"/>
      <c r="C34" s="538"/>
      <c r="D34" s="539"/>
      <c r="E34" s="545"/>
      <c r="F34" s="545"/>
      <c r="G34" s="545"/>
      <c r="H34" s="541"/>
      <c r="I34" s="556">
        <f>SUM(D34:H34)</f>
        <v>0</v>
      </c>
      <c r="J34" s="542"/>
      <c r="K34" s="543"/>
      <c r="L34" s="544"/>
    </row>
    <row r="35" spans="1:12" s="134" customFormat="1" ht="19.5" customHeight="1" thickBot="1">
      <c r="A35" s="1032"/>
      <c r="B35" s="1033"/>
      <c r="C35" s="538"/>
      <c r="D35" s="539"/>
      <c r="E35" s="545"/>
      <c r="F35" s="545"/>
      <c r="G35" s="545"/>
      <c r="H35" s="541"/>
      <c r="I35" s="556">
        <f>SUM(D35:H35)</f>
        <v>0</v>
      </c>
      <c r="J35" s="542"/>
      <c r="K35" s="543"/>
      <c r="L35" s="544"/>
    </row>
    <row r="36" spans="1:12" s="134" customFormat="1" ht="19.5" customHeight="1" thickBot="1">
      <c r="A36" s="1034"/>
      <c r="B36" s="1035"/>
      <c r="C36" s="545"/>
      <c r="D36" s="541"/>
      <c r="E36" s="545"/>
      <c r="F36" s="545"/>
      <c r="G36" s="545"/>
      <c r="H36" s="545"/>
      <c r="I36" s="556">
        <f>SUM(D36:H36)</f>
        <v>0</v>
      </c>
      <c r="J36" s="546"/>
      <c r="K36" s="543"/>
      <c r="L36" s="544"/>
    </row>
    <row r="37" spans="1:12" s="134" customFormat="1" ht="19.5" customHeight="1" thickBot="1">
      <c r="A37" s="1036"/>
      <c r="B37" s="1037"/>
      <c r="C37" s="545"/>
      <c r="D37" s="541"/>
      <c r="E37" s="545"/>
      <c r="F37" s="545"/>
      <c r="G37" s="545"/>
      <c r="H37" s="545"/>
      <c r="I37" s="556">
        <f>SUM(D37:H37)</f>
        <v>0</v>
      </c>
      <c r="J37" s="543"/>
      <c r="K37" s="543"/>
      <c r="L37" s="544"/>
    </row>
    <row r="38" spans="1:12" s="132" customFormat="1" ht="19.5" customHeight="1" thickBot="1">
      <c r="A38" s="1043" t="s">
        <v>105</v>
      </c>
      <c r="B38" s="1044"/>
      <c r="C38" s="547"/>
      <c r="D38" s="582">
        <f>SUM(D33:D37)</f>
        <v>0</v>
      </c>
      <c r="E38" s="582">
        <f>SUM(E33:E37)</f>
        <v>0</v>
      </c>
      <c r="F38" s="583"/>
      <c r="G38" s="582">
        <f>SUM(G33:G37)</f>
        <v>0</v>
      </c>
      <c r="H38" s="582">
        <f>SUM(H33:H37)</f>
        <v>0</v>
      </c>
      <c r="I38" s="582">
        <f>SUM(I33:I37)</f>
        <v>0</v>
      </c>
      <c r="J38" s="548"/>
      <c r="K38" s="584">
        <f>SUM(K32:K37)</f>
        <v>0</v>
      </c>
      <c r="L38" s="549"/>
    </row>
    <row r="39" spans="1:12" s="134" customFormat="1" ht="19.5" customHeight="1" thickBot="1">
      <c r="A39" s="1047" t="s">
        <v>179</v>
      </c>
      <c r="B39" s="1048"/>
      <c r="C39" s="1048"/>
      <c r="D39" s="1048"/>
      <c r="E39" s="1048"/>
      <c r="F39" s="1048"/>
      <c r="G39" s="1048"/>
      <c r="H39" s="1048"/>
      <c r="I39" s="1048"/>
      <c r="J39" s="1048"/>
      <c r="K39" s="1048"/>
      <c r="L39" s="1049"/>
    </row>
    <row r="40" spans="1:12" s="134" customFormat="1" ht="19.5" customHeight="1" thickBot="1">
      <c r="A40" s="1034"/>
      <c r="B40" s="1035"/>
      <c r="C40" s="545"/>
      <c r="D40" s="540"/>
      <c r="E40" s="545"/>
      <c r="F40" s="545"/>
      <c r="G40" s="541"/>
      <c r="H40" s="545"/>
      <c r="I40" s="556">
        <f>SUM(D40:H40)</f>
        <v>0</v>
      </c>
      <c r="J40" s="543"/>
      <c r="K40" s="543"/>
      <c r="L40" s="544"/>
    </row>
    <row r="41" spans="1:12" s="134" customFormat="1" ht="19.5" customHeight="1" thickBot="1">
      <c r="A41" s="1034"/>
      <c r="B41" s="1035"/>
      <c r="C41" s="545"/>
      <c r="D41" s="540"/>
      <c r="E41" s="541"/>
      <c r="F41" s="545"/>
      <c r="G41" s="541"/>
      <c r="H41" s="545"/>
      <c r="I41" s="556">
        <f>SUM(D41:H41)</f>
        <v>0</v>
      </c>
      <c r="J41" s="543"/>
      <c r="K41" s="543"/>
      <c r="L41" s="544"/>
    </row>
    <row r="42" spans="1:12" s="134" customFormat="1" ht="19.5" customHeight="1" thickBot="1">
      <c r="A42" s="1034"/>
      <c r="B42" s="1035"/>
      <c r="C42" s="545"/>
      <c r="D42" s="540"/>
      <c r="E42" s="545"/>
      <c r="F42" s="545"/>
      <c r="G42" s="545"/>
      <c r="H42" s="545"/>
      <c r="I42" s="556">
        <f>SUM(D42:H42)</f>
        <v>0</v>
      </c>
      <c r="J42" s="543"/>
      <c r="K42" s="543"/>
      <c r="L42" s="544"/>
    </row>
    <row r="43" spans="1:12" s="134" customFormat="1" ht="19.5" customHeight="1" thickBot="1">
      <c r="A43" s="1034"/>
      <c r="B43" s="1035"/>
      <c r="C43" s="545"/>
      <c r="D43" s="540"/>
      <c r="E43" s="545"/>
      <c r="F43" s="545"/>
      <c r="G43" s="545"/>
      <c r="H43" s="545"/>
      <c r="I43" s="556">
        <f>SUM(D43:H43)</f>
        <v>0</v>
      </c>
      <c r="J43" s="543"/>
      <c r="K43" s="543"/>
      <c r="L43" s="544"/>
    </row>
    <row r="44" spans="1:12" s="134" customFormat="1" ht="19.5" customHeight="1" thickBot="1">
      <c r="A44" s="1036"/>
      <c r="B44" s="1037"/>
      <c r="C44" s="545"/>
      <c r="D44" s="540"/>
      <c r="E44" s="550"/>
      <c r="F44" s="550"/>
      <c r="G44" s="550"/>
      <c r="H44" s="550"/>
      <c r="I44" s="556">
        <f>SUM(D44:H44)</f>
        <v>0</v>
      </c>
      <c r="J44" s="551"/>
      <c r="K44" s="551"/>
      <c r="L44" s="552"/>
    </row>
    <row r="45" spans="1:12" s="132" customFormat="1" ht="19.5" customHeight="1" thickBot="1">
      <c r="A45" s="1045" t="s">
        <v>105</v>
      </c>
      <c r="B45" s="1046"/>
      <c r="C45" s="553"/>
      <c r="D45" s="585">
        <f>SUM(D40:D44)</f>
        <v>0</v>
      </c>
      <c r="E45" s="585">
        <f>SUM(E40:E44)</f>
        <v>0</v>
      </c>
      <c r="F45" s="586"/>
      <c r="G45" s="585">
        <f>SUM(G40:G44)</f>
        <v>0</v>
      </c>
      <c r="H45" s="585">
        <f>SUM(H40:H44)</f>
        <v>0</v>
      </c>
      <c r="I45" s="585">
        <f>SUM(I40:I44)</f>
        <v>0</v>
      </c>
      <c r="J45" s="554"/>
      <c r="K45" s="587">
        <f>SUM(K40:K44)</f>
        <v>0</v>
      </c>
      <c r="L45" s="555"/>
    </row>
    <row r="47" ht="12.75" hidden="1"/>
    <row r="48" spans="1:15" ht="12.75" hidden="1">
      <c r="A48" s="1072" t="s">
        <v>446</v>
      </c>
      <c r="B48" s="1072"/>
      <c r="C48" s="1072"/>
      <c r="D48" s="1072"/>
      <c r="E48" s="1072"/>
      <c r="F48" s="1072"/>
      <c r="G48" s="1072"/>
      <c r="H48" s="1072"/>
      <c r="I48" s="1072"/>
      <c r="J48" s="1072"/>
      <c r="K48" s="1072"/>
      <c r="L48" s="1072"/>
      <c r="M48" s="889"/>
      <c r="N48" s="889"/>
      <c r="O48" s="889"/>
    </row>
    <row r="49" spans="1:15" ht="12.75" hidden="1">
      <c r="A49" s="1056" t="s">
        <v>494</v>
      </c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889"/>
      <c r="N49" s="889"/>
      <c r="O49" s="889"/>
    </row>
    <row r="50" spans="1:15" ht="12.75" hidden="1">
      <c r="A50" s="1056" t="s">
        <v>176</v>
      </c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889"/>
      <c r="N50" s="889"/>
      <c r="O50" s="889"/>
    </row>
    <row r="51" spans="1:15" ht="12.75" hidden="1">
      <c r="A51" s="1056" t="s">
        <v>495</v>
      </c>
      <c r="B51" s="1056"/>
      <c r="C51" s="1056"/>
      <c r="D51" s="1056"/>
      <c r="E51" s="1056"/>
      <c r="F51" s="1056"/>
      <c r="G51" s="1056"/>
      <c r="H51" s="1056"/>
      <c r="I51" s="1056"/>
      <c r="J51" s="1056"/>
      <c r="K51" s="1056"/>
      <c r="L51" s="1056"/>
      <c r="M51" s="889"/>
      <c r="N51" s="889"/>
      <c r="O51" s="889"/>
    </row>
    <row r="52" spans="1:15" ht="12.75" hidden="1">
      <c r="A52" s="1056" t="s">
        <v>496</v>
      </c>
      <c r="B52" s="1056"/>
      <c r="C52" s="1056"/>
      <c r="D52" s="1056"/>
      <c r="E52" s="1056"/>
      <c r="F52" s="1056"/>
      <c r="G52" s="1056"/>
      <c r="H52" s="1056"/>
      <c r="I52" s="1056"/>
      <c r="J52" s="1056"/>
      <c r="K52" s="1056"/>
      <c r="L52" s="1056"/>
      <c r="M52" s="889"/>
      <c r="N52" s="889"/>
      <c r="O52" s="889"/>
    </row>
    <row r="53" spans="1:15" ht="12.75" hidden="1">
      <c r="A53" s="1056" t="s">
        <v>497</v>
      </c>
      <c r="B53" s="1056"/>
      <c r="C53" s="1056"/>
      <c r="D53" s="1056"/>
      <c r="E53" s="1056"/>
      <c r="F53" s="1056"/>
      <c r="G53" s="1056"/>
      <c r="H53" s="1056"/>
      <c r="I53" s="1056"/>
      <c r="J53" s="1056"/>
      <c r="K53" s="1056"/>
      <c r="L53" s="1056"/>
      <c r="M53" s="889"/>
      <c r="N53" s="889"/>
      <c r="O53" s="889"/>
    </row>
    <row r="54" spans="1:15" ht="12.75" hidden="1">
      <c r="A54" s="1056" t="s">
        <v>411</v>
      </c>
      <c r="B54" s="1056"/>
      <c r="C54" s="1056"/>
      <c r="D54" s="1056"/>
      <c r="E54" s="1056"/>
      <c r="F54" s="1056"/>
      <c r="G54" s="1056"/>
      <c r="H54" s="1056"/>
      <c r="I54" s="1056"/>
      <c r="J54" s="1056"/>
      <c r="K54" s="1056"/>
      <c r="L54" s="1056"/>
      <c r="M54" s="889"/>
      <c r="N54" s="889"/>
      <c r="O54" s="889"/>
    </row>
    <row r="55" spans="1:15" ht="12.75" hidden="1">
      <c r="A55" s="1056" t="s">
        <v>412</v>
      </c>
      <c r="B55" s="1056"/>
      <c r="C55" s="1056"/>
      <c r="D55" s="1056"/>
      <c r="E55" s="1056"/>
      <c r="F55" s="1056"/>
      <c r="G55" s="1056"/>
      <c r="H55" s="1056"/>
      <c r="I55" s="1056"/>
      <c r="J55" s="1056"/>
      <c r="K55" s="1056"/>
      <c r="L55" s="1056"/>
      <c r="M55" s="889"/>
      <c r="N55" s="889"/>
      <c r="O55" s="889"/>
    </row>
    <row r="56" spans="1:15" ht="12.75" hidden="1">
      <c r="A56" s="1056" t="s">
        <v>181</v>
      </c>
      <c r="B56" s="1056"/>
      <c r="C56" s="1056"/>
      <c r="D56" s="1056"/>
      <c r="E56" s="1056"/>
      <c r="F56" s="1056"/>
      <c r="G56" s="1056"/>
      <c r="H56" s="1056"/>
      <c r="I56" s="1056"/>
      <c r="J56" s="1056"/>
      <c r="K56" s="1056"/>
      <c r="L56" s="1056"/>
      <c r="M56" s="889"/>
      <c r="N56" s="889"/>
      <c r="O56" s="889"/>
    </row>
    <row r="57" spans="1:15" ht="12.75" hidden="1">
      <c r="A57" s="1056" t="s">
        <v>413</v>
      </c>
      <c r="B57" s="1056"/>
      <c r="C57" s="1056"/>
      <c r="D57" s="1056"/>
      <c r="E57" s="1056"/>
      <c r="F57" s="1056"/>
      <c r="G57" s="1056"/>
      <c r="H57" s="1056"/>
      <c r="I57" s="1056"/>
      <c r="J57" s="1056"/>
      <c r="K57" s="1056"/>
      <c r="L57" s="1056"/>
      <c r="M57" s="889"/>
      <c r="N57" s="889"/>
      <c r="O57" s="889"/>
    </row>
    <row r="58" spans="1:15" ht="12.75" hidden="1">
      <c r="A58" s="1056" t="s">
        <v>414</v>
      </c>
      <c r="B58" s="1056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889"/>
      <c r="N58" s="889"/>
      <c r="O58" s="889"/>
    </row>
    <row r="59" spans="1:15" ht="12.75" hidden="1">
      <c r="A59" s="889"/>
      <c r="B59" s="889"/>
      <c r="C59" s="889" t="s">
        <v>48</v>
      </c>
      <c r="D59" s="894">
        <f>+ACTIVO!B25</f>
        <v>600</v>
      </c>
      <c r="E59" s="894">
        <f>+ACTIVO!C25</f>
        <v>600</v>
      </c>
      <c r="F59" s="894">
        <f>+ACTIVO!D25</f>
        <v>600</v>
      </c>
      <c r="G59" s="894">
        <f>+ACTIVO!D25</f>
        <v>600</v>
      </c>
      <c r="H59" s="889"/>
      <c r="I59" s="889"/>
      <c r="J59" s="889"/>
      <c r="K59" s="889"/>
      <c r="L59" s="889"/>
      <c r="M59" s="889"/>
      <c r="N59" s="889"/>
      <c r="O59" s="889"/>
    </row>
    <row r="60" spans="1:15" ht="12.75" hidden="1">
      <c r="A60" s="889"/>
      <c r="B60" s="889"/>
      <c r="C60" s="895" t="s">
        <v>49</v>
      </c>
      <c r="D60" s="896">
        <f>+D58-D59</f>
        <v>-600</v>
      </c>
      <c r="E60" s="896">
        <f>+E58-E59</f>
        <v>-600</v>
      </c>
      <c r="F60" s="896">
        <f>+F58-F59</f>
        <v>-600</v>
      </c>
      <c r="G60" s="896">
        <f>+G58-G59</f>
        <v>-600</v>
      </c>
      <c r="H60" s="889"/>
      <c r="I60" s="889"/>
      <c r="J60" s="889"/>
      <c r="K60" s="889"/>
      <c r="L60" s="889"/>
      <c r="M60" s="889"/>
      <c r="N60" s="889"/>
      <c r="O60" s="889"/>
    </row>
    <row r="61" spans="1:15" ht="12.75" hidden="1">
      <c r="A61" s="889"/>
      <c r="B61" s="889"/>
      <c r="C61" s="889"/>
      <c r="D61" s="889"/>
      <c r="E61" s="889"/>
      <c r="F61" s="889"/>
      <c r="G61" s="889"/>
      <c r="H61" s="889"/>
      <c r="I61" s="889"/>
      <c r="J61" s="889"/>
      <c r="K61" s="889"/>
      <c r="L61" s="889"/>
      <c r="M61" s="889"/>
      <c r="N61" s="889"/>
      <c r="O61" s="889"/>
    </row>
    <row r="62" spans="1:15" ht="12.75" hidden="1">
      <c r="A62" s="889"/>
      <c r="B62" s="889"/>
      <c r="C62" s="889"/>
      <c r="D62" s="889"/>
      <c r="E62" s="889"/>
      <c r="F62" s="889"/>
      <c r="G62" s="889"/>
      <c r="H62" s="889"/>
      <c r="I62" s="889"/>
      <c r="J62" s="889"/>
      <c r="K62" s="889"/>
      <c r="L62" s="889"/>
      <c r="M62" s="889"/>
      <c r="N62" s="889"/>
      <c r="O62" s="889"/>
    </row>
    <row r="63" spans="1:15" ht="12.75" hidden="1">
      <c r="A63" s="889"/>
      <c r="B63" s="889"/>
      <c r="C63" s="889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</row>
    <row r="64" spans="1:15" ht="12.75" hidden="1">
      <c r="A64" s="889"/>
      <c r="B64" s="889"/>
      <c r="C64" s="889"/>
      <c r="D64" s="889"/>
      <c r="E64" s="889"/>
      <c r="F64" s="889"/>
      <c r="G64" s="889"/>
      <c r="H64" s="889"/>
      <c r="I64" s="889"/>
      <c r="J64" s="889"/>
      <c r="K64" s="889"/>
      <c r="L64" s="889"/>
      <c r="M64" s="889"/>
      <c r="N64" s="889"/>
      <c r="O64" s="889"/>
    </row>
    <row r="65" spans="1:15" ht="12.75" hidden="1">
      <c r="A65" s="889"/>
      <c r="B65" s="889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9"/>
      <c r="O65" s="889"/>
    </row>
    <row r="66" spans="1:15" ht="12.75" hidden="1">
      <c r="A66" s="889"/>
      <c r="B66" s="889"/>
      <c r="C66" s="889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</row>
    <row r="67" spans="1:15" ht="12.75" hidden="1">
      <c r="A67" s="889"/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</row>
    <row r="68" spans="1:15" ht="12.75">
      <c r="A68" s="889"/>
      <c r="B68" s="889"/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</row>
    <row r="69" spans="1:15" ht="12.75">
      <c r="A69" s="889"/>
      <c r="B69" s="889"/>
      <c r="C69" s="889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</row>
  </sheetData>
  <sheetProtection formatColumns="0" formatRows="0"/>
  <mergeCells count="65">
    <mergeCell ref="A58:L58"/>
    <mergeCell ref="A54:L54"/>
    <mergeCell ref="A55:L55"/>
    <mergeCell ref="A56:L56"/>
    <mergeCell ref="A57:L57"/>
    <mergeCell ref="A24:B24"/>
    <mergeCell ref="A25:B25"/>
    <mergeCell ref="A29:L29"/>
    <mergeCell ref="L30:L31"/>
    <mergeCell ref="K30:K31"/>
    <mergeCell ref="A30:B31"/>
    <mergeCell ref="C30:C31"/>
    <mergeCell ref="D30:D31"/>
    <mergeCell ref="G30:H30"/>
    <mergeCell ref="A53:L53"/>
    <mergeCell ref="A52:L52"/>
    <mergeCell ref="A32:L32"/>
    <mergeCell ref="A37:B37"/>
    <mergeCell ref="A36:B36"/>
    <mergeCell ref="A35:B35"/>
    <mergeCell ref="A34:B34"/>
    <mergeCell ref="A48:L48"/>
    <mergeCell ref="A49:L49"/>
    <mergeCell ref="A50:L50"/>
    <mergeCell ref="A51:L51"/>
    <mergeCell ref="A7:J7"/>
    <mergeCell ref="A8:J8"/>
    <mergeCell ref="K8:L8"/>
    <mergeCell ref="K7:L7"/>
    <mergeCell ref="L11:L12"/>
    <mergeCell ref="A11:B12"/>
    <mergeCell ref="I11:I12"/>
    <mergeCell ref="J11:J12"/>
    <mergeCell ref="E11:F11"/>
    <mergeCell ref="A13:L13"/>
    <mergeCell ref="A9:L9"/>
    <mergeCell ref="A10:L10"/>
    <mergeCell ref="C11:C12"/>
    <mergeCell ref="D11:D12"/>
    <mergeCell ref="G11:H11"/>
    <mergeCell ref="K11:K12"/>
    <mergeCell ref="A22:B22"/>
    <mergeCell ref="A14:B14"/>
    <mergeCell ref="A20:L20"/>
    <mergeCell ref="A15:B15"/>
    <mergeCell ref="A19:B19"/>
    <mergeCell ref="A17:B17"/>
    <mergeCell ref="A45:B45"/>
    <mergeCell ref="A44:B44"/>
    <mergeCell ref="A42:B42"/>
    <mergeCell ref="A38:B38"/>
    <mergeCell ref="A40:B40"/>
    <mergeCell ref="A41:B41"/>
    <mergeCell ref="A39:L39"/>
    <mergeCell ref="A43:B43"/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20.281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3" width="0" style="223" hidden="1" customWidth="1"/>
    <col min="14" max="16384" width="11.421875" style="223" customWidth="1"/>
  </cols>
  <sheetData>
    <row r="1" ht="15">
      <c r="C1" s="757" t="s">
        <v>481</v>
      </c>
    </row>
    <row r="2" ht="14.25">
      <c r="C2" s="758" t="s">
        <v>482</v>
      </c>
    </row>
    <row r="4" spans="1:3" ht="15">
      <c r="A4" s="756" t="s">
        <v>319</v>
      </c>
      <c r="C4" s="761">
        <v>42339</v>
      </c>
    </row>
    <row r="5" spans="1:3" ht="15">
      <c r="A5" s="756" t="s">
        <v>480</v>
      </c>
      <c r="C5" s="760" t="s">
        <v>483</v>
      </c>
    </row>
    <row r="6" ht="25.5" customHeight="1" thickBot="1"/>
    <row r="7" spans="1:5" ht="44.25" customHeight="1">
      <c r="A7" s="1086" t="s">
        <v>408</v>
      </c>
      <c r="B7" s="1087"/>
      <c r="C7" s="1087"/>
      <c r="D7" s="1088"/>
      <c r="E7" s="232">
        <f>CPYG!D7</f>
        <v>2016</v>
      </c>
    </row>
    <row r="8" spans="1:5" ht="18.75" customHeight="1">
      <c r="A8" s="1092" t="str">
        <f>CPYG!A8</f>
        <v>EMPRESA PÚBLICA:  INSTITUCIÓN FERIAL DE TENERIFE, S.A.</v>
      </c>
      <c r="B8" s="1093"/>
      <c r="C8" s="1093"/>
      <c r="D8" s="1094"/>
      <c r="E8" s="233" t="s">
        <v>171</v>
      </c>
    </row>
    <row r="9" spans="1:5" ht="23.25" customHeight="1" thickBot="1">
      <c r="A9" s="1089" t="s">
        <v>409</v>
      </c>
      <c r="B9" s="1090"/>
      <c r="C9" s="1090"/>
      <c r="D9" s="1090"/>
      <c r="E9" s="1091"/>
    </row>
    <row r="10" spans="1:5" ht="28.5" customHeight="1" thickBot="1">
      <c r="A10" s="1075" t="s">
        <v>760</v>
      </c>
      <c r="B10" s="1076"/>
      <c r="C10" s="234" t="s">
        <v>603</v>
      </c>
      <c r="D10" s="234" t="s">
        <v>611</v>
      </c>
      <c r="E10" s="235" t="s">
        <v>498</v>
      </c>
    </row>
    <row r="11" spans="1:5" ht="16.5" customHeight="1">
      <c r="A11" s="1095" t="str">
        <f>+CPYG!A21</f>
        <v>          b.1.1.) A la Entidad Local o a sus unidades dependientes.(1)</v>
      </c>
      <c r="B11" s="1078"/>
      <c r="C11" s="606">
        <f>CPYG!C21</f>
        <v>450000</v>
      </c>
      <c r="D11" s="606">
        <f>CPYG!D21</f>
        <v>400000</v>
      </c>
      <c r="E11" s="607"/>
    </row>
    <row r="12" spans="1:5" ht="16.5" customHeight="1">
      <c r="A12" s="1096" t="str">
        <f>+CPYG!A22</f>
        <v>          b.1.2.) A otras Administraciones Públicas.(1)</v>
      </c>
      <c r="B12" s="1097"/>
      <c r="C12" s="608">
        <f>CPYG!C22</f>
        <v>450000</v>
      </c>
      <c r="D12" s="608">
        <f>CPYG!D22</f>
        <v>445000</v>
      </c>
      <c r="E12" s="563"/>
    </row>
    <row r="13" spans="1:8" ht="16.5" customHeight="1">
      <c r="A13" s="1096" t="str">
        <f>+CPYG!A23</f>
        <v>          b.1.3.) A empresas y Entes Públicos.(1)</v>
      </c>
      <c r="B13" s="1097"/>
      <c r="C13" s="608">
        <f>CPYG!C23</f>
        <v>0</v>
      </c>
      <c r="D13" s="608">
        <f>CPYG!D23</f>
        <v>125000</v>
      </c>
      <c r="E13" s="563"/>
      <c r="G13" s="227"/>
      <c r="H13" s="227"/>
    </row>
    <row r="14" spans="1:8" ht="16.5" customHeight="1">
      <c r="A14" s="1096" t="str">
        <f>+CPYG!A24</f>
        <v>          b.2.) Al sector privado</v>
      </c>
      <c r="B14" s="1097"/>
      <c r="C14" s="608">
        <f>CPYG!C24</f>
        <v>1229448.12</v>
      </c>
      <c r="D14" s="608">
        <f>CPYG!D24</f>
        <v>1484673.82</v>
      </c>
      <c r="E14" s="563"/>
      <c r="G14" s="227"/>
      <c r="H14" s="227"/>
    </row>
    <row r="15" spans="1:8" s="226" customFormat="1" ht="22.5" customHeight="1" thickBot="1">
      <c r="A15" s="1073" t="s">
        <v>537</v>
      </c>
      <c r="B15" s="1074"/>
      <c r="C15" s="237">
        <f>SUM(C11:C14)</f>
        <v>2129448.12</v>
      </c>
      <c r="D15" s="237">
        <f>SUM(D11:D14)</f>
        <v>2454673.8200000003</v>
      </c>
      <c r="E15" s="238"/>
      <c r="G15" s="239">
        <f>+C15-CPYG!C12</f>
        <v>-215.89000000013039</v>
      </c>
      <c r="H15" s="239">
        <f>+D15-CPYG!D12</f>
        <v>-215.89000000013039</v>
      </c>
    </row>
    <row r="16" spans="1:4" ht="9" customHeight="1" thickBot="1">
      <c r="A16" s="1081"/>
      <c r="B16" s="1081"/>
      <c r="C16" s="1081"/>
      <c r="D16" s="1081"/>
    </row>
    <row r="17" spans="1:5" ht="33.75" customHeight="1" thickBot="1">
      <c r="A17" s="1075" t="s">
        <v>321</v>
      </c>
      <c r="B17" s="1076"/>
      <c r="C17" s="234" t="s">
        <v>603</v>
      </c>
      <c r="D17" s="234" t="s">
        <v>611</v>
      </c>
      <c r="E17" s="235" t="s">
        <v>498</v>
      </c>
    </row>
    <row r="18" spans="1:5" ht="12.75">
      <c r="A18" s="1077" t="s">
        <v>761</v>
      </c>
      <c r="B18" s="1078"/>
      <c r="C18" s="240">
        <f>SUM(C19:C22)</f>
        <v>24710.54</v>
      </c>
      <c r="D18" s="240">
        <f>SUM(D19:D22)</f>
        <v>81.85</v>
      </c>
      <c r="E18" s="241"/>
    </row>
    <row r="19" spans="1:5" ht="16.5" customHeight="1">
      <c r="A19" s="1079" t="s">
        <v>7</v>
      </c>
      <c r="B19" s="1080"/>
      <c r="C19" s="609">
        <v>24710.54</v>
      </c>
      <c r="D19" s="609"/>
      <c r="E19" s="610"/>
    </row>
    <row r="20" spans="1:5" ht="16.5" customHeight="1">
      <c r="A20" s="1099" t="s">
        <v>10</v>
      </c>
      <c r="B20" s="1100"/>
      <c r="C20" s="611"/>
      <c r="D20" s="611">
        <v>81.85</v>
      </c>
      <c r="E20" s="612"/>
    </row>
    <row r="21" spans="1:5" ht="16.5" customHeight="1">
      <c r="A21" s="1084"/>
      <c r="B21" s="1085"/>
      <c r="C21" s="800"/>
      <c r="D21" s="800"/>
      <c r="E21" s="612"/>
    </row>
    <row r="22" spans="1:5" ht="16.5" customHeight="1">
      <c r="A22" s="1099"/>
      <c r="B22" s="1100"/>
      <c r="C22" s="611"/>
      <c r="D22" s="611"/>
      <c r="E22" s="612"/>
    </row>
    <row r="23" spans="1:5" ht="12.75">
      <c r="A23" s="1082" t="s">
        <v>762</v>
      </c>
      <c r="B23" s="1083"/>
      <c r="C23" s="242">
        <f>SUM(C24:C27)</f>
        <v>-23131.51</v>
      </c>
      <c r="D23" s="242">
        <f>SUM(D24:D27)</f>
        <v>0</v>
      </c>
      <c r="E23" s="243"/>
    </row>
    <row r="24" spans="1:5" ht="16.5" customHeight="1">
      <c r="A24" s="1079" t="s">
        <v>8</v>
      </c>
      <c r="B24" s="1080"/>
      <c r="C24" s="609">
        <v>-23131.51</v>
      </c>
      <c r="D24" s="609"/>
      <c r="E24" s="610"/>
    </row>
    <row r="25" spans="1:5" ht="16.5" customHeight="1">
      <c r="A25" s="1099" t="s">
        <v>9</v>
      </c>
      <c r="B25" s="1100"/>
      <c r="C25" s="611"/>
      <c r="D25" s="611">
        <v>0</v>
      </c>
      <c r="E25" s="612"/>
    </row>
    <row r="26" spans="1:5" ht="16.5" customHeight="1">
      <c r="A26" s="1099"/>
      <c r="B26" s="1100"/>
      <c r="C26" s="611"/>
      <c r="D26" s="611"/>
      <c r="E26" s="612"/>
    </row>
    <row r="27" spans="1:5" ht="16.5" customHeight="1">
      <c r="A27" s="1077"/>
      <c r="B27" s="1078"/>
      <c r="C27" s="606"/>
      <c r="D27" s="606"/>
      <c r="E27" s="607"/>
    </row>
    <row r="28" spans="1:5" s="226" customFormat="1" ht="22.5" customHeight="1" thickBot="1">
      <c r="A28" s="1073" t="s">
        <v>537</v>
      </c>
      <c r="B28" s="1074"/>
      <c r="C28" s="237">
        <f>C18+C23</f>
        <v>1579.0300000000025</v>
      </c>
      <c r="D28" s="237">
        <f>D18+D23</f>
        <v>81.85</v>
      </c>
      <c r="E28" s="238"/>
    </row>
    <row r="29" spans="1:4" ht="21" customHeight="1">
      <c r="A29" s="1081"/>
      <c r="B29" s="1081"/>
      <c r="C29" s="1081"/>
      <c r="D29" s="1081"/>
    </row>
    <row r="30" spans="1:5" s="226" customFormat="1" ht="22.5" customHeight="1" hidden="1">
      <c r="A30" s="236"/>
      <c r="B30" s="236"/>
      <c r="C30" s="244"/>
      <c r="D30" s="244"/>
      <c r="E30" s="245"/>
    </row>
    <row r="31" spans="1:6" ht="12.75" hidden="1">
      <c r="A31" s="897" t="s">
        <v>446</v>
      </c>
      <c r="B31" s="892"/>
      <c r="C31" s="892"/>
      <c r="D31" s="892"/>
      <c r="E31" s="892"/>
      <c r="F31" s="892"/>
    </row>
    <row r="32" spans="1:6" ht="42" customHeight="1" hidden="1">
      <c r="A32" s="1098" t="s">
        <v>404</v>
      </c>
      <c r="B32" s="1098"/>
      <c r="C32" s="1098"/>
      <c r="D32" s="1098"/>
      <c r="E32" s="1098"/>
      <c r="F32" s="892"/>
    </row>
    <row r="33" spans="1:6" ht="27" customHeight="1" hidden="1">
      <c r="A33" s="1098" t="s">
        <v>407</v>
      </c>
      <c r="B33" s="1098"/>
      <c r="C33" s="1098"/>
      <c r="D33" s="1098"/>
      <c r="E33" s="1098"/>
      <c r="F33" s="892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11:B11"/>
    <mergeCell ref="A14:B14"/>
    <mergeCell ref="A12:B12"/>
    <mergeCell ref="A13:B13"/>
    <mergeCell ref="A7:D7"/>
    <mergeCell ref="A9:E9"/>
    <mergeCell ref="A10:B10"/>
    <mergeCell ref="A8:D8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3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57421875" style="246" bestFit="1" customWidth="1"/>
    <col min="9" max="9" width="2.00390625" style="809" customWidth="1"/>
    <col min="10" max="10" width="8.00390625" style="247" hidden="1" customWidth="1"/>
    <col min="11" max="11" width="6.7109375" style="247" hidden="1" customWidth="1"/>
    <col min="12" max="12" width="7.7109375" style="247" hidden="1" customWidth="1"/>
    <col min="13" max="13" width="7.140625" style="248" hidden="1" customWidth="1"/>
    <col min="14" max="14" width="14.421875" style="248" hidden="1" customWidth="1"/>
    <col min="15" max="15" width="33.8515625" style="246" hidden="1" customWidth="1"/>
    <col min="16" max="17" width="0" style="246" hidden="1" customWidth="1"/>
    <col min="18" max="16384" width="11.57421875" style="246" customWidth="1"/>
  </cols>
  <sheetData>
    <row r="1" spans="1:3" ht="15">
      <c r="A1" s="223"/>
      <c r="B1" s="223"/>
      <c r="C1" s="757" t="s">
        <v>481</v>
      </c>
    </row>
    <row r="2" spans="1:3" ht="14.25">
      <c r="A2" s="223"/>
      <c r="B2" s="223"/>
      <c r="C2" s="758" t="s">
        <v>482</v>
      </c>
    </row>
    <row r="3" spans="1:3" ht="12.75">
      <c r="A3" s="223"/>
      <c r="B3" s="223"/>
      <c r="C3" s="223"/>
    </row>
    <row r="4" spans="1:3" ht="15">
      <c r="A4" s="756" t="s">
        <v>319</v>
      </c>
      <c r="B4" s="223"/>
      <c r="C4" s="761">
        <v>42339</v>
      </c>
    </row>
    <row r="5" spans="1:3" ht="15">
      <c r="A5" s="756" t="s">
        <v>480</v>
      </c>
      <c r="B5" s="223"/>
      <c r="C5" s="760" t="s">
        <v>483</v>
      </c>
    </row>
    <row r="6" spans="1:8" ht="13.5" thickBot="1">
      <c r="A6" s="654"/>
      <c r="H6" s="655"/>
    </row>
    <row r="7" spans="1:8" ht="46.5" customHeight="1">
      <c r="A7" s="1108" t="s">
        <v>183</v>
      </c>
      <c r="B7" s="1109"/>
      <c r="C7" s="1109"/>
      <c r="D7" s="1109"/>
      <c r="E7" s="1109"/>
      <c r="F7" s="1101">
        <f>CPYG!D7</f>
        <v>2016</v>
      </c>
      <c r="G7" s="1101"/>
      <c r="H7" s="1102"/>
    </row>
    <row r="8" spans="1:8" ht="30" customHeight="1" thickBot="1">
      <c r="A8" s="1106" t="str">
        <f>CPYG!A8</f>
        <v>EMPRESA PÚBLICA:  INSTITUCIÓN FERIAL DE TENERIFE, S.A.</v>
      </c>
      <c r="B8" s="1107"/>
      <c r="C8" s="1107"/>
      <c r="D8" s="1107"/>
      <c r="E8" s="1107"/>
      <c r="F8" s="1103" t="s">
        <v>165</v>
      </c>
      <c r="G8" s="1104"/>
      <c r="H8" s="1105"/>
    </row>
    <row r="9" spans="1:8" ht="24.75" customHeight="1" thickBot="1">
      <c r="A9" s="1111" t="s">
        <v>505</v>
      </c>
      <c r="B9" s="1112"/>
      <c r="C9" s="1112"/>
      <c r="D9" s="1112"/>
      <c r="E9" s="1112"/>
      <c r="F9" s="1112"/>
      <c r="G9" s="1112"/>
      <c r="H9" s="1113"/>
    </row>
    <row r="10" spans="1:15" ht="19.5" customHeight="1" thickBot="1">
      <c r="A10" s="613" t="s">
        <v>504</v>
      </c>
      <c r="B10" s="614"/>
      <c r="C10" s="615" t="s">
        <v>499</v>
      </c>
      <c r="D10" s="615">
        <v>2015</v>
      </c>
      <c r="E10" s="615">
        <v>2016</v>
      </c>
      <c r="F10" s="615" t="s">
        <v>106</v>
      </c>
      <c r="G10" s="615" t="s">
        <v>536</v>
      </c>
      <c r="H10" s="616" t="s">
        <v>535</v>
      </c>
      <c r="O10" s="248"/>
    </row>
    <row r="11" spans="1:15" ht="19.5" customHeight="1" thickBot="1">
      <c r="A11" s="617" t="s">
        <v>500</v>
      </c>
      <c r="B11" s="618"/>
      <c r="C11" s="619"/>
      <c r="D11" s="620">
        <f>PASIVO!B32</f>
        <v>1311809.8</v>
      </c>
      <c r="E11" s="621">
        <f>+D24</f>
        <v>1322755.82</v>
      </c>
      <c r="F11" s="622"/>
      <c r="G11" s="623"/>
      <c r="H11" s="624"/>
      <c r="O11" s="248"/>
    </row>
    <row r="12" spans="1:15" ht="19.5" customHeight="1">
      <c r="A12" s="644" t="s">
        <v>713</v>
      </c>
      <c r="B12" s="643"/>
      <c r="C12" s="249" t="s">
        <v>515</v>
      </c>
      <c r="D12" s="253">
        <v>43189.75</v>
      </c>
      <c r="E12" s="253">
        <v>0</v>
      </c>
      <c r="F12" s="251"/>
      <c r="G12" s="251"/>
      <c r="H12" s="252"/>
      <c r="O12" s="248"/>
    </row>
    <row r="13" spans="1:15" ht="19.5" customHeight="1">
      <c r="A13" s="805"/>
      <c r="B13" s="643"/>
      <c r="C13" s="249"/>
      <c r="D13" s="253"/>
      <c r="E13" s="253"/>
      <c r="F13" s="254"/>
      <c r="G13" s="254"/>
      <c r="H13" s="255"/>
      <c r="O13" s="248"/>
    </row>
    <row r="14" spans="1:15" ht="19.5" customHeight="1">
      <c r="A14" s="682"/>
      <c r="B14" s="683"/>
      <c r="C14" s="684"/>
      <c r="D14" s="685"/>
      <c r="E14" s="685"/>
      <c r="F14" s="256"/>
      <c r="G14" s="256"/>
      <c r="H14" s="257"/>
      <c r="O14" s="248"/>
    </row>
    <row r="15" spans="1:15" ht="19.5" customHeight="1">
      <c r="A15" s="644"/>
      <c r="B15" s="643"/>
      <c r="C15" s="249"/>
      <c r="D15" s="253"/>
      <c r="E15" s="253"/>
      <c r="F15" s="691"/>
      <c r="G15" s="691"/>
      <c r="H15" s="692"/>
      <c r="O15" s="248"/>
    </row>
    <row r="16" spans="1:15" ht="19.5" customHeight="1">
      <c r="A16" s="644"/>
      <c r="B16" s="643"/>
      <c r="C16" s="249"/>
      <c r="D16" s="253"/>
      <c r="E16" s="253"/>
      <c r="F16" s="256"/>
      <c r="G16" s="256"/>
      <c r="H16" s="257"/>
      <c r="O16" s="248"/>
    </row>
    <row r="17" spans="1:15" ht="19.5" customHeight="1">
      <c r="A17" s="644"/>
      <c r="B17" s="643"/>
      <c r="C17" s="249"/>
      <c r="D17" s="253"/>
      <c r="E17" s="253"/>
      <c r="F17" s="256"/>
      <c r="G17" s="256"/>
      <c r="H17" s="257"/>
      <c r="O17" s="248"/>
    </row>
    <row r="18" spans="1:15" ht="19.5" customHeight="1">
      <c r="A18" s="644"/>
      <c r="B18" s="643"/>
      <c r="C18" s="249"/>
      <c r="D18" s="253"/>
      <c r="E18" s="253"/>
      <c r="F18" s="256"/>
      <c r="G18" s="256"/>
      <c r="H18" s="257"/>
      <c r="O18" s="248"/>
    </row>
    <row r="19" spans="1:15" ht="19.5" customHeight="1" thickBot="1">
      <c r="A19" s="645"/>
      <c r="B19" s="646"/>
      <c r="C19" s="356"/>
      <c r="D19" s="357"/>
      <c r="E19" s="357"/>
      <c r="F19" s="260"/>
      <c r="G19" s="260"/>
      <c r="H19" s="261"/>
      <c r="O19" s="248"/>
    </row>
    <row r="20" spans="1:15" ht="19.5" customHeight="1" thickBot="1">
      <c r="A20" s="627" t="s">
        <v>507</v>
      </c>
      <c r="B20" s="628"/>
      <c r="C20" s="629"/>
      <c r="D20" s="693">
        <f>SUM(D12:D19)</f>
        <v>43189.75</v>
      </c>
      <c r="E20" s="694">
        <f>SUM(E12:E19)</f>
        <v>0</v>
      </c>
      <c r="F20" s="656"/>
      <c r="G20" s="656"/>
      <c r="H20" s="656"/>
      <c r="O20" s="248"/>
    </row>
    <row r="21" spans="1:15" ht="19.5" customHeight="1">
      <c r="A21" s="630" t="s">
        <v>501</v>
      </c>
      <c r="B21" s="625"/>
      <c r="C21" s="592"/>
      <c r="D21" s="657"/>
      <c r="E21" s="358"/>
      <c r="F21" s="656"/>
      <c r="G21" s="656"/>
      <c r="H21" s="656"/>
      <c r="O21" s="248"/>
    </row>
    <row r="22" spans="1:15" ht="19.5" customHeight="1">
      <c r="A22" s="626" t="s">
        <v>502</v>
      </c>
      <c r="B22" s="625"/>
      <c r="C22" s="262"/>
      <c r="D22" s="263">
        <f>-CPYG!C63</f>
        <v>-32243.73</v>
      </c>
      <c r="E22" s="359">
        <f>-CPYG!D63</f>
        <v>-32243.73</v>
      </c>
      <c r="F22" s="656"/>
      <c r="G22" s="656"/>
      <c r="H22" s="656"/>
      <c r="O22" s="248"/>
    </row>
    <row r="23" spans="1:15" ht="19.5" customHeight="1" thickBot="1">
      <c r="A23" s="626" t="s">
        <v>322</v>
      </c>
      <c r="B23" s="631"/>
      <c r="C23" s="264"/>
      <c r="D23" s="265"/>
      <c r="E23" s="360"/>
      <c r="F23" s="656"/>
      <c r="G23" s="656"/>
      <c r="H23" s="656"/>
      <c r="O23" s="248"/>
    </row>
    <row r="24" spans="1:15" ht="19.5" customHeight="1" thickBot="1" thickTop="1">
      <c r="A24" s="632" t="s">
        <v>503</v>
      </c>
      <c r="B24" s="633"/>
      <c r="C24" s="634"/>
      <c r="D24" s="695">
        <f>D11+D20+D21+D22+D23</f>
        <v>1322755.82</v>
      </c>
      <c r="E24" s="695">
        <f>E11+E20+E21+E22+E23</f>
        <v>1290512.09</v>
      </c>
      <c r="F24" s="656"/>
      <c r="G24" s="656"/>
      <c r="H24" s="656"/>
      <c r="O24" s="248"/>
    </row>
    <row r="25" spans="1:9" s="133" customFormat="1" ht="19.5" customHeight="1">
      <c r="A25" s="656"/>
      <c r="B25" s="656"/>
      <c r="C25" s="656"/>
      <c r="D25" s="656"/>
      <c r="E25" s="656"/>
      <c r="F25" s="656"/>
      <c r="G25" s="656"/>
      <c r="H25" s="656"/>
      <c r="I25" s="810"/>
    </row>
    <row r="26" spans="1:9" s="133" customFormat="1" ht="19.5" customHeight="1" thickBot="1">
      <c r="A26" s="656"/>
      <c r="B26" s="656"/>
      <c r="C26" s="656"/>
      <c r="D26" s="656"/>
      <c r="E26" s="808"/>
      <c r="F26" s="656"/>
      <c r="G26" s="656"/>
      <c r="H26" s="656"/>
      <c r="I26" s="810"/>
    </row>
    <row r="27" spans="1:9" s="133" customFormat="1" ht="19.5" customHeight="1" thickBot="1">
      <c r="A27" s="613" t="s">
        <v>100</v>
      </c>
      <c r="B27" s="614"/>
      <c r="C27" s="615" t="s">
        <v>499</v>
      </c>
      <c r="D27" s="615">
        <v>2015</v>
      </c>
      <c r="E27" s="615">
        <v>2016</v>
      </c>
      <c r="F27" s="615" t="s">
        <v>106</v>
      </c>
      <c r="G27" s="615" t="s">
        <v>536</v>
      </c>
      <c r="H27" s="616" t="s">
        <v>535</v>
      </c>
      <c r="I27" s="810"/>
    </row>
    <row r="28" spans="1:16" s="133" customFormat="1" ht="19.5" customHeight="1" thickBot="1">
      <c r="A28" s="613" t="s">
        <v>324</v>
      </c>
      <c r="B28" s="614"/>
      <c r="C28" s="635"/>
      <c r="D28" s="636"/>
      <c r="E28" s="636"/>
      <c r="F28" s="635"/>
      <c r="G28" s="635"/>
      <c r="H28" s="637"/>
      <c r="I28" s="810"/>
      <c r="J28" s="889"/>
      <c r="K28" s="889"/>
      <c r="L28" s="889"/>
      <c r="M28" s="889"/>
      <c r="N28" s="889"/>
      <c r="O28" s="889"/>
      <c r="P28" s="889"/>
    </row>
    <row r="29" spans="1:16" s="133" customFormat="1" ht="19.5" customHeight="1">
      <c r="A29" s="642" t="s">
        <v>467</v>
      </c>
      <c r="B29" s="643"/>
      <c r="C29" s="249" t="s">
        <v>515</v>
      </c>
      <c r="D29" s="250">
        <v>172768.12</v>
      </c>
      <c r="E29" s="250">
        <v>172768.12</v>
      </c>
      <c r="F29" s="712" t="s">
        <v>541</v>
      </c>
      <c r="G29" s="712" t="s">
        <v>542</v>
      </c>
      <c r="H29" s="713" t="s">
        <v>543</v>
      </c>
      <c r="I29" s="810"/>
      <c r="J29" s="898" t="s">
        <v>358</v>
      </c>
      <c r="K29" s="898" t="s">
        <v>541</v>
      </c>
      <c r="L29" s="898" t="s">
        <v>542</v>
      </c>
      <c r="M29" s="898" t="s">
        <v>543</v>
      </c>
      <c r="N29" s="899">
        <v>172768.12</v>
      </c>
      <c r="O29" s="900" t="s">
        <v>360</v>
      </c>
      <c r="P29" s="889"/>
    </row>
    <row r="30" spans="1:16" s="133" customFormat="1" ht="19.5" customHeight="1">
      <c r="A30" s="644" t="s">
        <v>468</v>
      </c>
      <c r="B30" s="643"/>
      <c r="C30" s="659" t="s">
        <v>515</v>
      </c>
      <c r="D30" s="253">
        <v>200000</v>
      </c>
      <c r="E30" s="685">
        <v>0</v>
      </c>
      <c r="F30" s="712"/>
      <c r="G30" s="712"/>
      <c r="H30" s="713"/>
      <c r="I30" s="815"/>
      <c r="J30" s="889"/>
      <c r="K30" s="889"/>
      <c r="L30" s="889"/>
      <c r="M30" s="889"/>
      <c r="N30" s="901"/>
      <c r="O30" s="889"/>
      <c r="P30" s="889"/>
    </row>
    <row r="31" spans="1:16" s="133" customFormat="1" ht="19.5" customHeight="1">
      <c r="A31" s="644" t="s">
        <v>470</v>
      </c>
      <c r="B31" s="643"/>
      <c r="C31" s="249" t="s">
        <v>515</v>
      </c>
      <c r="D31" s="253">
        <v>25000</v>
      </c>
      <c r="E31" s="253">
        <v>0</v>
      </c>
      <c r="F31" s="712"/>
      <c r="G31" s="712"/>
      <c r="H31" s="713"/>
      <c r="I31" s="810"/>
      <c r="J31" s="889"/>
      <c r="K31" s="889"/>
      <c r="L31" s="889"/>
      <c r="M31" s="889"/>
      <c r="N31" s="901"/>
      <c r="O31" s="889"/>
      <c r="P31" s="889"/>
    </row>
    <row r="32" spans="1:16" s="133" customFormat="1" ht="19.5" customHeight="1">
      <c r="A32" s="644" t="s">
        <v>471</v>
      </c>
      <c r="B32" s="643"/>
      <c r="C32" s="249" t="s">
        <v>515</v>
      </c>
      <c r="D32" s="253">
        <v>30000</v>
      </c>
      <c r="E32" s="253">
        <v>0</v>
      </c>
      <c r="F32" s="712"/>
      <c r="G32" s="712"/>
      <c r="H32" s="713"/>
      <c r="I32" s="811"/>
      <c r="J32" s="889"/>
      <c r="K32" s="889"/>
      <c r="L32" s="889"/>
      <c r="M32" s="889"/>
      <c r="N32" s="901"/>
      <c r="O32" s="889"/>
      <c r="P32" s="889"/>
    </row>
    <row r="33" spans="1:16" s="133" customFormat="1" ht="19.5" customHeight="1">
      <c r="A33" s="644" t="s">
        <v>259</v>
      </c>
      <c r="B33" s="643"/>
      <c r="C33" s="249" t="s">
        <v>519</v>
      </c>
      <c r="D33" s="253">
        <v>6000</v>
      </c>
      <c r="E33" s="253">
        <v>6000</v>
      </c>
      <c r="F33" s="712"/>
      <c r="G33" s="712"/>
      <c r="H33" s="713"/>
      <c r="I33" s="811"/>
      <c r="J33" s="889"/>
      <c r="K33" s="889"/>
      <c r="L33" s="889"/>
      <c r="M33" s="889"/>
      <c r="N33" s="901"/>
      <c r="O33" s="889"/>
      <c r="P33" s="889"/>
    </row>
    <row r="34" spans="1:16" s="133" customFormat="1" ht="19.5" customHeight="1">
      <c r="A34" s="644" t="s">
        <v>544</v>
      </c>
      <c r="B34" s="643"/>
      <c r="C34" s="249" t="s">
        <v>515</v>
      </c>
      <c r="D34" s="253">
        <v>0</v>
      </c>
      <c r="E34" s="253">
        <v>55000</v>
      </c>
      <c r="F34" s="712">
        <v>501</v>
      </c>
      <c r="G34" s="712">
        <v>4331</v>
      </c>
      <c r="H34" s="713">
        <v>44903</v>
      </c>
      <c r="I34" s="812"/>
      <c r="J34" s="898" t="s">
        <v>358</v>
      </c>
      <c r="K34" s="898" t="s">
        <v>359</v>
      </c>
      <c r="L34" s="898" t="s">
        <v>542</v>
      </c>
      <c r="M34" s="898" t="s">
        <v>543</v>
      </c>
      <c r="N34" s="899">
        <v>55000</v>
      </c>
      <c r="O34" s="900" t="s">
        <v>361</v>
      </c>
      <c r="P34" s="889"/>
    </row>
    <row r="35" spans="1:16" s="133" customFormat="1" ht="19.5" customHeight="1">
      <c r="A35" s="644"/>
      <c r="B35" s="643"/>
      <c r="C35" s="249"/>
      <c r="D35" s="253"/>
      <c r="E35" s="253"/>
      <c r="F35" s="712"/>
      <c r="G35" s="712"/>
      <c r="H35" s="713"/>
      <c r="I35" s="810"/>
      <c r="J35" s="889"/>
      <c r="K35" s="889"/>
      <c r="L35" s="889"/>
      <c r="M35" s="889"/>
      <c r="N35" s="902"/>
      <c r="O35" s="889"/>
      <c r="P35" s="889"/>
    </row>
    <row r="36" spans="1:16" s="133" customFormat="1" ht="19.5" customHeight="1" thickBot="1">
      <c r="A36" s="645"/>
      <c r="B36" s="646"/>
      <c r="C36" s="356"/>
      <c r="D36" s="357"/>
      <c r="E36" s="357"/>
      <c r="F36" s="856"/>
      <c r="G36" s="856"/>
      <c r="H36" s="857"/>
      <c r="I36" s="810"/>
      <c r="J36" s="889"/>
      <c r="K36" s="889"/>
      <c r="L36" s="889"/>
      <c r="M36" s="889"/>
      <c r="N36" s="889"/>
      <c r="O36" s="889"/>
      <c r="P36" s="889"/>
    </row>
    <row r="37" spans="1:16" s="133" customFormat="1" ht="19.5" customHeight="1" thickBot="1">
      <c r="A37" s="651" t="s">
        <v>105</v>
      </c>
      <c r="B37" s="618"/>
      <c r="C37" s="652"/>
      <c r="D37" s="696">
        <f>SUM(D29:D36)</f>
        <v>433768.12</v>
      </c>
      <c r="E37" s="697">
        <f>SUM(E29:E36)</f>
        <v>233768.12</v>
      </c>
      <c r="F37" s="656"/>
      <c r="G37" s="656"/>
      <c r="H37" s="656"/>
      <c r="I37" s="810"/>
      <c r="J37" s="889"/>
      <c r="K37" s="889"/>
      <c r="L37" s="889"/>
      <c r="M37" s="889"/>
      <c r="N37" s="889"/>
      <c r="O37" s="889"/>
      <c r="P37" s="889"/>
    </row>
    <row r="38" spans="1:16" s="133" customFormat="1" ht="19.5" customHeight="1" thickBot="1">
      <c r="A38" s="656"/>
      <c r="B38" s="656"/>
      <c r="C38" s="656"/>
      <c r="D38" s="656"/>
      <c r="E38" s="656"/>
      <c r="F38" s="656"/>
      <c r="G38" s="656"/>
      <c r="H38" s="656"/>
      <c r="I38" s="810"/>
      <c r="J38" s="889"/>
      <c r="K38" s="889"/>
      <c r="L38" s="889"/>
      <c r="M38" s="889"/>
      <c r="N38" s="889"/>
      <c r="O38" s="889"/>
      <c r="P38" s="889"/>
    </row>
    <row r="39" spans="1:16" s="133" customFormat="1" ht="41.25" customHeight="1" thickBot="1">
      <c r="A39" s="640" t="s">
        <v>410</v>
      </c>
      <c r="B39" s="614"/>
      <c r="C39" s="615" t="s">
        <v>499</v>
      </c>
      <c r="D39" s="615">
        <v>2015</v>
      </c>
      <c r="E39" s="615">
        <v>2016</v>
      </c>
      <c r="F39" s="615" t="s">
        <v>106</v>
      </c>
      <c r="G39" s="615" t="s">
        <v>536</v>
      </c>
      <c r="H39" s="616" t="s">
        <v>535</v>
      </c>
      <c r="I39" s="810"/>
      <c r="J39" s="889"/>
      <c r="K39" s="889"/>
      <c r="L39" s="889"/>
      <c r="M39" s="889"/>
      <c r="N39" s="889"/>
      <c r="O39" s="889"/>
      <c r="P39" s="889"/>
    </row>
    <row r="40" spans="1:16" s="133" customFormat="1" ht="19.5" customHeight="1">
      <c r="A40" s="805" t="s">
        <v>466</v>
      </c>
      <c r="B40" s="806"/>
      <c r="C40" s="659" t="s">
        <v>515</v>
      </c>
      <c r="D40" s="253">
        <v>528340.54</v>
      </c>
      <c r="E40" s="253">
        <f>+N40+N41+N42+N43+N44</f>
        <v>664018.8900000001</v>
      </c>
      <c r="F40" s="712" t="s">
        <v>359</v>
      </c>
      <c r="G40" s="712" t="s">
        <v>542</v>
      </c>
      <c r="H40" s="713" t="s">
        <v>543</v>
      </c>
      <c r="I40" s="810"/>
      <c r="J40" s="903" t="s">
        <v>358</v>
      </c>
      <c r="K40" s="903" t="s">
        <v>359</v>
      </c>
      <c r="L40" s="903" t="s">
        <v>542</v>
      </c>
      <c r="M40" s="903" t="s">
        <v>543</v>
      </c>
      <c r="N40" s="904">
        <v>448636.16</v>
      </c>
      <c r="O40" s="905" t="s">
        <v>147</v>
      </c>
      <c r="P40" s="889"/>
    </row>
    <row r="41" spans="1:16" ht="24.75" customHeight="1">
      <c r="A41" s="682" t="s">
        <v>469</v>
      </c>
      <c r="B41" s="683"/>
      <c r="C41" s="684" t="s">
        <v>515</v>
      </c>
      <c r="D41" s="685">
        <v>600000</v>
      </c>
      <c r="E41" s="685">
        <v>0</v>
      </c>
      <c r="F41" s="256"/>
      <c r="G41" s="256"/>
      <c r="H41" s="653"/>
      <c r="J41" s="903" t="s">
        <v>358</v>
      </c>
      <c r="K41" s="903" t="s">
        <v>359</v>
      </c>
      <c r="L41" s="903" t="s">
        <v>542</v>
      </c>
      <c r="M41" s="903" t="s">
        <v>543</v>
      </c>
      <c r="N41" s="904">
        <v>30610.72</v>
      </c>
      <c r="O41" s="905" t="s">
        <v>148</v>
      </c>
      <c r="P41" s="906"/>
    </row>
    <row r="42" spans="1:16" ht="19.5" customHeight="1">
      <c r="A42" s="682"/>
      <c r="B42" s="683"/>
      <c r="C42" s="684"/>
      <c r="D42" s="685"/>
      <c r="E42" s="685"/>
      <c r="F42" s="256"/>
      <c r="G42" s="256"/>
      <c r="H42" s="257"/>
      <c r="J42" s="903" t="s">
        <v>358</v>
      </c>
      <c r="K42" s="903" t="s">
        <v>359</v>
      </c>
      <c r="L42" s="903" t="s">
        <v>542</v>
      </c>
      <c r="M42" s="903" t="s">
        <v>543</v>
      </c>
      <c r="N42" s="904">
        <v>9524.32</v>
      </c>
      <c r="O42" s="905" t="s">
        <v>149</v>
      </c>
      <c r="P42" s="906"/>
    </row>
    <row r="43" spans="1:16" ht="19.5" customHeight="1">
      <c r="A43" s="644"/>
      <c r="B43" s="643"/>
      <c r="C43" s="249"/>
      <c r="D43" s="253"/>
      <c r="E43" s="253"/>
      <c r="F43" s="256"/>
      <c r="G43" s="256"/>
      <c r="H43" s="257"/>
      <c r="J43" s="903" t="s">
        <v>358</v>
      </c>
      <c r="K43" s="903" t="s">
        <v>359</v>
      </c>
      <c r="L43" s="903" t="s">
        <v>542</v>
      </c>
      <c r="M43" s="903" t="s">
        <v>543</v>
      </c>
      <c r="N43" s="904">
        <v>79704.38</v>
      </c>
      <c r="O43" s="905" t="s">
        <v>150</v>
      </c>
      <c r="P43" s="906"/>
    </row>
    <row r="44" spans="1:16" ht="19.5" customHeight="1">
      <c r="A44" s="644"/>
      <c r="B44" s="643"/>
      <c r="C44" s="249"/>
      <c r="D44" s="253"/>
      <c r="E44" s="253"/>
      <c r="F44" s="256"/>
      <c r="G44" s="256"/>
      <c r="H44" s="257"/>
      <c r="J44" s="903" t="s">
        <v>358</v>
      </c>
      <c r="K44" s="903" t="s">
        <v>359</v>
      </c>
      <c r="L44" s="903" t="s">
        <v>542</v>
      </c>
      <c r="M44" s="903" t="s">
        <v>543</v>
      </c>
      <c r="N44" s="904">
        <v>95543.31</v>
      </c>
      <c r="O44" s="905" t="s">
        <v>151</v>
      </c>
      <c r="P44" s="906"/>
    </row>
    <row r="45" spans="1:16" ht="19.5" customHeight="1">
      <c r="A45" s="644"/>
      <c r="B45" s="643"/>
      <c r="C45" s="249"/>
      <c r="D45" s="253"/>
      <c r="E45" s="253"/>
      <c r="F45" s="256"/>
      <c r="G45" s="256"/>
      <c r="H45" s="257"/>
      <c r="J45" s="907"/>
      <c r="K45" s="907"/>
      <c r="L45" s="907"/>
      <c r="M45" s="908"/>
      <c r="N45" s="908"/>
      <c r="O45" s="908"/>
      <c r="P45" s="906"/>
    </row>
    <row r="46" spans="1:16" ht="19.5" customHeight="1">
      <c r="A46" s="644"/>
      <c r="B46" s="643"/>
      <c r="C46" s="249"/>
      <c r="D46" s="253"/>
      <c r="E46" s="535"/>
      <c r="F46" s="256"/>
      <c r="G46" s="256"/>
      <c r="H46" s="257"/>
      <c r="J46" s="907"/>
      <c r="K46" s="907"/>
      <c r="L46" s="907"/>
      <c r="M46" s="908"/>
      <c r="N46" s="908"/>
      <c r="O46" s="908"/>
      <c r="P46" s="906"/>
    </row>
    <row r="47" spans="1:16" ht="19.5" customHeight="1" thickBot="1">
      <c r="A47" s="645"/>
      <c r="B47" s="646"/>
      <c r="C47" s="356"/>
      <c r="D47" s="357"/>
      <c r="E47" s="357"/>
      <c r="F47" s="260"/>
      <c r="G47" s="260"/>
      <c r="H47" s="261"/>
      <c r="J47" s="907"/>
      <c r="K47" s="907"/>
      <c r="L47" s="907"/>
      <c r="M47" s="908"/>
      <c r="N47" s="909">
        <f>E48+E34+E29</f>
        <v>891787.0100000001</v>
      </c>
      <c r="O47" s="908"/>
      <c r="P47" s="906"/>
    </row>
    <row r="48" spans="1:16" ht="19.5" customHeight="1" thickBot="1">
      <c r="A48" s="638" t="s">
        <v>105</v>
      </c>
      <c r="B48" s="614"/>
      <c r="C48" s="639"/>
      <c r="D48" s="698">
        <f>SUM(D40:D47)</f>
        <v>1128340.54</v>
      </c>
      <c r="E48" s="694">
        <f>SUM(E40:E47)</f>
        <v>664018.8900000001</v>
      </c>
      <c r="F48" s="656"/>
      <c r="G48" s="656"/>
      <c r="H48" s="656"/>
      <c r="J48" s="898" t="s">
        <v>358</v>
      </c>
      <c r="K48" s="898" t="s">
        <v>359</v>
      </c>
      <c r="L48" s="898" t="s">
        <v>542</v>
      </c>
      <c r="M48" s="898" t="s">
        <v>543</v>
      </c>
      <c r="N48" s="909">
        <f>+'[1]C.K.26.11'!$H$1411+'[1]C.K.26.11'!$H$1412+'[1]C.K.26.11'!$H$1413+'[1]C.K.26.11'!$H$1414+'[1]C.K.26.11'!$H$1416</f>
        <v>663818.8899999999</v>
      </c>
      <c r="O48" s="908">
        <f>+N48-E48</f>
        <v>-200.00000000023283</v>
      </c>
      <c r="P48" s="906"/>
    </row>
    <row r="49" spans="1:16" s="133" customFormat="1" ht="19.5" customHeight="1">
      <c r="A49" s="656"/>
      <c r="B49" s="656"/>
      <c r="C49" s="656"/>
      <c r="D49" s="656"/>
      <c r="E49" s="656"/>
      <c r="F49" s="656"/>
      <c r="G49" s="656"/>
      <c r="H49" s="656"/>
      <c r="I49" s="810"/>
      <c r="J49" s="889"/>
      <c r="K49" s="889"/>
      <c r="L49" s="889"/>
      <c r="M49" s="889"/>
      <c r="N49" s="889"/>
      <c r="O49" s="889"/>
      <c r="P49" s="889"/>
    </row>
    <row r="50" spans="1:16" s="133" customFormat="1" ht="19.5" customHeight="1" thickBot="1">
      <c r="A50" s="656"/>
      <c r="B50" s="656"/>
      <c r="C50" s="656"/>
      <c r="D50" s="656"/>
      <c r="E50" s="656"/>
      <c r="F50" s="656"/>
      <c r="G50" s="656"/>
      <c r="H50" s="656"/>
      <c r="I50" s="810"/>
      <c r="J50" s="889"/>
      <c r="K50" s="889"/>
      <c r="L50" s="889"/>
      <c r="M50" s="889"/>
      <c r="N50" s="889"/>
      <c r="O50" s="889"/>
      <c r="P50" s="889"/>
    </row>
    <row r="51" spans="1:16" s="133" customFormat="1" ht="39" customHeight="1" thickBot="1">
      <c r="A51" s="640" t="s">
        <v>506</v>
      </c>
      <c r="B51" s="614"/>
      <c r="C51" s="615" t="s">
        <v>499</v>
      </c>
      <c r="D51" s="615">
        <v>2015</v>
      </c>
      <c r="E51" s="615">
        <v>2016</v>
      </c>
      <c r="F51" s="615" t="s">
        <v>106</v>
      </c>
      <c r="G51" s="615" t="s">
        <v>536</v>
      </c>
      <c r="H51" s="616" t="s">
        <v>535</v>
      </c>
      <c r="I51" s="810"/>
      <c r="J51" s="889"/>
      <c r="K51" s="889"/>
      <c r="L51" s="889"/>
      <c r="M51" s="889"/>
      <c r="N51" s="889"/>
      <c r="O51" s="889"/>
      <c r="P51" s="889"/>
    </row>
    <row r="52" spans="1:16" s="133" customFormat="1" ht="19.5" customHeight="1">
      <c r="A52" s="642"/>
      <c r="B52" s="643"/>
      <c r="C52" s="249"/>
      <c r="D52" s="250"/>
      <c r="E52" s="250"/>
      <c r="F52" s="254"/>
      <c r="G52" s="254"/>
      <c r="H52" s="255"/>
      <c r="I52" s="810"/>
      <c r="J52" s="889"/>
      <c r="K52" s="889"/>
      <c r="L52" s="889"/>
      <c r="M52" s="889"/>
      <c r="N52" s="889"/>
      <c r="O52" s="889"/>
      <c r="P52" s="889"/>
    </row>
    <row r="53" spans="1:16" s="133" customFormat="1" ht="19.5" customHeight="1">
      <c r="A53" s="644"/>
      <c r="B53" s="643"/>
      <c r="C53" s="249"/>
      <c r="D53" s="253"/>
      <c r="E53" s="253"/>
      <c r="F53" s="256"/>
      <c r="G53" s="256"/>
      <c r="H53" s="257"/>
      <c r="I53" s="810"/>
      <c r="J53" s="889"/>
      <c r="K53" s="889"/>
      <c r="L53" s="889"/>
      <c r="M53" s="889"/>
      <c r="N53" s="889"/>
      <c r="O53" s="889"/>
      <c r="P53" s="889"/>
    </row>
    <row r="54" spans="1:16" s="133" customFormat="1" ht="19.5" customHeight="1">
      <c r="A54" s="644"/>
      <c r="B54" s="643"/>
      <c r="C54" s="249"/>
      <c r="D54" s="253"/>
      <c r="E54" s="253"/>
      <c r="F54" s="256"/>
      <c r="G54" s="256"/>
      <c r="H54" s="257"/>
      <c r="I54" s="810"/>
      <c r="J54" s="889"/>
      <c r="K54" s="889"/>
      <c r="L54" s="889"/>
      <c r="M54" s="889"/>
      <c r="N54" s="889"/>
      <c r="O54" s="889"/>
      <c r="P54" s="889"/>
    </row>
    <row r="55" spans="1:16" s="133" customFormat="1" ht="19.5" customHeight="1">
      <c r="A55" s="644"/>
      <c r="B55" s="643"/>
      <c r="C55" s="249"/>
      <c r="D55" s="253"/>
      <c r="E55" s="253"/>
      <c r="F55" s="256"/>
      <c r="G55" s="256"/>
      <c r="H55" s="257"/>
      <c r="I55" s="810"/>
      <c r="J55" s="889"/>
      <c r="K55" s="889"/>
      <c r="L55" s="889"/>
      <c r="M55" s="889"/>
      <c r="N55" s="889"/>
      <c r="O55" s="889"/>
      <c r="P55" s="889"/>
    </row>
    <row r="56" spans="1:16" s="133" customFormat="1" ht="19.5" customHeight="1">
      <c r="A56" s="644"/>
      <c r="B56" s="643"/>
      <c r="C56" s="249"/>
      <c r="D56" s="253"/>
      <c r="E56" s="253"/>
      <c r="F56" s="256"/>
      <c r="G56" s="256"/>
      <c r="H56" s="257"/>
      <c r="I56" s="810"/>
      <c r="J56" s="889"/>
      <c r="K56" s="889"/>
      <c r="L56" s="889"/>
      <c r="M56" s="889"/>
      <c r="N56" s="889"/>
      <c r="O56" s="889"/>
      <c r="P56" s="889"/>
    </row>
    <row r="57" spans="1:16" s="133" customFormat="1" ht="19.5" customHeight="1">
      <c r="A57" s="644"/>
      <c r="B57" s="643"/>
      <c r="C57" s="249"/>
      <c r="D57" s="253"/>
      <c r="E57" s="253"/>
      <c r="F57" s="256"/>
      <c r="G57" s="256"/>
      <c r="H57" s="257"/>
      <c r="I57" s="810"/>
      <c r="J57" s="889"/>
      <c r="K57" s="889"/>
      <c r="L57" s="889"/>
      <c r="M57" s="889"/>
      <c r="N57" s="889"/>
      <c r="O57" s="889"/>
      <c r="P57" s="889"/>
    </row>
    <row r="58" spans="1:16" s="133" customFormat="1" ht="19.5" customHeight="1">
      <c r="A58" s="644"/>
      <c r="B58" s="643"/>
      <c r="C58" s="249"/>
      <c r="D58" s="253"/>
      <c r="E58" s="253"/>
      <c r="F58" s="256"/>
      <c r="G58" s="256"/>
      <c r="H58" s="257"/>
      <c r="I58" s="810"/>
      <c r="J58" s="889"/>
      <c r="K58" s="889"/>
      <c r="L58" s="889"/>
      <c r="M58" s="889"/>
      <c r="N58" s="889"/>
      <c r="O58" s="889"/>
      <c r="P58" s="889"/>
    </row>
    <row r="59" spans="1:16" s="133" customFormat="1" ht="19.5" customHeight="1" thickBot="1">
      <c r="A59" s="644"/>
      <c r="B59" s="647"/>
      <c r="C59" s="258"/>
      <c r="D59" s="259"/>
      <c r="E59" s="259"/>
      <c r="F59" s="260"/>
      <c r="G59" s="260"/>
      <c r="H59" s="261"/>
      <c r="I59" s="810"/>
      <c r="J59" s="889"/>
      <c r="K59" s="889"/>
      <c r="L59" s="889"/>
      <c r="M59" s="889"/>
      <c r="N59" s="889"/>
      <c r="O59" s="889"/>
      <c r="P59" s="889"/>
    </row>
    <row r="60" spans="1:16" s="133" customFormat="1" ht="19.5" customHeight="1" thickBot="1">
      <c r="A60" s="638" t="s">
        <v>513</v>
      </c>
      <c r="B60" s="614"/>
      <c r="C60" s="639"/>
      <c r="D60" s="641">
        <f>SUM(D52:D59)</f>
        <v>0</v>
      </c>
      <c r="E60" s="641">
        <f>SUM(E52:E59)</f>
        <v>0</v>
      </c>
      <c r="F60" s="656"/>
      <c r="G60" s="656"/>
      <c r="H60" s="656"/>
      <c r="I60" s="810"/>
      <c r="J60" s="889"/>
      <c r="K60" s="889"/>
      <c r="L60" s="889"/>
      <c r="M60" s="889"/>
      <c r="N60" s="889"/>
      <c r="O60" s="889"/>
      <c r="P60" s="889"/>
    </row>
    <row r="61" spans="1:16" s="133" customFormat="1" ht="19.5" customHeight="1">
      <c r="A61" s="266"/>
      <c r="B61" s="267"/>
      <c r="C61" s="268"/>
      <c r="D61" s="268"/>
      <c r="E61" s="268"/>
      <c r="I61" s="810"/>
      <c r="J61" s="889"/>
      <c r="K61" s="889"/>
      <c r="L61" s="889"/>
      <c r="M61" s="889"/>
      <c r="N61" s="889"/>
      <c r="O61" s="889"/>
      <c r="P61" s="889"/>
    </row>
    <row r="62" spans="1:16" s="133" customFormat="1" ht="45.75" customHeight="1" hidden="1">
      <c r="A62" s="1114"/>
      <c r="B62" s="1114"/>
      <c r="C62" s="1114"/>
      <c r="D62" s="1114"/>
      <c r="E62" s="1114"/>
      <c r="F62" s="1114"/>
      <c r="G62" s="1114"/>
      <c r="H62" s="1114"/>
      <c r="I62" s="810"/>
      <c r="J62" s="889"/>
      <c r="K62" s="889"/>
      <c r="L62" s="889"/>
      <c r="M62" s="889"/>
      <c r="N62" s="889"/>
      <c r="O62" s="889"/>
      <c r="P62" s="889"/>
    </row>
    <row r="63" spans="1:16" s="133" customFormat="1" ht="19.5" customHeight="1" hidden="1">
      <c r="A63" s="1110"/>
      <c r="B63" s="1110"/>
      <c r="C63" s="1110"/>
      <c r="D63" s="1110"/>
      <c r="E63" s="1110"/>
      <c r="F63" s="1110"/>
      <c r="G63" s="1110"/>
      <c r="H63" s="1110"/>
      <c r="I63" s="810"/>
      <c r="J63" s="889"/>
      <c r="K63" s="889"/>
      <c r="L63" s="889"/>
      <c r="M63" s="889"/>
      <c r="N63" s="889"/>
      <c r="O63" s="889"/>
      <c r="P63" s="889"/>
    </row>
    <row r="64" spans="1:16" s="133" customFormat="1" ht="18.75" customHeight="1" hidden="1">
      <c r="A64" s="1110"/>
      <c r="B64" s="1110"/>
      <c r="C64" s="1110"/>
      <c r="D64" s="1110"/>
      <c r="E64" s="1110"/>
      <c r="F64" s="1110"/>
      <c r="G64" s="1110"/>
      <c r="H64" s="1110"/>
      <c r="I64" s="810"/>
      <c r="J64" s="889"/>
      <c r="K64" s="889"/>
      <c r="L64" s="889"/>
      <c r="M64" s="889"/>
      <c r="N64" s="889"/>
      <c r="O64" s="889"/>
      <c r="P64" s="889"/>
    </row>
    <row r="65" s="133" customFormat="1" ht="19.5" customHeight="1" hidden="1">
      <c r="I65" s="810"/>
    </row>
    <row r="66" s="133" customFormat="1" ht="19.5" customHeight="1" hidden="1">
      <c r="I66" s="810"/>
    </row>
    <row r="67" spans="4:9" s="133" customFormat="1" ht="19.5" customHeight="1" hidden="1">
      <c r="D67" s="889"/>
      <c r="E67" s="910">
        <f>+E48+E37</f>
        <v>897787.0100000001</v>
      </c>
      <c r="F67" s="889"/>
      <c r="G67" s="889"/>
      <c r="I67" s="810"/>
    </row>
    <row r="68" s="133" customFormat="1" ht="19.5" customHeight="1" hidden="1">
      <c r="I68" s="810"/>
    </row>
    <row r="69" s="133" customFormat="1" ht="19.5" customHeight="1" hidden="1">
      <c r="I69" s="810"/>
    </row>
    <row r="70" s="133" customFormat="1" ht="19.5" customHeight="1" hidden="1">
      <c r="I70" s="810"/>
    </row>
    <row r="71" s="133" customFormat="1" ht="19.5" customHeight="1" hidden="1">
      <c r="I71" s="810"/>
    </row>
    <row r="72" s="133" customFormat="1" ht="19.5" customHeight="1" hidden="1">
      <c r="I72" s="810"/>
    </row>
    <row r="73" s="133" customFormat="1" ht="19.5" customHeight="1" hidden="1">
      <c r="I73" s="810"/>
    </row>
    <row r="74" s="133" customFormat="1" ht="19.5" customHeight="1" hidden="1">
      <c r="I74" s="810"/>
    </row>
    <row r="75" s="133" customFormat="1" ht="19.5" customHeight="1" hidden="1">
      <c r="I75" s="810"/>
    </row>
    <row r="76" s="133" customFormat="1" ht="19.5" customHeight="1" hidden="1">
      <c r="I76" s="810"/>
    </row>
    <row r="77" s="133" customFormat="1" ht="12.75" hidden="1">
      <c r="I77" s="810"/>
    </row>
    <row r="78" s="133" customFormat="1" ht="12.75" hidden="1">
      <c r="I78" s="810"/>
    </row>
    <row r="79" s="133" customFormat="1" ht="12.75" hidden="1">
      <c r="I79" s="810"/>
    </row>
    <row r="80" s="133" customFormat="1" ht="12.75" hidden="1">
      <c r="I80" s="810"/>
    </row>
    <row r="81" s="133" customFormat="1" ht="12.75" hidden="1">
      <c r="I81" s="810"/>
    </row>
    <row r="82" s="133" customFormat="1" ht="12.75" hidden="1">
      <c r="I82" s="810"/>
    </row>
    <row r="83" ht="12.75" hidden="1"/>
    <row r="84" ht="12.75" hidden="1"/>
    <row r="85" ht="12.75" hidden="1"/>
    <row r="86" ht="12.75" hidden="1"/>
    <row r="87" ht="12.75" hidden="1"/>
    <row r="88" ht="12.75" hidden="1">
      <c r="C88" s="246" t="s">
        <v>514</v>
      </c>
    </row>
    <row r="89" ht="12.75" hidden="1">
      <c r="C89" s="246" t="s">
        <v>515</v>
      </c>
    </row>
    <row r="90" ht="12.75" hidden="1">
      <c r="C90" s="246" t="s">
        <v>516</v>
      </c>
    </row>
    <row r="91" ht="12.75" hidden="1">
      <c r="C91" s="246" t="s">
        <v>517</v>
      </c>
    </row>
    <row r="92" ht="12.75" hidden="1">
      <c r="C92" s="246" t="s">
        <v>518</v>
      </c>
    </row>
    <row r="93" ht="12.75" hidden="1">
      <c r="C93" s="246" t="s">
        <v>519</v>
      </c>
    </row>
    <row r="94" ht="12.75" hidden="1"/>
    <row r="95" ht="12.75" hidden="1"/>
    <row r="96" ht="12.75" hidden="1"/>
    <row r="97" ht="12.75" hidden="1"/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9:H9"/>
    <mergeCell ref="A62:H62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12:C19 C40:C47 C29:C36">
      <formula1>$C$88:$C$93</formula1>
    </dataValidation>
    <dataValidation allowBlank="1" showInputMessage="1" showErrorMessage="1" promptTitle="ENTRADA" prompt="Antes de Estimar esta Celda debes incluir en Celda Naranja el Dato Inicial" sqref="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57" t="s">
        <v>481</v>
      </c>
      <c r="E1" s="246"/>
    </row>
    <row r="2" spans="2:5" ht="14.25">
      <c r="B2" s="223"/>
      <c r="C2" s="758" t="s">
        <v>482</v>
      </c>
      <c r="E2" s="246"/>
    </row>
    <row r="3" spans="2:5" ht="12.75">
      <c r="B3" s="223"/>
      <c r="C3" s="223"/>
      <c r="D3" s="223"/>
      <c r="E3" s="246"/>
    </row>
    <row r="4" spans="2:5" ht="15">
      <c r="B4" s="756" t="s">
        <v>319</v>
      </c>
      <c r="C4" s="761">
        <v>42339</v>
      </c>
      <c r="E4" s="246"/>
    </row>
    <row r="5" spans="2:5" ht="15">
      <c r="B5" s="756" t="s">
        <v>480</v>
      </c>
      <c r="C5" s="760" t="s">
        <v>483</v>
      </c>
      <c r="E5" s="246"/>
    </row>
    <row r="6" ht="26.25" customHeight="1" thickBot="1"/>
    <row r="7" spans="1:10" ht="21.75" customHeight="1">
      <c r="A7" s="991" t="s">
        <v>288</v>
      </c>
      <c r="B7" s="992"/>
      <c r="C7" s="992"/>
      <c r="D7" s="992"/>
      <c r="E7" s="992"/>
      <c r="F7" s="992"/>
      <c r="G7" s="992"/>
      <c r="H7" s="992"/>
      <c r="I7" s="1133">
        <v>2016</v>
      </c>
      <c r="J7" s="1134"/>
    </row>
    <row r="8" spans="1:10" ht="19.5" customHeight="1">
      <c r="A8" s="1129" t="s">
        <v>289</v>
      </c>
      <c r="B8" s="1130"/>
      <c r="C8" s="1130"/>
      <c r="D8" s="1130"/>
      <c r="E8" s="1130"/>
      <c r="F8" s="1130"/>
      <c r="G8" s="1130"/>
      <c r="H8" s="1130"/>
      <c r="I8" s="1135"/>
      <c r="J8" s="1136"/>
    </row>
    <row r="9" spans="1:10" ht="27.75" customHeight="1" thickBot="1">
      <c r="A9" s="1126" t="str">
        <f>CPYG!A8</f>
        <v>EMPRESA PÚBLICA:  INSTITUCIÓN FERIAL DE TENERIFE, S.A.</v>
      </c>
      <c r="B9" s="1127"/>
      <c r="C9" s="1127"/>
      <c r="D9" s="1127"/>
      <c r="E9" s="1127"/>
      <c r="F9" s="1127"/>
      <c r="G9" s="1127"/>
      <c r="H9" s="1128"/>
      <c r="I9" s="1131" t="s">
        <v>302</v>
      </c>
      <c r="J9" s="1132"/>
    </row>
    <row r="10" spans="1:15" ht="18" customHeight="1">
      <c r="A10" s="1115" t="s">
        <v>521</v>
      </c>
      <c r="B10" s="1116"/>
      <c r="C10" s="1119" t="s">
        <v>612</v>
      </c>
      <c r="D10" s="1120"/>
      <c r="E10" s="1119" t="s">
        <v>613</v>
      </c>
      <c r="F10" s="1121"/>
      <c r="G10" s="1121"/>
      <c r="H10" s="1120"/>
      <c r="I10" s="1119" t="s">
        <v>614</v>
      </c>
      <c r="J10" s="1120"/>
      <c r="K10" s="269"/>
      <c r="L10" s="269"/>
      <c r="M10" s="269"/>
      <c r="N10" s="269"/>
      <c r="O10" s="269"/>
    </row>
    <row r="11" spans="1:15" ht="21" customHeight="1">
      <c r="A11" s="1115"/>
      <c r="B11" s="1116"/>
      <c r="C11" s="270"/>
      <c r="D11" s="271"/>
      <c r="E11" s="1145" t="s">
        <v>303</v>
      </c>
      <c r="F11" s="1147" t="s">
        <v>98</v>
      </c>
      <c r="G11" s="1148"/>
      <c r="H11" s="1141" t="s">
        <v>304</v>
      </c>
      <c r="I11" s="270"/>
      <c r="J11" s="271"/>
      <c r="K11" s="269"/>
      <c r="L11" s="269"/>
      <c r="M11" s="269"/>
      <c r="N11" s="269"/>
      <c r="O11" s="269"/>
    </row>
    <row r="12" spans="1:15" ht="27" customHeight="1">
      <c r="A12" s="1117"/>
      <c r="B12" s="1118"/>
      <c r="C12" s="272" t="s">
        <v>305</v>
      </c>
      <c r="D12" s="273" t="s">
        <v>306</v>
      </c>
      <c r="E12" s="1146"/>
      <c r="F12" s="274" t="s">
        <v>307</v>
      </c>
      <c r="G12" s="274" t="s">
        <v>308</v>
      </c>
      <c r="H12" s="1142"/>
      <c r="I12" s="272" t="s">
        <v>309</v>
      </c>
      <c r="J12" s="273" t="s">
        <v>306</v>
      </c>
      <c r="K12" s="269"/>
      <c r="L12" s="269"/>
      <c r="M12" s="269"/>
      <c r="N12" s="269"/>
      <c r="O12" s="269"/>
    </row>
    <row r="13" spans="1:10" ht="12.75">
      <c r="A13" s="1137" t="s">
        <v>310</v>
      </c>
      <c r="B13" s="1149"/>
      <c r="C13" s="275"/>
      <c r="D13" s="276"/>
      <c r="E13" s="275"/>
      <c r="F13" s="277"/>
      <c r="G13" s="277"/>
      <c r="H13" s="276"/>
      <c r="I13" s="275"/>
      <c r="J13" s="276"/>
    </row>
    <row r="14" spans="1:10" ht="12.75">
      <c r="A14" s="230"/>
      <c r="B14" s="158" t="s">
        <v>311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312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313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314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137" t="s">
        <v>315</v>
      </c>
      <c r="B18" s="1138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143" t="s">
        <v>316</v>
      </c>
      <c r="B19" s="1144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0"/>
      <c r="B20" s="158" t="s">
        <v>317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318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323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325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326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327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143" t="s">
        <v>328</v>
      </c>
      <c r="B26" s="1144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0"/>
      <c r="B27" s="158" t="s">
        <v>317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318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323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325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326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327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143" t="s">
        <v>329</v>
      </c>
      <c r="B33" s="1144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0"/>
      <c r="B34" s="158" t="s">
        <v>317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318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323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325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326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327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143" t="s">
        <v>330</v>
      </c>
      <c r="B40" s="1144"/>
      <c r="C40" s="536"/>
      <c r="D40" s="536"/>
      <c r="E40" s="275"/>
      <c r="F40" s="277"/>
      <c r="G40" s="277"/>
      <c r="H40" s="276"/>
      <c r="I40" s="275"/>
      <c r="J40" s="276"/>
    </row>
    <row r="41" spans="1:10" ht="12.75">
      <c r="A41" s="1137" t="s">
        <v>331</v>
      </c>
      <c r="B41" s="1138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0"/>
      <c r="B42" s="158" t="s">
        <v>332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333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334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137" t="s">
        <v>335</v>
      </c>
      <c r="B45" s="1138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124" t="s">
        <v>336</v>
      </c>
      <c r="B46" s="1125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139" t="s">
        <v>337</v>
      </c>
      <c r="B47" s="1140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124" t="s">
        <v>338</v>
      </c>
      <c r="B48" s="1125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124" t="s">
        <v>339</v>
      </c>
      <c r="B49" s="1125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124" t="s">
        <v>340</v>
      </c>
      <c r="B50" s="1125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124" t="s">
        <v>341</v>
      </c>
      <c r="B51" s="1125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137" t="s">
        <v>342</v>
      </c>
      <c r="B52" s="1138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124" t="s">
        <v>343</v>
      </c>
      <c r="B53" s="1125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124" t="s">
        <v>344</v>
      </c>
      <c r="B54" s="1125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124" t="s">
        <v>345</v>
      </c>
      <c r="B55" s="1125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346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122" t="s">
        <v>347</v>
      </c>
      <c r="B57" s="1123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41:B41"/>
    <mergeCell ref="H11:H12"/>
    <mergeCell ref="A19:B19"/>
    <mergeCell ref="A33:B33"/>
    <mergeCell ref="A40:B40"/>
    <mergeCell ref="E11:E12"/>
    <mergeCell ref="F11:G11"/>
    <mergeCell ref="A26:B26"/>
    <mergeCell ref="A13:B13"/>
    <mergeCell ref="A18:B18"/>
    <mergeCell ref="A52:B52"/>
    <mergeCell ref="A45:B45"/>
    <mergeCell ref="A46:B46"/>
    <mergeCell ref="A47:B47"/>
    <mergeCell ref="A48:B48"/>
    <mergeCell ref="A49:B49"/>
    <mergeCell ref="A50:B50"/>
    <mergeCell ref="A51:B51"/>
    <mergeCell ref="A7:H7"/>
    <mergeCell ref="A9:H9"/>
    <mergeCell ref="A8:H8"/>
    <mergeCell ref="I9:J9"/>
    <mergeCell ref="I7:J8"/>
    <mergeCell ref="A57:B57"/>
    <mergeCell ref="A53:B53"/>
    <mergeCell ref="A54:B54"/>
    <mergeCell ref="A55:B55"/>
    <mergeCell ref="A10:B12"/>
    <mergeCell ref="I10:J10"/>
    <mergeCell ref="C10:D10"/>
    <mergeCell ref="E10:H10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10.28125" style="278" customWidth="1"/>
    <col min="2" max="2" width="19.8515625" style="278" hidden="1" customWidth="1"/>
    <col min="3" max="3" width="12.140625" style="278" customWidth="1"/>
    <col min="4" max="4" width="16.421875" style="278" customWidth="1"/>
    <col min="5" max="5" width="10.57421875" style="278" customWidth="1"/>
    <col min="6" max="6" width="11.28125" style="278" customWidth="1"/>
    <col min="7" max="8" width="13.57421875" style="278" customWidth="1"/>
    <col min="9" max="9" width="16.57421875" style="278" customWidth="1"/>
    <col min="10" max="10" width="17.28125" style="278" customWidth="1"/>
    <col min="11" max="11" width="13.28125" style="278" customWidth="1"/>
    <col min="12" max="12" width="15.421875" style="278" customWidth="1"/>
    <col min="13" max="13" width="15.57421875" style="278" customWidth="1"/>
    <col min="14" max="14" width="16.710937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20" width="11.57421875" style="278" customWidth="1"/>
    <col min="21" max="22" width="0" style="278" hidden="1" customWidth="1"/>
    <col min="23" max="16384" width="11.57421875" style="278" customWidth="1"/>
  </cols>
  <sheetData>
    <row r="1" ht="15">
      <c r="G1" s="757" t="s">
        <v>481</v>
      </c>
    </row>
    <row r="2" ht="14.25">
      <c r="G2" s="758" t="s">
        <v>482</v>
      </c>
    </row>
    <row r="4" spans="1:7" ht="15">
      <c r="A4" s="756" t="s">
        <v>319</v>
      </c>
      <c r="G4" s="761">
        <v>42339</v>
      </c>
    </row>
    <row r="5" spans="1:7" ht="15">
      <c r="A5" s="756" t="s">
        <v>480</v>
      </c>
      <c r="G5" s="760" t="s">
        <v>483</v>
      </c>
    </row>
    <row r="6" spans="1:14" ht="24.75" customHeight="1" thickBot="1">
      <c r="A6" s="317"/>
      <c r="N6" s="318"/>
    </row>
    <row r="7" spans="1:19" s="295" customFormat="1" ht="36" customHeight="1" thickBot="1">
      <c r="A7" s="1155" t="s">
        <v>508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7"/>
      <c r="N7" s="1162">
        <f>CPYG!D7</f>
        <v>2016</v>
      </c>
      <c r="O7" s="1163"/>
      <c r="Q7" s="297"/>
      <c r="R7" s="297"/>
      <c r="S7" s="297"/>
    </row>
    <row r="8" spans="1:15" ht="25.5" customHeight="1" thickBot="1">
      <c r="A8" s="1150" t="str">
        <f>CPYG!A8</f>
        <v>EMPRESA PÚBLICA:  INSTITUCIÓN FERIAL DE TENERIFE, S.A.</v>
      </c>
      <c r="B8" s="1171"/>
      <c r="C8" s="1171"/>
      <c r="D8" s="1171"/>
      <c r="E8" s="1171"/>
      <c r="F8" s="1171"/>
      <c r="G8" s="1171"/>
      <c r="H8" s="1171"/>
      <c r="I8" s="1171"/>
      <c r="J8" s="1171"/>
      <c r="K8" s="1171"/>
      <c r="L8" s="1171"/>
      <c r="M8" s="1151"/>
      <c r="N8" s="1150" t="s">
        <v>168</v>
      </c>
      <c r="O8" s="1151"/>
    </row>
    <row r="9" spans="1:15" ht="24.75" customHeight="1">
      <c r="A9" s="1164" t="s">
        <v>104</v>
      </c>
      <c r="B9" s="1165"/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6"/>
    </row>
    <row r="10" spans="1:16" ht="48" customHeight="1">
      <c r="A10" s="1172" t="s">
        <v>418</v>
      </c>
      <c r="B10" s="1173"/>
      <c r="C10" s="1170"/>
      <c r="D10" s="1168" t="s">
        <v>763</v>
      </c>
      <c r="E10" s="1170"/>
      <c r="F10" s="281" t="s">
        <v>764</v>
      </c>
      <c r="G10" s="1167" t="s">
        <v>765</v>
      </c>
      <c r="H10" s="1167"/>
      <c r="I10" s="1167"/>
      <c r="J10" s="1168" t="s">
        <v>766</v>
      </c>
      <c r="K10" s="1170"/>
      <c r="L10" s="1168" t="s">
        <v>615</v>
      </c>
      <c r="M10" s="1170"/>
      <c r="N10" s="1168" t="s">
        <v>616</v>
      </c>
      <c r="O10" s="1169"/>
      <c r="P10" s="282"/>
    </row>
    <row r="11" spans="1:15" ht="19.5" customHeight="1">
      <c r="A11" s="1152"/>
      <c r="B11" s="1153"/>
      <c r="C11" s="1154"/>
      <c r="D11" s="1158"/>
      <c r="E11" s="1161"/>
      <c r="F11" s="283"/>
      <c r="G11" s="1175"/>
      <c r="H11" s="1176"/>
      <c r="I11" s="1177"/>
      <c r="J11" s="1158"/>
      <c r="K11" s="1161"/>
      <c r="L11" s="1158"/>
      <c r="M11" s="1161"/>
      <c r="N11" s="1158"/>
      <c r="O11" s="1174"/>
    </row>
    <row r="12" spans="1:15" ht="19.5" customHeight="1">
      <c r="A12" s="1152"/>
      <c r="B12" s="1153"/>
      <c r="C12" s="1154"/>
      <c r="D12" s="1158"/>
      <c r="E12" s="1161"/>
      <c r="F12" s="283"/>
      <c r="G12" s="1160"/>
      <c r="H12" s="1160"/>
      <c r="I12" s="1160"/>
      <c r="J12" s="1158"/>
      <c r="K12" s="1161"/>
      <c r="L12" s="1158"/>
      <c r="M12" s="1159"/>
      <c r="N12" s="1158"/>
      <c r="O12" s="1174"/>
    </row>
    <row r="13" spans="1:15" ht="19.5" customHeight="1">
      <c r="A13" s="1152"/>
      <c r="B13" s="1153"/>
      <c r="C13" s="1154"/>
      <c r="D13" s="1158"/>
      <c r="E13" s="1161"/>
      <c r="F13" s="283"/>
      <c r="G13" s="1160"/>
      <c r="H13" s="1160"/>
      <c r="I13" s="1160"/>
      <c r="J13" s="1158"/>
      <c r="K13" s="1161"/>
      <c r="L13" s="1158"/>
      <c r="M13" s="1159"/>
      <c r="N13" s="1158"/>
      <c r="O13" s="1174"/>
    </row>
    <row r="14" spans="1:15" ht="19.5" customHeight="1">
      <c r="A14" s="1152"/>
      <c r="B14" s="1153"/>
      <c r="C14" s="1154"/>
      <c r="D14" s="1158"/>
      <c r="E14" s="1161"/>
      <c r="F14" s="283"/>
      <c r="G14" s="1160"/>
      <c r="H14" s="1160"/>
      <c r="I14" s="1160"/>
      <c r="J14" s="1158"/>
      <c r="K14" s="1161"/>
      <c r="L14" s="1158"/>
      <c r="M14" s="1159"/>
      <c r="N14" s="1158"/>
      <c r="O14" s="1174"/>
    </row>
    <row r="15" spans="1:15" ht="19.5" customHeight="1">
      <c r="A15" s="1152"/>
      <c r="B15" s="1153"/>
      <c r="C15" s="1154"/>
      <c r="D15" s="1158"/>
      <c r="E15" s="1161"/>
      <c r="F15" s="285"/>
      <c r="G15" s="1160"/>
      <c r="H15" s="1160"/>
      <c r="I15" s="1160"/>
      <c r="J15" s="1158"/>
      <c r="K15" s="1161"/>
      <c r="L15" s="1158"/>
      <c r="M15" s="1159"/>
      <c r="N15" s="1158"/>
      <c r="O15" s="1174"/>
    </row>
    <row r="16" spans="1:15" ht="24.75" customHeight="1">
      <c r="A16" s="1180" t="s">
        <v>158</v>
      </c>
      <c r="B16" s="1181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2"/>
    </row>
    <row r="17" spans="1:15" ht="40.5" customHeight="1">
      <c r="A17" s="1183" t="s">
        <v>767</v>
      </c>
      <c r="B17" s="281"/>
      <c r="C17" s="1167" t="s">
        <v>768</v>
      </c>
      <c r="D17" s="1184" t="s">
        <v>769</v>
      </c>
      <c r="E17" s="1185"/>
      <c r="F17" s="1167" t="s">
        <v>770</v>
      </c>
      <c r="G17" s="1178" t="s">
        <v>415</v>
      </c>
      <c r="H17" s="1178" t="s">
        <v>416</v>
      </c>
      <c r="I17" s="1168" t="s">
        <v>617</v>
      </c>
      <c r="J17" s="1170"/>
      <c r="K17" s="1168" t="s">
        <v>611</v>
      </c>
      <c r="L17" s="1173"/>
      <c r="M17" s="1170"/>
      <c r="N17" s="1167" t="s">
        <v>623</v>
      </c>
      <c r="O17" s="1194"/>
    </row>
    <row r="18" spans="1:19" ht="60" customHeight="1">
      <c r="A18" s="1183"/>
      <c r="B18" s="281"/>
      <c r="C18" s="1167"/>
      <c r="D18" s="1186"/>
      <c r="E18" s="1187"/>
      <c r="F18" s="1167"/>
      <c r="G18" s="1179"/>
      <c r="H18" s="1179"/>
      <c r="I18" s="286" t="s">
        <v>509</v>
      </c>
      <c r="J18" s="281" t="s">
        <v>618</v>
      </c>
      <c r="K18" s="773" t="s">
        <v>619</v>
      </c>
      <c r="L18" s="281" t="s">
        <v>620</v>
      </c>
      <c r="M18" s="280" t="s">
        <v>621</v>
      </c>
      <c r="N18" s="280" t="s">
        <v>622</v>
      </c>
      <c r="O18" s="287" t="s">
        <v>771</v>
      </c>
      <c r="Q18" s="288" t="s">
        <v>99</v>
      </c>
      <c r="R18" s="279" t="s">
        <v>523</v>
      </c>
      <c r="S18" s="279" t="s">
        <v>524</v>
      </c>
    </row>
    <row r="19" spans="1:19" s="295" customFormat="1" ht="19.5" customHeight="1">
      <c r="A19" s="289"/>
      <c r="B19" s="290"/>
      <c r="C19" s="290"/>
      <c r="D19" s="1190"/>
      <c r="E19" s="1191"/>
      <c r="F19" s="284"/>
      <c r="G19" s="291"/>
      <c r="H19" s="291"/>
      <c r="I19" s="292"/>
      <c r="J19" s="772"/>
      <c r="K19" s="707"/>
      <c r="L19" s="660"/>
      <c r="M19" s="660"/>
      <c r="N19" s="661"/>
      <c r="O19" s="294"/>
      <c r="Q19" s="296"/>
      <c r="R19" s="297"/>
      <c r="S19" s="297"/>
    </row>
    <row r="20" spans="1:19" s="295" customFormat="1" ht="19.5" customHeight="1">
      <c r="A20" s="298"/>
      <c r="B20" s="290"/>
      <c r="C20" s="290"/>
      <c r="D20" s="1190"/>
      <c r="E20" s="1191"/>
      <c r="F20" s="284"/>
      <c r="G20" s="291"/>
      <c r="H20" s="291"/>
      <c r="I20" s="292"/>
      <c r="J20" s="292"/>
      <c r="K20" s="292"/>
      <c r="L20" s="292"/>
      <c r="M20" s="292"/>
      <c r="N20" s="293"/>
      <c r="O20" s="294"/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19.5" customHeight="1">
      <c r="A21" s="298"/>
      <c r="B21" s="290"/>
      <c r="C21" s="290"/>
      <c r="D21" s="1190"/>
      <c r="E21" s="1191"/>
      <c r="F21" s="284"/>
      <c r="G21" s="291"/>
      <c r="H21" s="291"/>
      <c r="I21" s="292"/>
      <c r="J21" s="292"/>
      <c r="K21" s="292"/>
      <c r="L21" s="292"/>
      <c r="M21" s="292"/>
      <c r="N21" s="293"/>
      <c r="O21" s="294"/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190"/>
      <c r="E22" s="1191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190"/>
      <c r="E23" s="1191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190"/>
      <c r="E24" s="1191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190"/>
      <c r="E25" s="1191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190"/>
      <c r="E26" s="1191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190"/>
      <c r="E27" s="1191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192"/>
      <c r="E28" s="1193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105</v>
      </c>
      <c r="B29" s="308"/>
      <c r="C29" s="309"/>
      <c r="D29" s="1188"/>
      <c r="E29" s="1189"/>
      <c r="F29" s="310"/>
      <c r="G29" s="310"/>
      <c r="H29" s="310"/>
      <c r="I29" s="754">
        <f aca="true" t="shared" si="3" ref="I29:N29">SUM(I19:I28)</f>
        <v>0</v>
      </c>
      <c r="J29" s="754">
        <f t="shared" si="3"/>
        <v>0</v>
      </c>
      <c r="K29" s="754">
        <f>SUM(K20:K28)</f>
        <v>0</v>
      </c>
      <c r="L29" s="754">
        <f t="shared" si="3"/>
        <v>0</v>
      </c>
      <c r="M29" s="754">
        <f t="shared" si="3"/>
        <v>0</v>
      </c>
      <c r="N29" s="754">
        <f t="shared" si="3"/>
        <v>0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2" ht="12.75" hidden="1">
      <c r="A31" s="911" t="s">
        <v>101</v>
      </c>
      <c r="B31" s="911"/>
      <c r="C31" s="911"/>
      <c r="D31" s="911"/>
      <c r="E31" s="911"/>
      <c r="F31" s="911"/>
      <c r="G31" s="911"/>
      <c r="H31" s="911"/>
      <c r="I31" s="911"/>
      <c r="J31" s="911"/>
      <c r="K31" s="911"/>
      <c r="L31" s="911"/>
    </row>
    <row r="32" spans="1:12" ht="12.75" hidden="1">
      <c r="A32" s="911" t="s">
        <v>417</v>
      </c>
      <c r="B32" s="911"/>
      <c r="C32" s="911"/>
      <c r="D32" s="911"/>
      <c r="E32" s="911"/>
      <c r="F32" s="911"/>
      <c r="G32" s="911"/>
      <c r="H32" s="911"/>
      <c r="I32" s="911"/>
      <c r="J32" s="911"/>
      <c r="K32" s="911"/>
      <c r="L32" s="911"/>
    </row>
    <row r="33" spans="1:12" ht="12.75" hidden="1">
      <c r="A33" s="911" t="s">
        <v>162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</row>
    <row r="34" spans="1:12" ht="12.75" hidden="1">
      <c r="A34" s="911" t="s">
        <v>510</v>
      </c>
      <c r="B34" s="911"/>
      <c r="C34" s="911"/>
      <c r="D34" s="911"/>
      <c r="E34" s="911"/>
      <c r="F34" s="911"/>
      <c r="G34" s="911"/>
      <c r="H34" s="911"/>
      <c r="I34" s="911"/>
      <c r="J34" s="911"/>
      <c r="K34" s="911"/>
      <c r="L34" s="911"/>
    </row>
    <row r="35" spans="1:12" ht="12.75" hidden="1">
      <c r="A35" s="911"/>
      <c r="B35" s="911"/>
      <c r="C35" s="911"/>
      <c r="D35" s="911"/>
      <c r="E35" s="911"/>
      <c r="F35" s="911"/>
      <c r="G35" s="911"/>
      <c r="H35" s="911"/>
      <c r="I35" s="911"/>
      <c r="J35" s="911"/>
      <c r="K35" s="911"/>
      <c r="L35" s="911"/>
    </row>
    <row r="36" spans="1:12" ht="12.75" hidden="1">
      <c r="A36" s="911"/>
      <c r="B36" s="911"/>
      <c r="C36" s="911"/>
      <c r="D36" s="911"/>
      <c r="E36" s="911"/>
      <c r="F36" s="911"/>
      <c r="G36" s="911"/>
      <c r="H36" s="911"/>
      <c r="I36" s="911"/>
      <c r="J36" s="911"/>
      <c r="K36" s="911"/>
      <c r="L36" s="911"/>
    </row>
    <row r="37" spans="1:12" ht="12.75" hidden="1">
      <c r="A37" s="911"/>
      <c r="B37" s="911"/>
      <c r="C37" s="911"/>
      <c r="D37" s="911"/>
      <c r="E37" s="911"/>
      <c r="F37" s="911"/>
      <c r="G37" s="911"/>
      <c r="H37" s="911"/>
      <c r="I37" s="911"/>
      <c r="J37" s="911"/>
      <c r="K37" s="911"/>
      <c r="L37" s="911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21:E21"/>
    <mergeCell ref="D22:E22"/>
    <mergeCell ref="D14:E14"/>
    <mergeCell ref="D19:E19"/>
    <mergeCell ref="N15:O15"/>
    <mergeCell ref="D29:E29"/>
    <mergeCell ref="D25:E25"/>
    <mergeCell ref="D26:E26"/>
    <mergeCell ref="D27:E27"/>
    <mergeCell ref="D28:E28"/>
    <mergeCell ref="N17:O17"/>
    <mergeCell ref="D23:E23"/>
    <mergeCell ref="D24:E24"/>
    <mergeCell ref="D20:E20"/>
    <mergeCell ref="N12:O12"/>
    <mergeCell ref="D12:E12"/>
    <mergeCell ref="D13:E13"/>
    <mergeCell ref="D17:E18"/>
    <mergeCell ref="N13:O13"/>
    <mergeCell ref="L13:M13"/>
    <mergeCell ref="H17:H18"/>
    <mergeCell ref="J15:K15"/>
    <mergeCell ref="L15:M15"/>
    <mergeCell ref="G15:I15"/>
    <mergeCell ref="K17:M17"/>
    <mergeCell ref="D15:E15"/>
    <mergeCell ref="J11:K11"/>
    <mergeCell ref="L11:M11"/>
    <mergeCell ref="J14:K14"/>
    <mergeCell ref="D11:E11"/>
    <mergeCell ref="G14:I14"/>
    <mergeCell ref="I17:J17"/>
    <mergeCell ref="N14:O14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A12:C12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195" t="s">
        <v>58</v>
      </c>
      <c r="B1" s="1196"/>
      <c r="C1" s="1196"/>
      <c r="D1" s="1196"/>
      <c r="E1" s="1196"/>
      <c r="F1" s="1196"/>
      <c r="G1" s="1197"/>
      <c r="H1" s="108">
        <v>2011</v>
      </c>
      <c r="I1"/>
      <c r="J1"/>
    </row>
    <row r="2" spans="1:10" s="110" customFormat="1" ht="17.25" thickBot="1">
      <c r="A2" s="1198" t="s">
        <v>59</v>
      </c>
      <c r="B2" s="1199"/>
      <c r="C2" s="1199"/>
      <c r="D2" s="1199"/>
      <c r="E2" s="1199"/>
      <c r="F2" s="1199"/>
      <c r="G2" s="1200"/>
      <c r="H2" s="120" t="s">
        <v>520</v>
      </c>
      <c r="I2"/>
      <c r="J2"/>
    </row>
    <row r="3" spans="1:8" ht="13.5" customHeight="1" thickBot="1">
      <c r="A3" s="1201" t="s">
        <v>60</v>
      </c>
      <c r="B3" s="1202"/>
      <c r="C3" s="1202"/>
      <c r="D3" s="1202"/>
      <c r="E3" s="1202"/>
      <c r="F3" s="1202"/>
      <c r="G3" s="1202"/>
      <c r="H3" s="1203"/>
    </row>
    <row r="4" spans="3:8" ht="20.25" customHeight="1">
      <c r="C4" s="1204">
        <v>2009</v>
      </c>
      <c r="D4" s="1204"/>
      <c r="E4" s="1204" t="s">
        <v>646</v>
      </c>
      <c r="F4" s="1204"/>
      <c r="G4" s="1204" t="s">
        <v>645</v>
      </c>
      <c r="H4" s="1204"/>
    </row>
    <row r="5" spans="1:8" ht="24.75">
      <c r="A5" s="111" t="s">
        <v>61</v>
      </c>
      <c r="B5" s="111" t="s">
        <v>521</v>
      </c>
      <c r="C5" s="112" t="s">
        <v>62</v>
      </c>
      <c r="D5" s="112" t="s">
        <v>63</v>
      </c>
      <c r="E5" s="112" t="s">
        <v>62</v>
      </c>
      <c r="F5" s="112" t="s">
        <v>63</v>
      </c>
      <c r="G5" s="112" t="s">
        <v>62</v>
      </c>
      <c r="H5" s="112" t="s">
        <v>63</v>
      </c>
    </row>
    <row r="6" spans="1:8" ht="15.75">
      <c r="A6" s="111" t="s">
        <v>64</v>
      </c>
      <c r="B6" s="111" t="s">
        <v>65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64</v>
      </c>
      <c r="B7" s="111" t="s">
        <v>66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06" t="s">
        <v>105</v>
      </c>
      <c r="B15" s="1207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05">
        <v>2009</v>
      </c>
      <c r="D17" s="1205"/>
      <c r="E17" s="1205" t="s">
        <v>646</v>
      </c>
      <c r="F17" s="1205"/>
      <c r="G17" s="1205" t="s">
        <v>645</v>
      </c>
      <c r="H17" s="1205"/>
    </row>
    <row r="18" spans="1:8" ht="24.75">
      <c r="A18" s="111" t="s">
        <v>67</v>
      </c>
      <c r="B18" s="111" t="s">
        <v>521</v>
      </c>
      <c r="C18" s="112" t="s">
        <v>68</v>
      </c>
      <c r="D18" s="112" t="s">
        <v>63</v>
      </c>
      <c r="E18" s="112" t="s">
        <v>68</v>
      </c>
      <c r="F18" s="112" t="s">
        <v>63</v>
      </c>
      <c r="G18" s="112" t="s">
        <v>68</v>
      </c>
      <c r="H18" s="112" t="s">
        <v>63</v>
      </c>
    </row>
    <row r="19" spans="1:8" ht="15.75">
      <c r="A19" s="111" t="s">
        <v>69</v>
      </c>
      <c r="B19" s="111" t="s">
        <v>70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71</v>
      </c>
      <c r="B20" s="111" t="s">
        <v>70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72</v>
      </c>
      <c r="B21" s="111" t="s">
        <v>73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74</v>
      </c>
      <c r="B22" s="111" t="s">
        <v>75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76</v>
      </c>
      <c r="B23" s="111" t="s">
        <v>77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64</v>
      </c>
      <c r="B24" s="111" t="s">
        <v>65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64</v>
      </c>
      <c r="B25" s="111" t="s">
        <v>78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06" t="s">
        <v>105</v>
      </c>
      <c r="B28" s="1207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522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="40" zoomScaleNormal="40" zoomScalePageLayoutView="0" workbookViewId="0" topLeftCell="A1">
      <selection activeCell="F4" sqref="F4"/>
    </sheetView>
  </sheetViews>
  <sheetFormatPr defaultColWidth="11.421875" defaultRowHeight="12.75"/>
  <cols>
    <col min="1" max="1" width="10.7109375" style="278" customWidth="1"/>
    <col min="2" max="2" width="19.8515625" style="278" hidden="1" customWidth="1"/>
    <col min="3" max="3" width="26.28125" style="278" customWidth="1"/>
    <col min="4" max="4" width="13.28125" style="278" customWidth="1"/>
    <col min="5" max="5" width="10.57421875" style="278" customWidth="1"/>
    <col min="6" max="6" width="13.851562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3.00390625" style="278" bestFit="1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20" width="11.57421875" style="278" customWidth="1"/>
    <col min="21" max="27" width="0" style="278" hidden="1" customWidth="1"/>
    <col min="28" max="16384" width="11.57421875" style="278" customWidth="1"/>
  </cols>
  <sheetData>
    <row r="1" ht="15">
      <c r="F1" s="757" t="s">
        <v>481</v>
      </c>
    </row>
    <row r="2" ht="14.25">
      <c r="F2" s="758" t="s">
        <v>482</v>
      </c>
    </row>
    <row r="4" spans="1:7" ht="15">
      <c r="A4" s="756" t="s">
        <v>319</v>
      </c>
      <c r="F4" s="761">
        <v>42339</v>
      </c>
      <c r="G4" s="768"/>
    </row>
    <row r="5" spans="1:7" ht="15">
      <c r="A5" s="756" t="s">
        <v>480</v>
      </c>
      <c r="F5" s="760" t="s">
        <v>483</v>
      </c>
      <c r="G5" s="769"/>
    </row>
    <row r="6" spans="1:14" ht="13.5" thickBot="1">
      <c r="A6" s="317"/>
      <c r="N6" s="318"/>
    </row>
    <row r="7" spans="1:19" s="295" customFormat="1" ht="36" customHeight="1" thickBot="1">
      <c r="A7" s="1155" t="s">
        <v>508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7"/>
      <c r="N7" s="1162">
        <f>CPYG!D7</f>
        <v>2016</v>
      </c>
      <c r="O7" s="1163"/>
      <c r="Q7" s="297"/>
      <c r="R7" s="297"/>
      <c r="S7" s="297"/>
    </row>
    <row r="8" spans="1:15" ht="34.5" customHeight="1" thickBot="1">
      <c r="A8" s="1150" t="str">
        <f>CPYG!A8</f>
        <v>EMPRESA PÚBLICA:  INSTITUCIÓN FERIAL DE TENERIFE, S.A.</v>
      </c>
      <c r="B8" s="1171"/>
      <c r="C8" s="1171"/>
      <c r="D8" s="1171"/>
      <c r="E8" s="1171"/>
      <c r="F8" s="1171"/>
      <c r="G8" s="1171"/>
      <c r="H8" s="1171"/>
      <c r="I8" s="1171"/>
      <c r="J8" s="1171"/>
      <c r="K8" s="1171"/>
      <c r="L8" s="1171"/>
      <c r="M8" s="1151"/>
      <c r="N8" s="1150" t="s">
        <v>167</v>
      </c>
      <c r="O8" s="1151"/>
    </row>
    <row r="9" spans="1:15" ht="24.75" customHeight="1">
      <c r="A9" s="1208" t="s">
        <v>163</v>
      </c>
      <c r="B9" s="1179"/>
      <c r="C9" s="1179"/>
      <c r="D9" s="1179"/>
      <c r="E9" s="1179"/>
      <c r="F9" s="1179"/>
      <c r="G9" s="1179"/>
      <c r="H9" s="1179"/>
      <c r="I9" s="1179"/>
      <c r="J9" s="1179"/>
      <c r="K9" s="1179"/>
      <c r="L9" s="1179"/>
      <c r="M9" s="1179"/>
      <c r="N9" s="1179"/>
      <c r="O9" s="1209"/>
    </row>
    <row r="10" spans="1:15" ht="40.5" customHeight="1">
      <c r="A10" s="1210" t="s">
        <v>767</v>
      </c>
      <c r="B10" s="281"/>
      <c r="C10" s="1167" t="s">
        <v>768</v>
      </c>
      <c r="D10" s="1184" t="s">
        <v>769</v>
      </c>
      <c r="E10" s="1185"/>
      <c r="F10" s="1167" t="s">
        <v>770</v>
      </c>
      <c r="G10" s="1178" t="s">
        <v>415</v>
      </c>
      <c r="H10" s="1178" t="s">
        <v>416</v>
      </c>
      <c r="I10" s="1168" t="s">
        <v>626</v>
      </c>
      <c r="J10" s="1173"/>
      <c r="K10" s="1170"/>
      <c r="L10" s="1168" t="s">
        <v>613</v>
      </c>
      <c r="M10" s="1173"/>
      <c r="N10" s="1173"/>
      <c r="O10" s="1169"/>
    </row>
    <row r="11" spans="1:19" ht="73.5" customHeight="1">
      <c r="A11" s="1208"/>
      <c r="B11" s="281"/>
      <c r="C11" s="1167"/>
      <c r="D11" s="1186"/>
      <c r="E11" s="1187"/>
      <c r="F11" s="1167"/>
      <c r="G11" s="1179"/>
      <c r="H11" s="1179"/>
      <c r="I11" s="286" t="s">
        <v>509</v>
      </c>
      <c r="J11" s="286" t="s">
        <v>624</v>
      </c>
      <c r="K11" s="280" t="s">
        <v>164</v>
      </c>
      <c r="L11" s="286" t="s">
        <v>625</v>
      </c>
      <c r="M11" s="281" t="s">
        <v>620</v>
      </c>
      <c r="N11" s="280" t="s">
        <v>622</v>
      </c>
      <c r="O11" s="287" t="s">
        <v>164</v>
      </c>
      <c r="Q11" s="288" t="s">
        <v>99</v>
      </c>
      <c r="R11" s="279" t="s">
        <v>523</v>
      </c>
      <c r="S11" s="279" t="s">
        <v>524</v>
      </c>
    </row>
    <row r="12" spans="1:19" s="295" customFormat="1" ht="19.5" customHeight="1">
      <c r="A12" s="289"/>
      <c r="B12" s="290"/>
      <c r="C12" s="290"/>
      <c r="D12" s="1190"/>
      <c r="E12" s="1191"/>
      <c r="F12" s="284"/>
      <c r="G12" s="291"/>
      <c r="H12" s="291"/>
      <c r="I12" s="292"/>
      <c r="J12" s="292"/>
      <c r="K12" s="648"/>
      <c r="L12" s="292"/>
      <c r="M12" s="292"/>
      <c r="N12" s="662"/>
      <c r="O12" s="294"/>
      <c r="Q12" s="296"/>
      <c r="R12" s="297"/>
      <c r="S12" s="297"/>
    </row>
    <row r="13" spans="1:19" s="295" customFormat="1" ht="19.5" customHeight="1">
      <c r="A13" s="298"/>
      <c r="B13" s="290"/>
      <c r="C13" s="290"/>
      <c r="D13" s="1190"/>
      <c r="E13" s="1191"/>
      <c r="F13" s="284"/>
      <c r="G13" s="291"/>
      <c r="H13" s="291"/>
      <c r="I13" s="292"/>
      <c r="J13" s="292"/>
      <c r="K13" s="648"/>
      <c r="L13" s="292"/>
      <c r="M13" s="292"/>
      <c r="N13" s="662"/>
      <c r="O13" s="294"/>
      <c r="Q13" s="296"/>
      <c r="R13" s="297"/>
      <c r="S13" s="297"/>
    </row>
    <row r="14" spans="1:19" s="295" customFormat="1" ht="19.5" customHeight="1">
      <c r="A14" s="298"/>
      <c r="B14" s="290"/>
      <c r="C14" s="290"/>
      <c r="D14" s="1190"/>
      <c r="E14" s="1191"/>
      <c r="F14" s="284"/>
      <c r="G14" s="291"/>
      <c r="H14" s="291"/>
      <c r="I14" s="292"/>
      <c r="J14" s="292"/>
      <c r="K14" s="589"/>
      <c r="L14" s="292"/>
      <c r="M14" s="292"/>
      <c r="N14" s="293"/>
      <c r="O14" s="294"/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190"/>
      <c r="E15" s="1191"/>
      <c r="F15" s="284"/>
      <c r="G15" s="291"/>
      <c r="H15" s="291"/>
      <c r="I15" s="292"/>
      <c r="J15" s="292"/>
      <c r="K15" s="589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190"/>
      <c r="E16" s="1191"/>
      <c r="F16" s="284"/>
      <c r="G16" s="291"/>
      <c r="H16" s="291"/>
      <c r="I16" s="292"/>
      <c r="J16" s="292"/>
      <c r="K16" s="589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190"/>
      <c r="E17" s="1191"/>
      <c r="F17" s="284"/>
      <c r="G17" s="291"/>
      <c r="H17" s="291"/>
      <c r="I17" s="292"/>
      <c r="J17" s="292"/>
      <c r="K17" s="589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190"/>
      <c r="E18" s="1191"/>
      <c r="F18" s="284"/>
      <c r="G18" s="284"/>
      <c r="H18" s="284"/>
      <c r="I18" s="299"/>
      <c r="J18" s="299"/>
      <c r="K18" s="589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190"/>
      <c r="E19" s="1191"/>
      <c r="F19" s="284"/>
      <c r="G19" s="284"/>
      <c r="H19" s="284"/>
      <c r="I19" s="299"/>
      <c r="J19" s="299"/>
      <c r="K19" s="589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190"/>
      <c r="E20" s="1191"/>
      <c r="F20" s="284"/>
      <c r="G20" s="284"/>
      <c r="H20" s="284"/>
      <c r="I20" s="299"/>
      <c r="J20" s="299"/>
      <c r="K20" s="589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192"/>
      <c r="E21" s="1193"/>
      <c r="F21" s="303"/>
      <c r="G21" s="303"/>
      <c r="H21" s="303"/>
      <c r="I21" s="304"/>
      <c r="J21" s="304"/>
      <c r="K21" s="590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105</v>
      </c>
      <c r="B22" s="308"/>
      <c r="C22" s="309"/>
      <c r="D22" s="1188"/>
      <c r="E22" s="1189"/>
      <c r="F22" s="310"/>
      <c r="G22" s="310"/>
      <c r="H22" s="310"/>
      <c r="I22" s="754">
        <f aca="true" t="shared" si="3" ref="I22:N22">SUM(I12:I21)</f>
        <v>0</v>
      </c>
      <c r="J22" s="754">
        <f t="shared" si="3"/>
        <v>0</v>
      </c>
      <c r="K22" s="534"/>
      <c r="L22" s="754">
        <f t="shared" si="3"/>
        <v>0</v>
      </c>
      <c r="M22" s="754">
        <f t="shared" si="3"/>
        <v>0</v>
      </c>
      <c r="N22" s="754">
        <f t="shared" si="3"/>
        <v>0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1" ht="12.75" hidden="1">
      <c r="A24" s="911" t="s">
        <v>101</v>
      </c>
      <c r="B24" s="911"/>
      <c r="C24" s="911"/>
      <c r="D24" s="911"/>
      <c r="E24" s="911"/>
      <c r="F24" s="911"/>
      <c r="G24" s="911"/>
      <c r="H24" s="911"/>
      <c r="I24" s="911"/>
      <c r="J24" s="911"/>
      <c r="K24" s="911"/>
    </row>
    <row r="25" spans="1:11" ht="12.75" hidden="1">
      <c r="A25" s="911" t="s">
        <v>417</v>
      </c>
      <c r="B25" s="911"/>
      <c r="C25" s="911"/>
      <c r="D25" s="911"/>
      <c r="E25" s="911"/>
      <c r="F25" s="911"/>
      <c r="G25" s="911"/>
      <c r="H25" s="911"/>
      <c r="I25" s="911"/>
      <c r="J25" s="911"/>
      <c r="K25" s="911"/>
    </row>
    <row r="26" spans="1:11" ht="12.75" hidden="1">
      <c r="A26" s="911" t="s">
        <v>174</v>
      </c>
      <c r="B26" s="911"/>
      <c r="C26" s="911"/>
      <c r="D26" s="911"/>
      <c r="E26" s="911"/>
      <c r="F26" s="911"/>
      <c r="G26" s="911"/>
      <c r="H26" s="911"/>
      <c r="I26" s="911"/>
      <c r="J26" s="911"/>
      <c r="K26" s="911"/>
    </row>
    <row r="27" spans="1:11" ht="12.75" hidden="1">
      <c r="A27" s="911" t="s">
        <v>510</v>
      </c>
      <c r="B27" s="911"/>
      <c r="C27" s="911"/>
      <c r="D27" s="911"/>
      <c r="E27" s="911"/>
      <c r="F27" s="911"/>
      <c r="G27" s="911"/>
      <c r="H27" s="911"/>
      <c r="I27" s="911"/>
      <c r="J27" s="911"/>
      <c r="K27" s="911"/>
    </row>
    <row r="28" spans="1:11" ht="12.75" hidden="1">
      <c r="A28" s="911"/>
      <c r="B28" s="911"/>
      <c r="C28" s="911"/>
      <c r="D28" s="911"/>
      <c r="E28" s="911"/>
      <c r="F28" s="911"/>
      <c r="G28" s="911"/>
      <c r="H28" s="911"/>
      <c r="I28" s="911"/>
      <c r="J28" s="911"/>
      <c r="K28" s="911"/>
    </row>
    <row r="29" spans="1:11" ht="12.75" hidden="1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911"/>
    </row>
    <row r="30" ht="12.75" hidden="1"/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D15:E15"/>
    <mergeCell ref="H10:H11"/>
    <mergeCell ref="D13:E13"/>
    <mergeCell ref="D12:E12"/>
    <mergeCell ref="A7:M7"/>
    <mergeCell ref="N7:O7"/>
    <mergeCell ref="A8:M8"/>
    <mergeCell ref="N8:O8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9" width="11.57421875" style="133" customWidth="1"/>
    <col min="10" max="10" width="13.57421875" style="804" bestFit="1" customWidth="1"/>
    <col min="11" max="16384" width="11.57421875" style="133" customWidth="1"/>
  </cols>
  <sheetData>
    <row r="1" spans="2:8" ht="15">
      <c r="B1" s="278"/>
      <c r="C1" s="278"/>
      <c r="D1" s="278"/>
      <c r="E1" s="757" t="s">
        <v>481</v>
      </c>
      <c r="F1" s="278"/>
      <c r="H1" s="278"/>
    </row>
    <row r="2" spans="2:8" ht="14.25">
      <c r="B2" s="278"/>
      <c r="C2" s="278"/>
      <c r="D2" s="278"/>
      <c r="E2" s="758" t="s">
        <v>482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5">
      <c r="B4" s="756" t="s">
        <v>319</v>
      </c>
      <c r="C4" s="278"/>
      <c r="D4" s="278"/>
      <c r="E4" s="761">
        <v>42339</v>
      </c>
      <c r="F4" s="278"/>
      <c r="H4" s="768"/>
    </row>
    <row r="5" spans="2:8" ht="15">
      <c r="B5" s="756" t="s">
        <v>480</v>
      </c>
      <c r="C5" s="278"/>
      <c r="D5" s="278"/>
      <c r="E5" s="760" t="s">
        <v>483</v>
      </c>
      <c r="F5" s="278"/>
      <c r="H5" s="769"/>
    </row>
    <row r="6" ht="13.5" thickBot="1"/>
    <row r="7" spans="1:8" ht="14.25">
      <c r="A7" s="1247" t="s">
        <v>288</v>
      </c>
      <c r="B7" s="1248"/>
      <c r="C7" s="1248"/>
      <c r="D7" s="1248"/>
      <c r="E7" s="1248"/>
      <c r="F7" s="1248"/>
      <c r="G7" s="1248"/>
      <c r="H7" s="1245">
        <v>2016</v>
      </c>
    </row>
    <row r="8" spans="1:8" ht="24.75" customHeight="1" thickBot="1">
      <c r="A8" s="1249" t="s">
        <v>353</v>
      </c>
      <c r="B8" s="1250"/>
      <c r="C8" s="1250"/>
      <c r="D8" s="1250"/>
      <c r="E8" s="1250"/>
      <c r="F8" s="1250"/>
      <c r="G8" s="1250"/>
      <c r="H8" s="1246"/>
    </row>
    <row r="9" spans="1:8" ht="33" customHeight="1" thickBot="1">
      <c r="A9" s="1251" t="str">
        <f>CPYG!A8</f>
        <v>EMPRESA PÚBLICA:  INSTITUCIÓN FERIAL DE TENERIFE, S.A.</v>
      </c>
      <c r="B9" s="1252"/>
      <c r="C9" s="1252"/>
      <c r="D9" s="1252"/>
      <c r="E9" s="1252"/>
      <c r="F9" s="1252"/>
      <c r="G9" s="1253"/>
      <c r="H9" s="319" t="s">
        <v>166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234" t="s">
        <v>354</v>
      </c>
      <c r="C11" s="1234"/>
      <c r="D11" s="1234"/>
      <c r="E11" s="1234"/>
      <c r="F11" s="1234"/>
      <c r="G11" s="1234"/>
      <c r="H11" s="1235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137" t="s">
        <v>355</v>
      </c>
      <c r="B13" s="1138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20" t="s">
        <v>405</v>
      </c>
      <c r="B15" s="321" t="s">
        <v>356</v>
      </c>
      <c r="C15" s="321"/>
      <c r="D15" s="321"/>
      <c r="E15" s="158"/>
      <c r="F15" s="158"/>
      <c r="G15" s="158"/>
      <c r="H15" s="231"/>
    </row>
    <row r="16" spans="1:8" ht="12.75">
      <c r="A16" s="320"/>
      <c r="B16" s="321" t="s">
        <v>357</v>
      </c>
      <c r="C16" s="321"/>
      <c r="D16" s="321"/>
      <c r="E16" s="158"/>
      <c r="F16" s="158"/>
      <c r="G16" s="158"/>
      <c r="H16" s="231"/>
    </row>
    <row r="17" spans="1:8" ht="12.75">
      <c r="A17" s="320"/>
      <c r="B17" s="321" t="s">
        <v>365</v>
      </c>
      <c r="C17" s="321"/>
      <c r="D17" s="321"/>
      <c r="E17" s="158"/>
      <c r="F17" s="158"/>
      <c r="G17" s="158"/>
      <c r="H17" s="231"/>
    </row>
    <row r="18" spans="1:8" ht="12.75">
      <c r="A18" s="320"/>
      <c r="B18" s="321" t="s">
        <v>366</v>
      </c>
      <c r="C18" s="321"/>
      <c r="D18" s="321"/>
      <c r="E18" s="158"/>
      <c r="F18" s="158"/>
      <c r="G18" s="158"/>
      <c r="H18" s="231"/>
    </row>
    <row r="19" spans="1:8" ht="12.75">
      <c r="A19" s="320"/>
      <c r="B19" s="321" t="s">
        <v>367</v>
      </c>
      <c r="C19" s="321"/>
      <c r="D19" s="321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137" t="s">
        <v>368</v>
      </c>
      <c r="B21" s="1138"/>
      <c r="C21" s="1138"/>
      <c r="D21" s="1138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236" t="s">
        <v>369</v>
      </c>
      <c r="B23" s="1237"/>
      <c r="C23" s="1237"/>
      <c r="D23" s="1237"/>
      <c r="E23" s="1238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228" t="s">
        <v>370</v>
      </c>
      <c r="G25" s="1228"/>
      <c r="H25" s="755">
        <f>C41</f>
        <v>85</v>
      </c>
    </row>
    <row r="26" spans="1:11" ht="12.75">
      <c r="A26" s="230"/>
      <c r="B26" s="158"/>
      <c r="C26" s="158"/>
      <c r="D26" s="158"/>
      <c r="E26" s="158"/>
      <c r="F26" s="1228" t="s">
        <v>371</v>
      </c>
      <c r="G26" s="1228"/>
      <c r="H26" s="755">
        <f>H41+H49</f>
        <v>1278397.22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49"/>
    </row>
    <row r="30" spans="1:8" ht="12.75">
      <c r="A30" s="1137" t="s">
        <v>372</v>
      </c>
      <c r="B30" s="1138"/>
      <c r="C30" s="1138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239" t="s">
        <v>373</v>
      </c>
      <c r="B32" s="1240"/>
      <c r="C32" s="1229" t="s">
        <v>374</v>
      </c>
      <c r="D32" s="1229" t="s">
        <v>375</v>
      </c>
      <c r="E32" s="1229"/>
      <c r="F32" s="1229"/>
      <c r="G32" s="1229"/>
      <c r="H32" s="1229"/>
    </row>
    <row r="33" spans="1:8" ht="13.5" thickBot="1">
      <c r="A33" s="1241"/>
      <c r="B33" s="1242"/>
      <c r="C33" s="1229"/>
      <c r="D33" s="1229" t="s">
        <v>376</v>
      </c>
      <c r="E33" s="1229" t="s">
        <v>377</v>
      </c>
      <c r="F33" s="1229" t="s">
        <v>378</v>
      </c>
      <c r="G33" s="1229" t="s">
        <v>379</v>
      </c>
      <c r="H33" s="1229" t="s">
        <v>382</v>
      </c>
    </row>
    <row r="34" spans="1:8" ht="13.5" thickBot="1">
      <c r="A34" s="1243"/>
      <c r="B34" s="1244"/>
      <c r="C34" s="1229"/>
      <c r="D34" s="1229"/>
      <c r="E34" s="1229"/>
      <c r="F34" s="1229"/>
      <c r="G34" s="1229"/>
      <c r="H34" s="1229"/>
    </row>
    <row r="35" spans="1:8" ht="15" customHeight="1">
      <c r="A35" s="1220" t="s">
        <v>383</v>
      </c>
      <c r="B35" s="1221"/>
      <c r="C35" s="786">
        <v>9</v>
      </c>
      <c r="D35" s="323">
        <v>0</v>
      </c>
      <c r="E35" s="323"/>
      <c r="F35" s="323">
        <v>0</v>
      </c>
      <c r="G35" s="323">
        <v>0</v>
      </c>
      <c r="H35" s="324">
        <f aca="true" t="shared" si="0" ref="H35:H40">D35+E35+F35+G35</f>
        <v>0</v>
      </c>
    </row>
    <row r="36" spans="1:8" ht="15" customHeight="1">
      <c r="A36" s="1220" t="s">
        <v>384</v>
      </c>
      <c r="B36" s="1221"/>
      <c r="C36" s="787">
        <v>1</v>
      </c>
      <c r="D36" s="325">
        <v>75612.82</v>
      </c>
      <c r="E36" s="325"/>
      <c r="F36" s="325"/>
      <c r="G36" s="325"/>
      <c r="H36" s="326">
        <f t="shared" si="0"/>
        <v>75612.82</v>
      </c>
    </row>
    <row r="37" spans="1:8" ht="15" customHeight="1">
      <c r="A37" s="1220" t="s">
        <v>385</v>
      </c>
      <c r="B37" s="1221"/>
      <c r="C37" s="787">
        <v>3</v>
      </c>
      <c r="D37" s="325">
        <v>134111.38</v>
      </c>
      <c r="E37" s="325"/>
      <c r="F37" s="325"/>
      <c r="G37" s="325"/>
      <c r="H37" s="326">
        <f t="shared" si="0"/>
        <v>134111.38</v>
      </c>
    </row>
    <row r="38" spans="1:8" ht="15" customHeight="1">
      <c r="A38" s="1220" t="s">
        <v>386</v>
      </c>
      <c r="B38" s="1221"/>
      <c r="C38" s="787">
        <v>31</v>
      </c>
      <c r="D38" s="790">
        <f>712654+888.62</f>
        <v>713542.62</v>
      </c>
      <c r="E38" s="325"/>
      <c r="F38" s="325">
        <v>7000</v>
      </c>
      <c r="G38" s="325"/>
      <c r="H38" s="326">
        <f t="shared" si="0"/>
        <v>720542.62</v>
      </c>
    </row>
    <row r="39" spans="1:8" ht="15" customHeight="1">
      <c r="A39" s="1220" t="s">
        <v>387</v>
      </c>
      <c r="B39" s="1221"/>
      <c r="C39" s="787">
        <v>41</v>
      </c>
      <c r="D39" s="790">
        <v>29165.34</v>
      </c>
      <c r="E39" s="325"/>
      <c r="F39" s="325"/>
      <c r="G39" s="325"/>
      <c r="H39" s="326">
        <f t="shared" si="0"/>
        <v>29165.34</v>
      </c>
    </row>
    <row r="40" spans="1:8" ht="15" customHeight="1">
      <c r="A40" s="1220" t="s">
        <v>821</v>
      </c>
      <c r="B40" s="1221"/>
      <c r="C40" s="787">
        <v>0</v>
      </c>
      <c r="D40" s="325">
        <v>0</v>
      </c>
      <c r="E40" s="325">
        <v>0</v>
      </c>
      <c r="F40" s="325">
        <v>0</v>
      </c>
      <c r="G40" s="325">
        <v>0</v>
      </c>
      <c r="H40" s="326">
        <f t="shared" si="0"/>
        <v>0</v>
      </c>
    </row>
    <row r="41" spans="1:8" ht="15" customHeight="1" thickBot="1">
      <c r="A41" s="1225" t="s">
        <v>537</v>
      </c>
      <c r="B41" s="1230"/>
      <c r="C41" s="791">
        <f aca="true" t="shared" si="1" ref="C41:H41">C35+C36+C37+C38+C39+C40</f>
        <v>85</v>
      </c>
      <c r="D41" s="327">
        <f t="shared" si="1"/>
        <v>952432.16</v>
      </c>
      <c r="E41" s="327">
        <f t="shared" si="1"/>
        <v>0</v>
      </c>
      <c r="F41" s="327">
        <f t="shared" si="1"/>
        <v>7000</v>
      </c>
      <c r="G41" s="327">
        <f t="shared" si="1"/>
        <v>0</v>
      </c>
      <c r="H41" s="328">
        <f t="shared" si="1"/>
        <v>959432.16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788"/>
      <c r="E43" s="158"/>
      <c r="F43" s="158"/>
      <c r="G43" s="158"/>
      <c r="H43" s="231"/>
    </row>
    <row r="44" spans="1:8" ht="12.75">
      <c r="A44" s="1137" t="s">
        <v>388</v>
      </c>
      <c r="B44" s="1138"/>
      <c r="C44" s="1138"/>
      <c r="D44" s="78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222" t="s">
        <v>521</v>
      </c>
      <c r="B46" s="1223"/>
      <c r="C46" s="1223"/>
      <c r="D46" s="1224"/>
      <c r="E46" s="1231" t="s">
        <v>81</v>
      </c>
      <c r="F46" s="1232"/>
      <c r="G46" s="1232"/>
      <c r="H46" s="1233"/>
    </row>
    <row r="47" spans="1:8" ht="15" customHeight="1">
      <c r="A47" s="1220" t="s">
        <v>406</v>
      </c>
      <c r="B47" s="1227"/>
      <c r="C47" s="322"/>
      <c r="D47" s="158"/>
      <c r="E47" s="158"/>
      <c r="F47" s="158"/>
      <c r="G47" s="158"/>
      <c r="H47" s="329">
        <f>-CPYG!D51-CPYG!D48</f>
        <v>10753.47</v>
      </c>
    </row>
    <row r="48" spans="1:8" ht="15" customHeight="1" thickBot="1">
      <c r="A48" s="1220" t="s">
        <v>389</v>
      </c>
      <c r="B48" s="1227"/>
      <c r="C48" s="322"/>
      <c r="D48" s="158"/>
      <c r="E48" s="158"/>
      <c r="F48" s="158"/>
      <c r="G48" s="158"/>
      <c r="H48" s="792">
        <f>-CPYG!D49</f>
        <v>308211.59</v>
      </c>
    </row>
    <row r="49" spans="1:8" ht="15" customHeight="1" thickBot="1">
      <c r="A49" s="1225" t="s">
        <v>390</v>
      </c>
      <c r="B49" s="1226"/>
      <c r="C49" s="793"/>
      <c r="D49" s="794"/>
      <c r="E49" s="794"/>
      <c r="F49" s="794"/>
      <c r="G49" s="794"/>
      <c r="H49" s="795">
        <f>H47+H48</f>
        <v>318965.06</v>
      </c>
    </row>
    <row r="50" spans="1:8" ht="12.75">
      <c r="A50" s="230"/>
      <c r="B50" s="158"/>
      <c r="C50" s="158"/>
      <c r="D50" s="158"/>
      <c r="E50" s="158"/>
      <c r="F50" s="158"/>
      <c r="G50" s="158"/>
      <c r="H50" s="649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2" t="s">
        <v>391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211" t="s">
        <v>822</v>
      </c>
      <c r="B54" s="1212"/>
      <c r="C54" s="1212"/>
      <c r="D54" s="1212"/>
      <c r="E54" s="1212"/>
      <c r="F54" s="1212"/>
      <c r="G54" s="1212"/>
      <c r="H54" s="1213"/>
    </row>
    <row r="55" spans="1:8" ht="12.75">
      <c r="A55" s="1214"/>
      <c r="B55" s="1215"/>
      <c r="C55" s="1215"/>
      <c r="D55" s="1215"/>
      <c r="E55" s="1215"/>
      <c r="F55" s="1215"/>
      <c r="G55" s="1215"/>
      <c r="H55" s="1216"/>
    </row>
    <row r="56" spans="1:8" ht="12.75">
      <c r="A56" s="1214"/>
      <c r="B56" s="1215"/>
      <c r="C56" s="1215"/>
      <c r="D56" s="1215"/>
      <c r="E56" s="1215"/>
      <c r="F56" s="1215"/>
      <c r="G56" s="1215"/>
      <c r="H56" s="1216"/>
    </row>
    <row r="57" spans="1:8" ht="12.75">
      <c r="A57" s="1214"/>
      <c r="B57" s="1215"/>
      <c r="C57" s="1215"/>
      <c r="D57" s="1215"/>
      <c r="E57" s="1215"/>
      <c r="F57" s="1215"/>
      <c r="G57" s="1215"/>
      <c r="H57" s="1216"/>
    </row>
    <row r="58" spans="1:8" ht="12.75">
      <c r="A58" s="1217"/>
      <c r="B58" s="1218"/>
      <c r="C58" s="1218"/>
      <c r="D58" s="1218"/>
      <c r="E58" s="1218"/>
      <c r="F58" s="1218"/>
      <c r="G58" s="1218"/>
      <c r="H58" s="1219"/>
    </row>
    <row r="59" spans="1:8" ht="13.5" thickBot="1">
      <c r="A59" s="333"/>
      <c r="B59" s="330"/>
      <c r="C59" s="330"/>
      <c r="D59" s="330"/>
      <c r="E59" s="330"/>
      <c r="F59" s="330"/>
      <c r="G59" s="330"/>
      <c r="H59" s="334"/>
    </row>
  </sheetData>
  <sheetProtection/>
  <mergeCells count="33">
    <mergeCell ref="H7:H8"/>
    <mergeCell ref="A7:G7"/>
    <mergeCell ref="A8:G8"/>
    <mergeCell ref="A9:G9"/>
    <mergeCell ref="D33:D34"/>
    <mergeCell ref="F33:F34"/>
    <mergeCell ref="A32:B34"/>
    <mergeCell ref="G33:G34"/>
    <mergeCell ref="B11:H11"/>
    <mergeCell ref="F25:G25"/>
    <mergeCell ref="A13:B13"/>
    <mergeCell ref="A21:D21"/>
    <mergeCell ref="A23:E23"/>
    <mergeCell ref="F26:G26"/>
    <mergeCell ref="A48:B48"/>
    <mergeCell ref="H33:H34"/>
    <mergeCell ref="D32:H32"/>
    <mergeCell ref="E33:E34"/>
    <mergeCell ref="A41:B41"/>
    <mergeCell ref="A39:B39"/>
    <mergeCell ref="E46:H46"/>
    <mergeCell ref="A30:C30"/>
    <mergeCell ref="C32:C34"/>
    <mergeCell ref="A54:H58"/>
    <mergeCell ref="A35:B35"/>
    <mergeCell ref="A36:B36"/>
    <mergeCell ref="A37:B37"/>
    <mergeCell ref="A38:B38"/>
    <mergeCell ref="A44:C44"/>
    <mergeCell ref="A46:D46"/>
    <mergeCell ref="A49:B49"/>
    <mergeCell ref="A40:B40"/>
    <mergeCell ref="A47:B4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59"/>
      <c r="B1" s="759"/>
      <c r="C1" s="759"/>
      <c r="D1" s="762" t="s">
        <v>481</v>
      </c>
      <c r="E1" s="759"/>
      <c r="F1" s="759"/>
      <c r="G1" s="759"/>
      <c r="H1" s="759"/>
    </row>
    <row r="2" spans="1:8" ht="12.75">
      <c r="A2" s="759"/>
      <c r="B2" s="759"/>
      <c r="C2" s="759"/>
      <c r="D2" s="763" t="s">
        <v>482</v>
      </c>
      <c r="E2" s="759"/>
      <c r="F2" s="759"/>
      <c r="G2" s="759"/>
      <c r="H2" s="759"/>
    </row>
    <row r="3" spans="1:8" ht="12.75">
      <c r="A3" s="759"/>
      <c r="B3" s="763"/>
      <c r="C3" s="759"/>
      <c r="D3" s="759"/>
      <c r="E3" s="759"/>
      <c r="F3" s="759"/>
      <c r="G3" s="759"/>
      <c r="H3" s="759"/>
    </row>
    <row r="4" spans="1:9" ht="12.75">
      <c r="A4" s="759" t="s">
        <v>319</v>
      </c>
      <c r="B4" s="759"/>
      <c r="C4" s="759"/>
      <c r="D4" s="759"/>
      <c r="E4" s="759"/>
      <c r="F4" s="759"/>
      <c r="G4" s="764">
        <v>42339</v>
      </c>
      <c r="H4" s="759"/>
      <c r="I4" t="s">
        <v>774</v>
      </c>
    </row>
    <row r="5" spans="1:8" ht="12.75">
      <c r="A5" s="759" t="s">
        <v>480</v>
      </c>
      <c r="B5" s="759"/>
      <c r="C5" s="759"/>
      <c r="D5" s="759"/>
      <c r="E5" s="759"/>
      <c r="F5" s="759"/>
      <c r="G5" s="765" t="s">
        <v>483</v>
      </c>
      <c r="H5" s="759"/>
    </row>
    <row r="6" ht="12" customHeight="1" thickBot="1"/>
    <row r="7" ht="13.5" hidden="1" thickBot="1"/>
    <row r="8" spans="1:8" ht="56.25" customHeight="1">
      <c r="A8" s="920" t="s">
        <v>91</v>
      </c>
      <c r="B8" s="921"/>
      <c r="C8" s="921"/>
      <c r="D8" s="921"/>
      <c r="E8" s="921"/>
      <c r="F8" s="921"/>
      <c r="G8" s="921"/>
      <c r="H8" s="766">
        <v>2016</v>
      </c>
    </row>
    <row r="9" spans="1:8" s="714" customFormat="1" ht="27.75" customHeight="1">
      <c r="A9" s="919" t="str">
        <f>CPYG!A8</f>
        <v>EMPRESA PÚBLICA:  INSTITUCIÓN FERIAL DE TENERIFE, S.A.</v>
      </c>
      <c r="B9" s="944"/>
      <c r="C9" s="944"/>
      <c r="D9" s="944"/>
      <c r="E9" s="944"/>
      <c r="F9" s="944"/>
      <c r="G9" s="944"/>
      <c r="H9" s="945"/>
    </row>
    <row r="10" spans="1:8" ht="12.75">
      <c r="A10" s="715"/>
      <c r="B10" s="716"/>
      <c r="C10" s="716"/>
      <c r="D10" s="716"/>
      <c r="E10" s="716"/>
      <c r="F10" s="716"/>
      <c r="G10" s="716"/>
      <c r="H10" s="775"/>
    </row>
    <row r="11" spans="1:8" ht="15.75">
      <c r="A11" s="717" t="s">
        <v>320</v>
      </c>
      <c r="B11" s="718"/>
      <c r="C11" s="718"/>
      <c r="D11" s="716"/>
      <c r="E11" s="716"/>
      <c r="F11" s="716"/>
      <c r="G11" s="716"/>
      <c r="H11" s="776"/>
    </row>
    <row r="12" spans="1:8" ht="12.75">
      <c r="A12" s="715"/>
      <c r="B12" s="716"/>
      <c r="C12" s="716"/>
      <c r="D12" s="716"/>
      <c r="E12" s="716"/>
      <c r="F12" s="716"/>
      <c r="G12" s="716"/>
      <c r="H12" s="776"/>
    </row>
    <row r="13" spans="1:8" ht="12.75">
      <c r="A13" s="719" t="s">
        <v>549</v>
      </c>
      <c r="B13" s="718"/>
      <c r="C13" s="718"/>
      <c r="D13" s="716"/>
      <c r="E13" s="716"/>
      <c r="F13" s="716"/>
      <c r="G13" s="716"/>
      <c r="H13" s="777">
        <v>9</v>
      </c>
    </row>
    <row r="14" spans="1:8" ht="12.75">
      <c r="A14" s="715"/>
      <c r="B14" s="716"/>
      <c r="C14" s="716"/>
      <c r="D14" s="716"/>
      <c r="E14" s="716"/>
      <c r="F14" s="716"/>
      <c r="G14" s="716"/>
      <c r="H14" s="776"/>
    </row>
    <row r="15" spans="1:8" ht="12.75">
      <c r="A15" s="715"/>
      <c r="B15" s="716" t="s">
        <v>550</v>
      </c>
      <c r="C15" s="716"/>
      <c r="D15" s="716"/>
      <c r="E15" s="716"/>
      <c r="F15" s="716"/>
      <c r="G15" s="716"/>
      <c r="H15" s="777">
        <v>9</v>
      </c>
    </row>
    <row r="16" spans="1:8" ht="12.75">
      <c r="A16" s="715"/>
      <c r="B16" s="720" t="s">
        <v>551</v>
      </c>
      <c r="C16" s="716" t="s">
        <v>552</v>
      </c>
      <c r="D16" s="716"/>
      <c r="E16" s="716"/>
      <c r="F16" s="716"/>
      <c r="G16" s="716"/>
      <c r="H16" s="778">
        <v>8</v>
      </c>
    </row>
    <row r="17" spans="1:8" ht="12.75">
      <c r="A17" s="715"/>
      <c r="B17" s="720" t="s">
        <v>553</v>
      </c>
      <c r="C17" s="716" t="s">
        <v>554</v>
      </c>
      <c r="D17" s="716"/>
      <c r="E17" s="716"/>
      <c r="F17" s="716"/>
      <c r="G17" s="716"/>
      <c r="H17" s="778">
        <v>1</v>
      </c>
    </row>
    <row r="18" spans="1:8" ht="7.5" customHeight="1">
      <c r="A18" s="715"/>
      <c r="B18" s="716"/>
      <c r="C18" s="716"/>
      <c r="D18" s="716"/>
      <c r="E18" s="716"/>
      <c r="F18" s="716"/>
      <c r="G18" s="716"/>
      <c r="H18" s="776"/>
    </row>
    <row r="19" spans="1:8" ht="12.75">
      <c r="A19" s="715"/>
      <c r="B19" s="716" t="s">
        <v>555</v>
      </c>
      <c r="C19" s="716"/>
      <c r="D19" s="716"/>
      <c r="E19" s="716"/>
      <c r="F19" s="716"/>
      <c r="G19" s="716"/>
      <c r="H19" s="777">
        <v>0</v>
      </c>
    </row>
    <row r="20" spans="1:8" ht="13.5" thickBot="1">
      <c r="A20" s="721"/>
      <c r="B20" s="722"/>
      <c r="C20" s="722"/>
      <c r="D20" s="722"/>
      <c r="E20" s="722"/>
      <c r="F20" s="722"/>
      <c r="G20" s="722"/>
      <c r="H20" s="774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76.7109375" style="209" customWidth="1"/>
    <col min="4" max="4" width="16.00390625" style="209" customWidth="1"/>
    <col min="5" max="5" width="11.57421875" style="209" customWidth="1"/>
    <col min="6" max="6" width="11.8515625" style="209" hidden="1" customWidth="1"/>
    <col min="7" max="11" width="0" style="209" hidden="1" customWidth="1"/>
    <col min="12" max="16384" width="11.57421875" style="209" customWidth="1"/>
  </cols>
  <sheetData>
    <row r="1" spans="1:7" ht="15">
      <c r="A1" s="278"/>
      <c r="B1" s="757" t="s">
        <v>481</v>
      </c>
      <c r="C1" s="278"/>
      <c r="D1" s="278"/>
      <c r="E1" s="278"/>
      <c r="G1" s="278"/>
    </row>
    <row r="2" spans="1:7" ht="14.25">
      <c r="A2" s="278"/>
      <c r="B2" s="758" t="s">
        <v>482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5">
      <c r="A4" s="756" t="s">
        <v>319</v>
      </c>
      <c r="B4" s="761">
        <v>42339</v>
      </c>
      <c r="C4" s="278"/>
      <c r="D4" s="278"/>
      <c r="E4" s="278"/>
      <c r="G4" s="768"/>
    </row>
    <row r="5" spans="1:7" ht="15">
      <c r="A5" s="756" t="s">
        <v>480</v>
      </c>
      <c r="B5" s="760" t="s">
        <v>483</v>
      </c>
      <c r="C5" s="278"/>
      <c r="D5" s="278"/>
      <c r="E5" s="278"/>
      <c r="G5" s="769"/>
    </row>
    <row r="6" ht="13.5" thickBot="1"/>
    <row r="7" spans="1:4" ht="49.5" customHeight="1">
      <c r="A7" s="1086" t="s">
        <v>512</v>
      </c>
      <c r="B7" s="1087"/>
      <c r="C7" s="1088"/>
      <c r="D7" s="232">
        <f>CPYG!D7</f>
        <v>2016</v>
      </c>
    </row>
    <row r="8" spans="1:4" ht="63" customHeight="1">
      <c r="A8" s="1262" t="str">
        <f>CPYG!A8</f>
        <v>EMPRESA PÚBLICA:  INSTITUCIÓN FERIAL DE TENERIFE, S.A.</v>
      </c>
      <c r="B8" s="1263"/>
      <c r="C8" s="1264"/>
      <c r="D8" s="344" t="s">
        <v>173</v>
      </c>
    </row>
    <row r="9" spans="1:4" s="133" customFormat="1" ht="24.75" customHeight="1">
      <c r="A9" s="1265" t="s">
        <v>748</v>
      </c>
      <c r="B9" s="1266"/>
      <c r="C9" s="1266"/>
      <c r="D9" s="1267"/>
    </row>
    <row r="10" spans="1:4" s="133" customFormat="1" ht="16.5" customHeight="1">
      <c r="A10" s="1268" t="s">
        <v>82</v>
      </c>
      <c r="B10" s="1269"/>
      <c r="C10" s="1270" t="s">
        <v>84</v>
      </c>
      <c r="D10" s="1271"/>
    </row>
    <row r="11" spans="1:4" s="133" customFormat="1" ht="24.75" customHeight="1">
      <c r="A11" s="703" t="s">
        <v>83</v>
      </c>
      <c r="B11" s="336" t="s">
        <v>81</v>
      </c>
      <c r="C11" s="336" t="s">
        <v>83</v>
      </c>
      <c r="D11" s="704" t="s">
        <v>81</v>
      </c>
    </row>
    <row r="12" spans="1:4" s="133" customFormat="1" ht="24.75" customHeight="1">
      <c r="A12" s="823" t="s">
        <v>107</v>
      </c>
      <c r="B12" s="337">
        <v>76742.51</v>
      </c>
      <c r="C12" s="338" t="s">
        <v>107</v>
      </c>
      <c r="D12" s="349">
        <v>0</v>
      </c>
    </row>
    <row r="13" spans="1:4" s="133" customFormat="1" ht="24.75" customHeight="1">
      <c r="A13" s="347" t="s">
        <v>108</v>
      </c>
      <c r="B13" s="339">
        <v>618.46</v>
      </c>
      <c r="C13" s="340" t="s">
        <v>108</v>
      </c>
      <c r="D13" s="349">
        <v>0</v>
      </c>
    </row>
    <row r="14" spans="1:4" s="133" customFormat="1" ht="24.75" customHeight="1">
      <c r="A14" s="347" t="s">
        <v>109</v>
      </c>
      <c r="B14" s="339">
        <v>0</v>
      </c>
      <c r="C14" s="340" t="s">
        <v>109</v>
      </c>
      <c r="D14" s="349">
        <v>0</v>
      </c>
    </row>
    <row r="15" spans="1:4" s="133" customFormat="1" ht="24.75" customHeight="1">
      <c r="A15" s="347" t="s">
        <v>110</v>
      </c>
      <c r="B15" s="339">
        <v>0</v>
      </c>
      <c r="C15" s="340" t="s">
        <v>110</v>
      </c>
      <c r="D15" s="349">
        <v>0</v>
      </c>
    </row>
    <row r="16" spans="1:4" s="133" customFormat="1" ht="24.75" customHeight="1">
      <c r="A16" s="347" t="s">
        <v>111</v>
      </c>
      <c r="B16" s="339">
        <v>0</v>
      </c>
      <c r="C16" s="340" t="s">
        <v>111</v>
      </c>
      <c r="D16" s="349">
        <v>0</v>
      </c>
    </row>
    <row r="17" spans="1:4" s="133" customFormat="1" ht="24.75" customHeight="1">
      <c r="A17" s="347" t="s">
        <v>511</v>
      </c>
      <c r="B17" s="339">
        <v>0</v>
      </c>
      <c r="C17" s="340" t="s">
        <v>511</v>
      </c>
      <c r="D17" s="349">
        <v>0</v>
      </c>
    </row>
    <row r="18" spans="1:4" s="229" customFormat="1" ht="24.75" customHeight="1">
      <c r="A18" s="699" t="s">
        <v>749</v>
      </c>
      <c r="B18" s="341">
        <v>0</v>
      </c>
      <c r="C18" s="340" t="s">
        <v>749</v>
      </c>
      <c r="D18" s="349">
        <v>0</v>
      </c>
    </row>
    <row r="19" spans="1:4" s="133" customFormat="1" ht="24.75" customHeight="1">
      <c r="A19" s="347" t="s">
        <v>144</v>
      </c>
      <c r="B19" s="339">
        <v>0</v>
      </c>
      <c r="C19" s="340" t="s">
        <v>144</v>
      </c>
      <c r="D19" s="349">
        <v>0</v>
      </c>
    </row>
    <row r="20" spans="1:6" s="133" customFormat="1" ht="24.75" customHeight="1">
      <c r="A20" s="347" t="s">
        <v>112</v>
      </c>
      <c r="B20" s="822">
        <v>0</v>
      </c>
      <c r="C20" s="340" t="s">
        <v>112</v>
      </c>
      <c r="D20" s="349">
        <v>0</v>
      </c>
      <c r="F20" s="169"/>
    </row>
    <row r="21" spans="1:4" s="133" customFormat="1" ht="24.75" customHeight="1">
      <c r="A21" s="347" t="s">
        <v>113</v>
      </c>
      <c r="B21" s="822">
        <v>0</v>
      </c>
      <c r="C21" s="340" t="s">
        <v>113</v>
      </c>
      <c r="D21" s="349">
        <v>0</v>
      </c>
    </row>
    <row r="22" spans="1:4" s="133" customFormat="1" ht="24.75" customHeight="1">
      <c r="A22" s="347" t="s">
        <v>114</v>
      </c>
      <c r="B22" s="822">
        <v>0</v>
      </c>
      <c r="C22" s="340" t="s">
        <v>114</v>
      </c>
      <c r="D22" s="349">
        <v>0</v>
      </c>
    </row>
    <row r="23" spans="1:4" s="133" customFormat="1" ht="24.75" customHeight="1">
      <c r="A23" s="347" t="s">
        <v>116</v>
      </c>
      <c r="B23" s="822">
        <v>0</v>
      </c>
      <c r="C23" s="340" t="s">
        <v>116</v>
      </c>
      <c r="D23" s="349">
        <v>0</v>
      </c>
    </row>
    <row r="24" spans="1:4" s="133" customFormat="1" ht="24.75" customHeight="1">
      <c r="A24" s="347" t="s">
        <v>115</v>
      </c>
      <c r="B24" s="341">
        <v>163471.09</v>
      </c>
      <c r="C24" s="340" t="s">
        <v>115</v>
      </c>
      <c r="D24" s="349">
        <v>0</v>
      </c>
    </row>
    <row r="25" spans="1:4" s="133" customFormat="1" ht="24.75" customHeight="1">
      <c r="A25" s="347" t="s">
        <v>750</v>
      </c>
      <c r="B25" s="341">
        <v>2675</v>
      </c>
      <c r="C25" s="340" t="s">
        <v>751</v>
      </c>
      <c r="D25" s="349">
        <v>0</v>
      </c>
    </row>
    <row r="26" spans="1:4" s="229" customFormat="1" ht="24.75" customHeight="1">
      <c r="A26" s="699" t="s">
        <v>117</v>
      </c>
      <c r="B26" s="341">
        <v>0</v>
      </c>
      <c r="C26" s="340" t="s">
        <v>117</v>
      </c>
      <c r="D26" s="349">
        <v>0</v>
      </c>
    </row>
    <row r="27" spans="1:4" s="133" customFormat="1" ht="24.75" customHeight="1">
      <c r="A27" s="347" t="s">
        <v>752</v>
      </c>
      <c r="B27" s="341">
        <v>10403.61</v>
      </c>
      <c r="C27" s="340" t="s">
        <v>752</v>
      </c>
      <c r="D27" s="349">
        <v>0</v>
      </c>
    </row>
    <row r="28" spans="1:4" s="133" customFormat="1" ht="24.75" customHeight="1">
      <c r="A28" s="347" t="s">
        <v>120</v>
      </c>
      <c r="B28" s="341">
        <v>0</v>
      </c>
      <c r="C28" s="340" t="s">
        <v>120</v>
      </c>
      <c r="D28" s="349">
        <v>0</v>
      </c>
    </row>
    <row r="29" spans="1:4" s="133" customFormat="1" ht="24.75" customHeight="1">
      <c r="A29" s="347" t="s">
        <v>753</v>
      </c>
      <c r="B29" s="341">
        <v>110846.6</v>
      </c>
      <c r="C29" s="340" t="s">
        <v>753</v>
      </c>
      <c r="D29" s="349">
        <v>0</v>
      </c>
    </row>
    <row r="30" spans="1:4" s="133" customFormat="1" ht="24.75" customHeight="1">
      <c r="A30" s="347" t="s">
        <v>754</v>
      </c>
      <c r="B30" s="341">
        <v>0</v>
      </c>
      <c r="C30" s="340" t="s">
        <v>754</v>
      </c>
      <c r="D30" s="349">
        <v>0</v>
      </c>
    </row>
    <row r="31" spans="1:4" s="133" customFormat="1" ht="24.75" customHeight="1">
      <c r="A31" s="347" t="s">
        <v>119</v>
      </c>
      <c r="B31" s="341">
        <v>0</v>
      </c>
      <c r="C31" s="340" t="s">
        <v>119</v>
      </c>
      <c r="D31" s="349">
        <v>0</v>
      </c>
    </row>
    <row r="32" spans="1:4" s="133" customFormat="1" ht="24.75" customHeight="1">
      <c r="A32" s="347" t="s">
        <v>755</v>
      </c>
      <c r="B32" s="341">
        <v>3979.33</v>
      </c>
      <c r="C32" s="340" t="s">
        <v>755</v>
      </c>
      <c r="D32" s="349">
        <v>0</v>
      </c>
    </row>
    <row r="33" spans="1:4" s="133" customFormat="1" ht="24.75" customHeight="1">
      <c r="A33" s="347" t="s">
        <v>756</v>
      </c>
      <c r="B33" s="341">
        <v>0</v>
      </c>
      <c r="C33" s="340" t="s">
        <v>756</v>
      </c>
      <c r="D33" s="349">
        <v>0</v>
      </c>
    </row>
    <row r="34" spans="1:4" s="133" customFormat="1" ht="24.75" customHeight="1">
      <c r="A34" s="347" t="s">
        <v>757</v>
      </c>
      <c r="B34" s="341">
        <v>0</v>
      </c>
      <c r="C34" s="340" t="s">
        <v>757</v>
      </c>
      <c r="D34" s="349">
        <v>0</v>
      </c>
    </row>
    <row r="35" spans="1:4" s="133" customFormat="1" ht="24.75" customHeight="1">
      <c r="A35" s="347" t="s">
        <v>758</v>
      </c>
      <c r="B35" s="341">
        <v>39269.96</v>
      </c>
      <c r="C35" s="340" t="s">
        <v>758</v>
      </c>
      <c r="D35" s="349">
        <v>0</v>
      </c>
    </row>
    <row r="36" spans="1:4" s="133" customFormat="1" ht="24.75" customHeight="1">
      <c r="A36" s="705" t="s">
        <v>472</v>
      </c>
      <c r="B36" s="341">
        <v>0</v>
      </c>
      <c r="C36" s="340" t="s">
        <v>472</v>
      </c>
      <c r="D36" s="349">
        <v>0</v>
      </c>
    </row>
    <row r="37" spans="1:4" s="133" customFormat="1" ht="24.75" customHeight="1">
      <c r="A37" s="705" t="s">
        <v>145</v>
      </c>
      <c r="B37" s="341">
        <v>0</v>
      </c>
      <c r="C37" s="340" t="s">
        <v>145</v>
      </c>
      <c r="D37" s="349">
        <v>0</v>
      </c>
    </row>
    <row r="38" spans="1:4" s="133" customFormat="1" ht="24.75" customHeight="1">
      <c r="A38" s="705" t="s">
        <v>156</v>
      </c>
      <c r="B38" s="341">
        <v>0</v>
      </c>
      <c r="C38" s="340" t="s">
        <v>156</v>
      </c>
      <c r="D38" s="349">
        <v>0</v>
      </c>
    </row>
    <row r="39" spans="1:4" s="133" customFormat="1" ht="24.75" customHeight="1">
      <c r="A39" s="705" t="s">
        <v>705</v>
      </c>
      <c r="B39" s="341">
        <v>321</v>
      </c>
      <c r="C39" s="340" t="str">
        <f>A39</f>
        <v>FUNDACION TENERIFE RURAL</v>
      </c>
      <c r="D39" s="349">
        <v>0</v>
      </c>
    </row>
    <row r="40" spans="1:4" s="133" customFormat="1" ht="24.75" customHeight="1">
      <c r="A40" s="705" t="s">
        <v>152</v>
      </c>
      <c r="B40" s="339">
        <v>0</v>
      </c>
      <c r="C40" s="340" t="s">
        <v>152</v>
      </c>
      <c r="D40" s="349">
        <v>0</v>
      </c>
    </row>
    <row r="41" spans="1:4" s="133" customFormat="1" ht="24.75" customHeight="1">
      <c r="A41" s="705" t="s">
        <v>146</v>
      </c>
      <c r="B41" s="339">
        <v>0</v>
      </c>
      <c r="C41" s="340" t="s">
        <v>146</v>
      </c>
      <c r="D41" s="349">
        <v>0</v>
      </c>
    </row>
    <row r="42" spans="1:4" s="133" customFormat="1" ht="24.75" customHeight="1">
      <c r="A42" s="705" t="s">
        <v>153</v>
      </c>
      <c r="B42" s="339">
        <v>0</v>
      </c>
      <c r="C42" s="340" t="s">
        <v>153</v>
      </c>
      <c r="D42" s="349">
        <v>0</v>
      </c>
    </row>
    <row r="43" spans="1:4" s="133" customFormat="1" ht="19.5" customHeight="1" thickBot="1">
      <c r="A43" s="352" t="s">
        <v>105</v>
      </c>
      <c r="B43" s="353">
        <f>SUM(B12:B42)</f>
        <v>408327.56000000006</v>
      </c>
      <c r="C43" s="706" t="s">
        <v>105</v>
      </c>
      <c r="D43" s="331">
        <f>SUM(D12:D42)</f>
        <v>0</v>
      </c>
    </row>
    <row r="44" ht="12.75">
      <c r="B44" s="342"/>
    </row>
    <row r="45" ht="13.5" thickBot="1"/>
    <row r="46" spans="1:4" ht="16.5" customHeight="1" thickBot="1">
      <c r="A46" s="1254" t="s">
        <v>154</v>
      </c>
      <c r="B46" s="1255"/>
      <c r="C46" s="1255"/>
      <c r="D46" s="1256"/>
    </row>
    <row r="47" spans="1:4" ht="18.75" customHeight="1" thickBot="1">
      <c r="A47" s="1254" t="s">
        <v>748</v>
      </c>
      <c r="B47" s="1255"/>
      <c r="C47" s="1255"/>
      <c r="D47" s="1256"/>
    </row>
    <row r="48" spans="1:4" ht="12.75">
      <c r="A48" s="1258" t="s">
        <v>82</v>
      </c>
      <c r="B48" s="1259"/>
      <c r="C48" s="1260" t="s">
        <v>84</v>
      </c>
      <c r="D48" s="1261"/>
    </row>
    <row r="49" spans="1:4" ht="12.75">
      <c r="A49" s="703" t="s">
        <v>83</v>
      </c>
      <c r="B49" s="336" t="s">
        <v>81</v>
      </c>
      <c r="C49" s="336" t="s">
        <v>83</v>
      </c>
      <c r="D49" s="704" t="s">
        <v>81</v>
      </c>
    </row>
    <row r="50" spans="1:4" s="133" customFormat="1" ht="29.25" customHeight="1">
      <c r="A50" s="705" t="s">
        <v>155</v>
      </c>
      <c r="B50" s="339"/>
      <c r="C50" s="340" t="s">
        <v>155</v>
      </c>
      <c r="D50" s="349"/>
    </row>
    <row r="51" spans="1:4" s="133" customFormat="1" ht="19.5" customHeight="1" thickBot="1">
      <c r="A51" s="352" t="s">
        <v>105</v>
      </c>
      <c r="B51" s="353">
        <f>SUM(B50:B50)</f>
        <v>0</v>
      </c>
      <c r="C51" s="706" t="s">
        <v>105</v>
      </c>
      <c r="D51" s="331">
        <f>SUM(D50:D50)</f>
        <v>0</v>
      </c>
    </row>
    <row r="52" spans="1:2" ht="12.75">
      <c r="A52" s="343"/>
      <c r="B52" s="342"/>
    </row>
    <row r="53" ht="12.75" hidden="1">
      <c r="B53" s="342"/>
    </row>
    <row r="54" spans="1:4" ht="12.75" hidden="1">
      <c r="A54" s="1257" t="s">
        <v>118</v>
      </c>
      <c r="B54" s="1257"/>
      <c r="C54" s="1257"/>
      <c r="D54" s="1257"/>
    </row>
    <row r="55" spans="1:4" ht="12.75" hidden="1">
      <c r="A55" s="1257" t="s">
        <v>121</v>
      </c>
      <c r="B55" s="1257"/>
      <c r="C55" s="1257"/>
      <c r="D55" s="1257"/>
    </row>
    <row r="56" spans="1:4" ht="12.75" hidden="1">
      <c r="A56" s="912"/>
      <c r="B56" s="913"/>
      <c r="C56" s="912">
        <f>+B43/1.07</f>
        <v>381614.5420560748</v>
      </c>
      <c r="D56" s="912"/>
    </row>
    <row r="57" spans="1:4" ht="12.75" hidden="1">
      <c r="A57" s="912"/>
      <c r="B57" s="914"/>
      <c r="C57" s="912"/>
      <c r="D57" s="912"/>
    </row>
    <row r="58" spans="1:4" ht="12.75" hidden="1">
      <c r="A58" s="912"/>
      <c r="B58" s="914"/>
      <c r="C58" s="912"/>
      <c r="D58" s="912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tabSelected="1" zoomScale="85" zoomScaleNormal="85" zoomScalePageLayoutView="0" workbookViewId="0" topLeftCell="A1">
      <selection activeCell="I8" sqref="I8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6" width="11.57421875" style="133" customWidth="1"/>
    <col min="7" max="8" width="0" style="133" hidden="1" customWidth="1"/>
    <col min="9" max="16384" width="11.57421875" style="133" customWidth="1"/>
  </cols>
  <sheetData>
    <row r="1" spans="1:7" ht="15">
      <c r="A1" s="278"/>
      <c r="B1" s="278"/>
      <c r="C1" s="757" t="s">
        <v>481</v>
      </c>
      <c r="D1" s="278"/>
      <c r="E1" s="278"/>
      <c r="G1" s="278"/>
    </row>
    <row r="2" spans="1:7" ht="14.25">
      <c r="A2" s="278"/>
      <c r="B2" s="278"/>
      <c r="C2" s="758" t="s">
        <v>482</v>
      </c>
      <c r="D2" s="278"/>
      <c r="E2" s="278"/>
      <c r="G2" s="278"/>
    </row>
    <row r="3" spans="1:7" ht="12.75">
      <c r="A3" s="278"/>
      <c r="B3" s="278"/>
      <c r="C3" s="278"/>
      <c r="D3" s="278"/>
      <c r="E3" s="278"/>
      <c r="G3" s="278"/>
    </row>
    <row r="4" spans="1:7" ht="15">
      <c r="A4" s="756" t="s">
        <v>319</v>
      </c>
      <c r="B4" s="278"/>
      <c r="C4" s="761">
        <v>42339</v>
      </c>
      <c r="D4" s="278"/>
      <c r="E4" s="278"/>
      <c r="G4" s="768"/>
    </row>
    <row r="5" spans="1:7" ht="15">
      <c r="A5" s="756" t="s">
        <v>480</v>
      </c>
      <c r="B5" s="278"/>
      <c r="C5" s="760" t="s">
        <v>483</v>
      </c>
      <c r="D5" s="278"/>
      <c r="E5" s="278"/>
      <c r="G5" s="769"/>
    </row>
    <row r="6" ht="13.5" thickBot="1"/>
    <row r="7" spans="1:5" ht="49.5" customHeight="1">
      <c r="A7" s="1005" t="s">
        <v>512</v>
      </c>
      <c r="B7" s="1006"/>
      <c r="C7" s="1006"/>
      <c r="D7" s="1006"/>
      <c r="E7" s="232">
        <f>CPYG!D7</f>
        <v>2016</v>
      </c>
    </row>
    <row r="8" spans="1:5" ht="44.25" customHeight="1">
      <c r="A8" s="1262" t="str">
        <f>CPYG!A8</f>
        <v>EMPRESA PÚBLICA:  INSTITUCIÓN FERIAL DE TENERIFE, S.A.</v>
      </c>
      <c r="B8" s="1272"/>
      <c r="C8" s="1272"/>
      <c r="D8" s="1273"/>
      <c r="E8" s="344" t="s">
        <v>172</v>
      </c>
    </row>
    <row r="9" spans="1:5" ht="24.75" customHeight="1">
      <c r="A9" s="1265" t="s">
        <v>759</v>
      </c>
      <c r="B9" s="1274"/>
      <c r="C9" s="1274"/>
      <c r="D9" s="1274"/>
      <c r="E9" s="1275"/>
    </row>
    <row r="10" spans="1:5" ht="30" customHeight="1">
      <c r="A10" s="345" t="s">
        <v>79</v>
      </c>
      <c r="B10" s="335" t="s">
        <v>80</v>
      </c>
      <c r="C10" s="709" t="s">
        <v>364</v>
      </c>
      <c r="D10" s="709" t="s">
        <v>627</v>
      </c>
      <c r="E10" s="346" t="s">
        <v>580</v>
      </c>
    </row>
    <row r="11" spans="1:5" ht="19.5" customHeight="1">
      <c r="A11" s="347"/>
      <c r="B11" s="351"/>
      <c r="C11" s="351"/>
      <c r="D11" s="688"/>
      <c r="E11" s="349"/>
    </row>
    <row r="12" spans="1:5" ht="19.5" customHeight="1">
      <c r="A12" s="699"/>
      <c r="B12" s="700"/>
      <c r="C12" s="700"/>
      <c r="D12" s="701"/>
      <c r="E12" s="702"/>
    </row>
    <row r="13" spans="1:5" ht="19.5" customHeight="1">
      <c r="A13" s="699"/>
      <c r="B13" s="700"/>
      <c r="C13" s="700"/>
      <c r="D13" s="701"/>
      <c r="E13" s="702"/>
    </row>
    <row r="14" spans="1:5" ht="19.5" customHeight="1">
      <c r="A14" s="699"/>
      <c r="B14" s="700"/>
      <c r="C14" s="700"/>
      <c r="D14" s="701"/>
      <c r="E14" s="702"/>
    </row>
    <row r="15" spans="1:5" ht="19.5" customHeight="1">
      <c r="A15" s="347"/>
      <c r="B15" s="351"/>
      <c r="C15" s="351"/>
      <c r="D15" s="688"/>
      <c r="E15" s="349"/>
    </row>
    <row r="16" spans="1:5" ht="19.5" customHeight="1">
      <c r="A16" s="347"/>
      <c r="B16" s="351"/>
      <c r="C16" s="351"/>
      <c r="D16" s="688"/>
      <c r="E16" s="349"/>
    </row>
    <row r="17" spans="1:5" ht="19.5" customHeight="1">
      <c r="A17" s="347"/>
      <c r="B17" s="351"/>
      <c r="C17" s="351"/>
      <c r="D17" s="688"/>
      <c r="E17" s="349"/>
    </row>
    <row r="18" spans="1:5" ht="19.5" customHeight="1">
      <c r="A18" s="347"/>
      <c r="B18" s="351"/>
      <c r="C18" s="351"/>
      <c r="D18" s="688"/>
      <c r="E18" s="349"/>
    </row>
    <row r="19" spans="1:5" ht="19.5" customHeight="1">
      <c r="A19" s="347"/>
      <c r="B19" s="351"/>
      <c r="C19" s="351"/>
      <c r="D19" s="688"/>
      <c r="E19" s="349"/>
    </row>
    <row r="20" spans="1:5" ht="19.5" customHeight="1">
      <c r="A20" s="347"/>
      <c r="B20" s="350"/>
      <c r="C20" s="350"/>
      <c r="D20" s="351"/>
      <c r="E20" s="349"/>
    </row>
    <row r="21" spans="1:5" ht="19.5" customHeight="1">
      <c r="A21" s="347"/>
      <c r="B21" s="339"/>
      <c r="C21" s="708"/>
      <c r="D21" s="348"/>
      <c r="E21" s="349"/>
    </row>
    <row r="22" spans="1:5" ht="19.5" customHeight="1">
      <c r="A22" s="347"/>
      <c r="B22" s="339"/>
      <c r="C22" s="708"/>
      <c r="D22" s="348"/>
      <c r="E22" s="349"/>
    </row>
    <row r="23" spans="1:5" ht="19.5" customHeight="1">
      <c r="A23" s="347"/>
      <c r="B23" s="339"/>
      <c r="C23" s="708"/>
      <c r="D23" s="348"/>
      <c r="E23" s="349"/>
    </row>
    <row r="24" spans="1:5" ht="19.5" customHeight="1">
      <c r="A24" s="347"/>
      <c r="B24" s="339"/>
      <c r="C24" s="708"/>
      <c r="D24" s="348"/>
      <c r="E24" s="349"/>
    </row>
    <row r="25" spans="1:5" ht="19.5" customHeight="1">
      <c r="A25" s="347"/>
      <c r="B25" s="339"/>
      <c r="C25" s="708"/>
      <c r="D25" s="348"/>
      <c r="E25" s="349"/>
    </row>
    <row r="26" spans="1:5" ht="19.5" customHeight="1">
      <c r="A26" s="347"/>
      <c r="B26" s="339"/>
      <c r="C26" s="708"/>
      <c r="D26" s="348"/>
      <c r="E26" s="349"/>
    </row>
    <row r="27" spans="1:5" ht="19.5" customHeight="1">
      <c r="A27" s="347"/>
      <c r="B27" s="339"/>
      <c r="C27" s="708"/>
      <c r="D27" s="348"/>
      <c r="E27" s="349"/>
    </row>
    <row r="28" spans="1:5" ht="23.25" customHeight="1" thickBot="1">
      <c r="A28" s="352"/>
      <c r="B28" s="353"/>
      <c r="C28" s="353"/>
      <c r="D28" s="650">
        <f>SUM(D11:D27)</f>
        <v>0</v>
      </c>
      <c r="E28" s="331"/>
    </row>
    <row r="29" spans="2:3" ht="12.75">
      <c r="B29" s="658"/>
      <c r="C29" s="658"/>
    </row>
    <row r="30" spans="2:3" ht="12.75">
      <c r="B30" s="658"/>
      <c r="C30" s="658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58"/>
      <c r="C33" s="658"/>
      <c r="D33" s="169"/>
      <c r="E33" s="169"/>
    </row>
    <row r="34" spans="2:5" ht="12.75">
      <c r="B34" s="658"/>
      <c r="C34" s="658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9"/>
      <c r="C37" s="689"/>
      <c r="D37" s="690"/>
      <c r="E37" s="690"/>
    </row>
    <row r="38" spans="2:5" ht="12.75">
      <c r="B38" s="658"/>
      <c r="C38" s="658"/>
      <c r="D38" s="169"/>
      <c r="E38" s="169"/>
    </row>
    <row r="39" spans="2:3" ht="12.75">
      <c r="B39" s="658"/>
      <c r="C39" s="658"/>
    </row>
    <row r="40" spans="2:5" ht="12.75">
      <c r="B40" s="689"/>
      <c r="C40" s="689"/>
      <c r="D40" s="690"/>
      <c r="E40" s="690"/>
    </row>
    <row r="41" spans="2:5" ht="12.75">
      <c r="B41" s="689"/>
      <c r="C41" s="689"/>
      <c r="D41" s="690"/>
      <c r="E41" s="690"/>
    </row>
    <row r="42" spans="2:3" ht="12.75">
      <c r="B42" s="658"/>
      <c r="C42" s="658"/>
    </row>
    <row r="43" spans="2:3" ht="12.75">
      <c r="B43" s="658"/>
      <c r="C43" s="658"/>
    </row>
    <row r="44" spans="2:3" ht="12.75">
      <c r="B44" s="658"/>
      <c r="C44" s="658"/>
    </row>
    <row r="45" spans="2:3" ht="12.75">
      <c r="B45" s="658"/>
      <c r="C45" s="658"/>
    </row>
    <row r="46" spans="2:3" ht="12.75">
      <c r="B46" s="658"/>
      <c r="C46" s="658"/>
    </row>
    <row r="47" spans="2:3" ht="12.75">
      <c r="B47" s="658"/>
      <c r="C47" s="658"/>
    </row>
    <row r="48" spans="2:3" ht="12.75">
      <c r="B48" s="658"/>
      <c r="C48" s="658"/>
    </row>
    <row r="49" spans="2:3" ht="12.75">
      <c r="B49" s="658"/>
      <c r="C49" s="658"/>
    </row>
    <row r="50" spans="2:3" ht="12.75">
      <c r="B50" s="658"/>
      <c r="C50" s="658"/>
    </row>
    <row r="51" spans="2:3" ht="12.75">
      <c r="B51" s="658"/>
      <c r="C51" s="658"/>
    </row>
    <row r="52" spans="2:3" ht="12.75">
      <c r="B52" s="658"/>
      <c r="C52" s="658"/>
    </row>
    <row r="53" spans="2:3" ht="12.75">
      <c r="B53" s="658"/>
      <c r="C53" s="658"/>
    </row>
    <row r="54" spans="2:3" ht="12.75">
      <c r="B54" s="658"/>
      <c r="C54" s="658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30"/>
  <sheetViews>
    <sheetView zoomScalePageLayoutView="0" workbookViewId="0" topLeftCell="A65536">
      <selection activeCell="G46" sqref="G46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3" bestFit="1" customWidth="1"/>
    <col min="9" max="11" width="11.7109375" style="0" bestFit="1" customWidth="1"/>
  </cols>
  <sheetData>
    <row r="1" spans="1:8" ht="12.75" hidden="1">
      <c r="A1" s="759"/>
      <c r="B1" s="759"/>
      <c r="C1" s="759"/>
      <c r="D1" s="762" t="s">
        <v>481</v>
      </c>
      <c r="E1" s="759"/>
      <c r="F1" s="759"/>
      <c r="G1" s="759"/>
      <c r="H1" s="759"/>
    </row>
    <row r="2" spans="1:8" ht="12.75" hidden="1">
      <c r="A2" s="759"/>
      <c r="B2" s="759"/>
      <c r="C2" s="759"/>
      <c r="D2" s="763" t="s">
        <v>482</v>
      </c>
      <c r="E2" s="759"/>
      <c r="F2" s="759"/>
      <c r="G2" s="759"/>
      <c r="H2" s="759"/>
    </row>
    <row r="3" spans="1:8" ht="12.75" hidden="1">
      <c r="A3" s="759"/>
      <c r="B3" s="763"/>
      <c r="C3" s="759"/>
      <c r="D3" s="759"/>
      <c r="E3" s="759"/>
      <c r="F3" s="759"/>
      <c r="G3" s="759"/>
      <c r="H3" s="759"/>
    </row>
    <row r="4" spans="1:8" ht="12.75" hidden="1">
      <c r="A4" s="759" t="s">
        <v>319</v>
      </c>
      <c r="B4" s="759"/>
      <c r="C4" s="759"/>
      <c r="D4" s="759"/>
      <c r="E4" s="759"/>
      <c r="F4" s="759"/>
      <c r="G4" s="764">
        <v>41974</v>
      </c>
      <c r="H4" s="759"/>
    </row>
    <row r="5" spans="1:8" ht="12.75" hidden="1">
      <c r="A5" s="759" t="s">
        <v>480</v>
      </c>
      <c r="B5" s="759"/>
      <c r="C5" s="759"/>
      <c r="D5" s="759"/>
      <c r="E5" s="759"/>
      <c r="F5" s="759"/>
      <c r="G5" s="765" t="s">
        <v>483</v>
      </c>
      <c r="H5" s="759"/>
    </row>
    <row r="6" ht="13.5" hidden="1" thickBot="1"/>
    <row r="7" spans="1:8" ht="51" customHeight="1" hidden="1">
      <c r="A7" s="920" t="s">
        <v>91</v>
      </c>
      <c r="B7" s="921"/>
      <c r="C7" s="921"/>
      <c r="D7" s="921"/>
      <c r="E7" s="921"/>
      <c r="F7" s="921"/>
      <c r="G7" s="921"/>
      <c r="H7" s="766">
        <f>'ORGANOS DE GOBIERNO'!H8</f>
        <v>2016</v>
      </c>
    </row>
    <row r="8" spans="1:8" ht="24" customHeight="1" hidden="1">
      <c r="A8" s="919" t="str">
        <f>'ORGANOS DE GOBIERNO'!A9:H9</f>
        <v>EMPRESA PÚBLICA:  INSTITUCIÓN FERIAL DE TENERIFE, S.A.</v>
      </c>
      <c r="B8" s="944"/>
      <c r="C8" s="944"/>
      <c r="D8" s="944"/>
      <c r="E8" s="944"/>
      <c r="F8" s="944"/>
      <c r="G8" s="944"/>
      <c r="H8" s="945"/>
    </row>
    <row r="9" spans="1:8" ht="12.75" hidden="1">
      <c r="A9" s="715"/>
      <c r="B9" s="716"/>
      <c r="C9" s="716"/>
      <c r="D9" s="716"/>
      <c r="E9" s="716"/>
      <c r="F9" s="716"/>
      <c r="G9" s="716"/>
      <c r="H9" s="724"/>
    </row>
    <row r="10" spans="1:8" ht="15.75" hidden="1">
      <c r="A10" s="717" t="s">
        <v>556</v>
      </c>
      <c r="B10" s="718"/>
      <c r="C10" s="718"/>
      <c r="D10" s="716"/>
      <c r="E10" s="716"/>
      <c r="F10" s="716"/>
      <c r="G10" s="716"/>
      <c r="H10" s="724"/>
    </row>
    <row r="11" spans="1:11" ht="12.75" hidden="1">
      <c r="A11" s="715"/>
      <c r="B11" s="716"/>
      <c r="C11" s="716"/>
      <c r="D11" s="716"/>
      <c r="E11" s="716"/>
      <c r="F11" s="716"/>
      <c r="G11" s="716"/>
      <c r="H11" s="724"/>
      <c r="J11" s="796"/>
      <c r="K11" s="796"/>
    </row>
    <row r="12" spans="1:11" ht="12.75" hidden="1">
      <c r="A12" s="719" t="s">
        <v>557</v>
      </c>
      <c r="B12" s="718" t="s">
        <v>558</v>
      </c>
      <c r="C12" s="718"/>
      <c r="D12" s="716"/>
      <c r="E12" s="716"/>
      <c r="F12" s="716"/>
      <c r="G12" s="716"/>
      <c r="H12" s="798">
        <f>SUM(H14:H16)</f>
        <v>860000</v>
      </c>
      <c r="J12" s="797"/>
      <c r="K12" s="796"/>
    </row>
    <row r="13" spans="1:11" ht="12.75" hidden="1">
      <c r="A13" s="715"/>
      <c r="B13" s="716"/>
      <c r="C13" s="716"/>
      <c r="D13" s="716"/>
      <c r="E13" s="716"/>
      <c r="F13" s="716"/>
      <c r="G13" s="716"/>
      <c r="H13" s="724"/>
      <c r="J13" s="796"/>
      <c r="K13" s="796"/>
    </row>
    <row r="14" spans="1:11" ht="12.75" hidden="1">
      <c r="A14" s="715"/>
      <c r="B14" s="716" t="s">
        <v>559</v>
      </c>
      <c r="C14" s="716" t="s">
        <v>560</v>
      </c>
      <c r="D14" s="716"/>
      <c r="E14" s="716"/>
      <c r="F14" s="716"/>
      <c r="G14" s="716"/>
      <c r="H14" s="799">
        <v>290000</v>
      </c>
      <c r="J14" s="796"/>
      <c r="K14" s="796"/>
    </row>
    <row r="15" spans="1:11" ht="12.75" hidden="1">
      <c r="A15" s="715"/>
      <c r="B15" s="716" t="s">
        <v>561</v>
      </c>
      <c r="C15" s="716" t="s">
        <v>562</v>
      </c>
      <c r="D15" s="716"/>
      <c r="E15" s="716"/>
      <c r="F15" s="716"/>
      <c r="G15" s="716"/>
      <c r="H15" s="799">
        <v>445000</v>
      </c>
      <c r="J15" s="796"/>
      <c r="K15" s="796"/>
    </row>
    <row r="16" spans="1:11" ht="12.75" hidden="1">
      <c r="A16" s="715"/>
      <c r="B16" s="716" t="s">
        <v>563</v>
      </c>
      <c r="C16" s="716" t="s">
        <v>564</v>
      </c>
      <c r="D16" s="716"/>
      <c r="E16" s="716"/>
      <c r="F16" s="716"/>
      <c r="G16" s="716"/>
      <c r="H16" s="799">
        <v>125000</v>
      </c>
      <c r="J16" s="796"/>
      <c r="K16" s="796"/>
    </row>
    <row r="17" spans="1:11" ht="7.5" customHeight="1" hidden="1">
      <c r="A17" s="715"/>
      <c r="B17" s="716"/>
      <c r="C17" s="716"/>
      <c r="D17" s="716"/>
      <c r="E17" s="716"/>
      <c r="F17" s="716"/>
      <c r="G17" s="716"/>
      <c r="H17" s="724"/>
      <c r="J17" s="796"/>
      <c r="K17" s="796"/>
    </row>
    <row r="18" spans="1:11" ht="12.75" hidden="1">
      <c r="A18" s="719" t="s">
        <v>565</v>
      </c>
      <c r="B18" s="718" t="s">
        <v>566</v>
      </c>
      <c r="C18" s="716"/>
      <c r="D18" s="716"/>
      <c r="E18" s="716"/>
      <c r="F18" s="716"/>
      <c r="G18" s="716"/>
      <c r="H18" s="798">
        <v>1594673.82</v>
      </c>
      <c r="I18" s="723"/>
      <c r="J18" s="796"/>
      <c r="K18" s="796"/>
    </row>
    <row r="19" spans="1:11" ht="12.75" hidden="1">
      <c r="A19" s="719" t="s">
        <v>567</v>
      </c>
      <c r="B19" s="718" t="s">
        <v>568</v>
      </c>
      <c r="C19" s="716"/>
      <c r="D19" s="716"/>
      <c r="E19" s="716"/>
      <c r="F19" s="716"/>
      <c r="G19" s="716"/>
      <c r="H19" s="798">
        <f>SUM(H21:H23)</f>
        <v>284463.12</v>
      </c>
      <c r="J19" s="796"/>
      <c r="K19" s="796"/>
    </row>
    <row r="20" spans="1:11" ht="12.75" hidden="1">
      <c r="A20" s="715"/>
      <c r="B20" s="716"/>
      <c r="C20" s="716"/>
      <c r="D20" s="716"/>
      <c r="E20" s="716"/>
      <c r="F20" s="716"/>
      <c r="G20" s="716"/>
      <c r="H20" s="724"/>
      <c r="J20" s="796"/>
      <c r="K20" s="797"/>
    </row>
    <row r="21" spans="1:11" ht="12.75" hidden="1">
      <c r="A21" s="715"/>
      <c r="B21" s="716" t="s">
        <v>559</v>
      </c>
      <c r="C21" s="716" t="s">
        <v>569</v>
      </c>
      <c r="D21" s="716"/>
      <c r="E21" s="716"/>
      <c r="F21" s="716"/>
      <c r="G21" s="716"/>
      <c r="H21" s="799">
        <f>172768.12+111695</f>
        <v>284463.12</v>
      </c>
      <c r="J21" s="797"/>
      <c r="K21" s="796"/>
    </row>
    <row r="22" spans="1:11" ht="12.75" hidden="1">
      <c r="A22" s="715"/>
      <c r="B22" s="716" t="s">
        <v>561</v>
      </c>
      <c r="C22" s="716" t="s">
        <v>570</v>
      </c>
      <c r="D22" s="716"/>
      <c r="E22" s="716"/>
      <c r="F22" s="716"/>
      <c r="G22" s="716"/>
      <c r="H22" s="725"/>
      <c r="J22" s="797"/>
      <c r="K22" s="796"/>
    </row>
    <row r="23" spans="1:11" ht="12.75" hidden="1">
      <c r="A23" s="715"/>
      <c r="B23" s="716" t="s">
        <v>563</v>
      </c>
      <c r="C23" s="716" t="s">
        <v>571</v>
      </c>
      <c r="D23" s="716"/>
      <c r="E23" s="716"/>
      <c r="F23" s="716"/>
      <c r="G23" s="716"/>
      <c r="H23" s="725"/>
      <c r="J23" s="796"/>
      <c r="K23" s="796"/>
    </row>
    <row r="24" spans="1:11" ht="12.75" hidden="1">
      <c r="A24" s="715"/>
      <c r="B24" s="716"/>
      <c r="C24" s="716"/>
      <c r="D24" s="716"/>
      <c r="E24" s="716"/>
      <c r="F24" s="716"/>
      <c r="G24" s="716"/>
      <c r="H24" s="724"/>
      <c r="J24" s="796"/>
      <c r="K24" s="796"/>
    </row>
    <row r="25" spans="1:11" ht="12.75" hidden="1">
      <c r="A25" s="719" t="s">
        <v>572</v>
      </c>
      <c r="B25" s="718" t="s">
        <v>464</v>
      </c>
      <c r="C25" s="716"/>
      <c r="D25" s="716"/>
      <c r="E25" s="716"/>
      <c r="F25" s="716"/>
      <c r="G25" s="716"/>
      <c r="H25" s="798">
        <v>6000</v>
      </c>
      <c r="J25" s="796"/>
      <c r="K25" s="796"/>
    </row>
    <row r="26" spans="1:11" ht="5.25" customHeight="1" hidden="1">
      <c r="A26" s="715"/>
      <c r="B26" s="716"/>
      <c r="C26" s="716"/>
      <c r="D26" s="716"/>
      <c r="E26" s="716"/>
      <c r="F26" s="716"/>
      <c r="G26" s="716"/>
      <c r="H26" s="724"/>
      <c r="J26" s="796"/>
      <c r="K26" s="796"/>
    </row>
    <row r="27" spans="1:11" ht="21" customHeight="1" hidden="1">
      <c r="A27" s="715"/>
      <c r="B27" s="716"/>
      <c r="C27" s="1276" t="s">
        <v>465</v>
      </c>
      <c r="D27" s="1277"/>
      <c r="E27" s="1277"/>
      <c r="F27" s="1277"/>
      <c r="G27" s="1278"/>
      <c r="H27" s="724"/>
      <c r="J27" s="796"/>
      <c r="K27" s="796"/>
    </row>
    <row r="28" spans="1:8" ht="12.75" hidden="1">
      <c r="A28" s="715"/>
      <c r="B28" s="716"/>
      <c r="C28" s="716"/>
      <c r="D28" s="716"/>
      <c r="E28" s="716"/>
      <c r="F28" s="716"/>
      <c r="G28" s="716"/>
      <c r="H28" s="724"/>
    </row>
    <row r="29" spans="1:8" ht="12.75" hidden="1">
      <c r="A29" s="719" t="s">
        <v>573</v>
      </c>
      <c r="B29" s="716"/>
      <c r="C29" s="716"/>
      <c r="D29" s="716"/>
      <c r="E29" s="716"/>
      <c r="F29" s="716"/>
      <c r="G29" s="716"/>
      <c r="H29" s="798">
        <f>+H25+H19+H18+H12</f>
        <v>2745136.94</v>
      </c>
    </row>
    <row r="30" spans="1:8" ht="13.5" hidden="1" thickBot="1">
      <c r="A30" s="721"/>
      <c r="B30" s="722"/>
      <c r="C30" s="722"/>
      <c r="D30" s="722"/>
      <c r="E30" s="722"/>
      <c r="F30" s="722"/>
      <c r="G30" s="722"/>
      <c r="H30" s="726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G46" sqref="G46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71" customWidth="1"/>
    <col min="6" max="6" width="13.7109375" style="666" customWidth="1"/>
    <col min="7" max="7" width="13.8515625" style="133" customWidth="1"/>
    <col min="8" max="16384" width="11.57421875" style="133" customWidth="1"/>
  </cols>
  <sheetData>
    <row r="2" spans="2:5" ht="12.75" hidden="1">
      <c r="B2" s="953" t="s">
        <v>594</v>
      </c>
      <c r="C2" s="953"/>
      <c r="D2" s="953"/>
      <c r="E2" s="669"/>
    </row>
    <row r="3" spans="2:5" ht="13.5" hidden="1" thickBot="1">
      <c r="B3" s="183"/>
      <c r="C3" s="183"/>
      <c r="D3" s="183"/>
      <c r="E3" s="669"/>
    </row>
    <row r="4" spans="2:5" ht="15.75" hidden="1" thickBot="1">
      <c r="B4" s="954" t="str">
        <f>3!B4:D4</f>
        <v>EMPRESA PÚBLICA:  INSTITUCIÓN FERIAL DE TENERIFE, S.A.</v>
      </c>
      <c r="C4" s="955"/>
      <c r="D4" s="956"/>
      <c r="E4" s="670"/>
    </row>
    <row r="5" spans="2:3" ht="13.5" hidden="1" thickBot="1">
      <c r="B5" s="184"/>
      <c r="C5" s="184"/>
    </row>
    <row r="6" spans="2:5" ht="15.75" hidden="1" thickBot="1">
      <c r="B6" s="957" t="s">
        <v>449</v>
      </c>
      <c r="C6" s="955"/>
      <c r="D6" s="956"/>
      <c r="E6" s="670"/>
    </row>
    <row r="7" spans="2:3" ht="13.5" hidden="1" thickBot="1">
      <c r="B7" s="184"/>
      <c r="C7" s="184"/>
    </row>
    <row r="8" spans="2:5" ht="13.5" customHeight="1" hidden="1">
      <c r="B8" s="958" t="s">
        <v>647</v>
      </c>
      <c r="C8" s="959"/>
      <c r="D8" s="949"/>
      <c r="E8" s="672"/>
    </row>
    <row r="9" spans="2:5" ht="12.75" customHeight="1" hidden="1">
      <c r="B9" s="1284"/>
      <c r="C9" s="1285"/>
      <c r="D9" s="1279"/>
      <c r="E9" s="673"/>
    </row>
    <row r="10" spans="2:5" ht="12.75" hidden="1">
      <c r="B10" s="135"/>
      <c r="C10" s="136"/>
      <c r="D10" s="137"/>
      <c r="E10" s="674"/>
    </row>
    <row r="11" spans="2:8" ht="12.75" hidden="1">
      <c r="B11" s="138" t="s">
        <v>649</v>
      </c>
      <c r="C11" s="139" t="s">
        <v>736</v>
      </c>
      <c r="D11" s="140">
        <v>0</v>
      </c>
      <c r="E11" s="675"/>
      <c r="F11" s="816">
        <f>3!D11</f>
        <v>0</v>
      </c>
      <c r="H11" s="667"/>
    </row>
    <row r="12" spans="2:8" ht="12.75" hidden="1">
      <c r="B12" s="138" t="s">
        <v>650</v>
      </c>
      <c r="C12" s="139" t="s">
        <v>737</v>
      </c>
      <c r="D12" s="140">
        <v>0</v>
      </c>
      <c r="E12" s="675"/>
      <c r="F12" s="816">
        <f>3!D12</f>
        <v>0</v>
      </c>
      <c r="H12" s="667"/>
    </row>
    <row r="13" spans="2:8" ht="12.75" hidden="1">
      <c r="B13" s="138" t="s">
        <v>651</v>
      </c>
      <c r="C13" s="139" t="s">
        <v>738</v>
      </c>
      <c r="D13" s="140">
        <f>3!D13</f>
        <v>2456889.7100000004</v>
      </c>
      <c r="E13" s="675"/>
      <c r="F13" s="816"/>
      <c r="G13" s="134"/>
      <c r="H13" s="667"/>
    </row>
    <row r="14" spans="2:8" ht="12.75" hidden="1">
      <c r="B14" s="138" t="s">
        <v>652</v>
      </c>
      <c r="C14" s="139" t="s">
        <v>739</v>
      </c>
      <c r="D14" s="140">
        <f>3!D14+'Transf. y subv.'!E48</f>
        <v>897787.0100000001</v>
      </c>
      <c r="E14" s="675"/>
      <c r="F14" s="816"/>
      <c r="G14" s="134"/>
      <c r="H14" s="667"/>
    </row>
    <row r="15" spans="2:8" ht="12.75" hidden="1">
      <c r="B15" s="138" t="s">
        <v>653</v>
      </c>
      <c r="C15" s="139" t="s">
        <v>740</v>
      </c>
      <c r="D15" s="140">
        <f>3!D15</f>
        <v>118439.76</v>
      </c>
      <c r="E15" s="675"/>
      <c r="F15" s="816"/>
      <c r="G15" s="134"/>
      <c r="H15" s="667"/>
    </row>
    <row r="16" spans="2:5" ht="12.75" hidden="1">
      <c r="B16" s="141"/>
      <c r="C16" s="142"/>
      <c r="D16" s="143"/>
      <c r="E16" s="676"/>
    </row>
    <row r="17" spans="2:5" ht="12.75" hidden="1">
      <c r="B17" s="144" t="s">
        <v>654</v>
      </c>
      <c r="C17" s="145"/>
      <c r="D17" s="146">
        <f>SUM(D11:D15)</f>
        <v>3473116.4800000004</v>
      </c>
      <c r="E17" s="677"/>
    </row>
    <row r="18" spans="2:5" ht="12.75" hidden="1">
      <c r="B18" s="147"/>
      <c r="C18" s="148"/>
      <c r="D18" s="149"/>
      <c r="E18" s="676"/>
    </row>
    <row r="19" spans="2:5" ht="12.75" hidden="1">
      <c r="B19" s="141"/>
      <c r="C19" s="142"/>
      <c r="D19" s="143"/>
      <c r="E19" s="676"/>
    </row>
    <row r="20" spans="2:5" ht="12.75" hidden="1">
      <c r="B20" s="138" t="s">
        <v>655</v>
      </c>
      <c r="C20" s="139" t="s">
        <v>741</v>
      </c>
      <c r="D20" s="143">
        <f>-'Inv. NO FIN'!H27</f>
        <v>0</v>
      </c>
      <c r="E20" s="676"/>
    </row>
    <row r="21" spans="2:5" ht="12.75" hidden="1">
      <c r="B21" s="138" t="s">
        <v>656</v>
      </c>
      <c r="C21" s="139" t="s">
        <v>742</v>
      </c>
      <c r="D21" s="143"/>
      <c r="E21" s="676"/>
    </row>
    <row r="22" spans="2:5" ht="12.75" hidden="1">
      <c r="B22" s="141"/>
      <c r="C22" s="142"/>
      <c r="D22" s="143"/>
      <c r="E22" s="676"/>
    </row>
    <row r="23" spans="2:5" ht="12.75" hidden="1">
      <c r="B23" s="144" t="s">
        <v>657</v>
      </c>
      <c r="C23" s="145"/>
      <c r="D23" s="146">
        <f>SUM(D20:D21)</f>
        <v>0</v>
      </c>
      <c r="E23" s="677"/>
    </row>
    <row r="24" spans="2:5" ht="12.75" hidden="1">
      <c r="B24" s="147"/>
      <c r="C24" s="148"/>
      <c r="D24" s="149"/>
      <c r="E24" s="676"/>
    </row>
    <row r="25" spans="2:5" ht="12.75" hidden="1">
      <c r="B25" s="141"/>
      <c r="C25" s="142"/>
      <c r="D25" s="143"/>
      <c r="E25" s="676"/>
    </row>
    <row r="26" spans="2:5" ht="12.75" hidden="1">
      <c r="B26" s="138" t="s">
        <v>658</v>
      </c>
      <c r="C26" s="139" t="s">
        <v>743</v>
      </c>
      <c r="D26" s="140">
        <f>-'Inv. FIN'!G19-'Inv. FIN'!G26-'Inv. FIN'!G38-'Inv. FIN'!G45</f>
        <v>0</v>
      </c>
      <c r="E26" s="675"/>
    </row>
    <row r="27" spans="2:5" ht="12.75" hidden="1">
      <c r="B27" s="138" t="s">
        <v>659</v>
      </c>
      <c r="C27" s="139" t="s">
        <v>744</v>
      </c>
      <c r="D27" s="140">
        <f>'Deuda L.P.'!K29</f>
        <v>0</v>
      </c>
      <c r="E27" s="675"/>
    </row>
    <row r="28" spans="2:5" ht="12.75" hidden="1">
      <c r="B28" s="141"/>
      <c r="C28" s="142"/>
      <c r="D28" s="143"/>
      <c r="E28" s="676"/>
    </row>
    <row r="29" spans="2:5" ht="12.75" hidden="1">
      <c r="B29" s="144" t="s">
        <v>660</v>
      </c>
      <c r="C29" s="145"/>
      <c r="D29" s="150">
        <f>SUM(D26:D27)</f>
        <v>0</v>
      </c>
      <c r="E29" s="678"/>
    </row>
    <row r="30" spans="2:5" ht="12.75" hidden="1">
      <c r="B30" s="151"/>
      <c r="C30" s="152"/>
      <c r="D30" s="153"/>
      <c r="E30" s="679"/>
    </row>
    <row r="31" spans="2:5" ht="12.75" hidden="1">
      <c r="B31" s="354"/>
      <c r="C31" s="189"/>
      <c r="D31" s="355"/>
      <c r="E31" s="674"/>
    </row>
    <row r="32" spans="2:5" ht="12.75" hidden="1">
      <c r="B32" s="154"/>
      <c r="C32" s="156" t="s">
        <v>661</v>
      </c>
      <c r="D32" s="157">
        <f>D17+D23+D29</f>
        <v>3473116.4800000004</v>
      </c>
      <c r="E32" s="678"/>
    </row>
    <row r="33" spans="2:5" ht="13.5" hidden="1" thickBot="1">
      <c r="B33" s="164"/>
      <c r="C33" s="198"/>
      <c r="D33" s="166"/>
      <c r="E33" s="674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958" t="s">
        <v>647</v>
      </c>
      <c r="C37" s="1282"/>
      <c r="D37" s="1280"/>
      <c r="E37" s="680"/>
    </row>
    <row r="38" spans="2:5" ht="12.75" customHeight="1" hidden="1" thickBot="1">
      <c r="B38" s="960"/>
      <c r="C38" s="1283"/>
      <c r="D38" s="1281"/>
      <c r="E38" s="681"/>
    </row>
    <row r="39" spans="2:8" ht="12.75" hidden="1">
      <c r="B39" s="151"/>
      <c r="C39" s="159"/>
      <c r="D39" s="153"/>
      <c r="E39" s="679"/>
      <c r="H39" s="158"/>
    </row>
    <row r="40" spans="2:8" ht="12.75" hidden="1">
      <c r="B40" s="138" t="s">
        <v>649</v>
      </c>
      <c r="C40" s="205" t="s">
        <v>663</v>
      </c>
      <c r="D40" s="168">
        <f>3!D45</f>
        <v>1278397.22</v>
      </c>
      <c r="E40" s="665"/>
      <c r="G40" s="134"/>
      <c r="H40" s="667"/>
    </row>
    <row r="41" spans="2:8" ht="12.75" hidden="1">
      <c r="B41" s="138" t="s">
        <v>650</v>
      </c>
      <c r="C41" s="205" t="s">
        <v>664</v>
      </c>
      <c r="D41" s="168">
        <f>3!D46</f>
        <v>1984642.28</v>
      </c>
      <c r="E41" s="665"/>
      <c r="G41" s="134"/>
      <c r="H41" s="667"/>
    </row>
    <row r="42" spans="2:8" ht="12.75" hidden="1">
      <c r="B42" s="138" t="s">
        <v>651</v>
      </c>
      <c r="C42" s="205" t="s">
        <v>97</v>
      </c>
      <c r="D42" s="168">
        <f>3!D47</f>
        <v>600</v>
      </c>
      <c r="E42" s="665"/>
      <c r="G42" s="134"/>
      <c r="H42" s="667"/>
    </row>
    <row r="43" spans="2:8" ht="12.75" hidden="1">
      <c r="B43" s="138" t="s">
        <v>652</v>
      </c>
      <c r="C43" s="205" t="s">
        <v>665</v>
      </c>
      <c r="D43" s="504">
        <f>3!D48</f>
        <v>0</v>
      </c>
      <c r="E43" s="665"/>
      <c r="G43" s="134"/>
      <c r="H43" s="667"/>
    </row>
    <row r="44" spans="2:8" ht="12.75" hidden="1">
      <c r="B44" s="151"/>
      <c r="C44" s="159"/>
      <c r="D44" s="168"/>
      <c r="E44" s="665"/>
      <c r="G44" s="134"/>
      <c r="H44" s="667"/>
    </row>
    <row r="45" spans="2:5" ht="12.75" hidden="1">
      <c r="B45" s="144" t="s">
        <v>666</v>
      </c>
      <c r="C45" s="206"/>
      <c r="D45" s="150">
        <f>SUM(D40:D43)</f>
        <v>3263639.5</v>
      </c>
      <c r="E45" s="678"/>
    </row>
    <row r="46" spans="2:5" ht="12.75" hidden="1">
      <c r="B46" s="147"/>
      <c r="C46" s="207"/>
      <c r="D46" s="170"/>
      <c r="E46" s="679"/>
    </row>
    <row r="47" spans="2:5" ht="12.75" hidden="1">
      <c r="B47" s="151"/>
      <c r="C47" s="159"/>
      <c r="D47" s="153"/>
      <c r="E47" s="679"/>
    </row>
    <row r="48" spans="2:5" ht="12.75" hidden="1">
      <c r="B48" s="138" t="s">
        <v>655</v>
      </c>
      <c r="C48" s="205" t="s">
        <v>668</v>
      </c>
      <c r="D48" s="168">
        <f>'Inv. NO FIN'!C27+'Inv. NO FIN'!E27</f>
        <v>17641.58</v>
      </c>
      <c r="E48" s="665"/>
    </row>
    <row r="49" spans="2:5" ht="12.75" hidden="1">
      <c r="B49" s="138" t="s">
        <v>656</v>
      </c>
      <c r="C49" s="205" t="s">
        <v>669</v>
      </c>
      <c r="D49" s="168">
        <v>0</v>
      </c>
      <c r="E49" s="665"/>
    </row>
    <row r="50" spans="2:5" ht="12.75" hidden="1">
      <c r="B50" s="151"/>
      <c r="C50" s="159"/>
      <c r="D50" s="153"/>
      <c r="E50" s="679"/>
    </row>
    <row r="51" spans="2:5" ht="12.75" hidden="1">
      <c r="B51" s="144" t="s">
        <v>670</v>
      </c>
      <c r="C51" s="206"/>
      <c r="D51" s="150">
        <f>SUM(D48:D49)</f>
        <v>17641.58</v>
      </c>
      <c r="E51" s="678"/>
    </row>
    <row r="52" spans="2:5" ht="12.75" hidden="1">
      <c r="B52" s="147"/>
      <c r="C52" s="207"/>
      <c r="D52" s="170"/>
      <c r="E52" s="679"/>
    </row>
    <row r="53" spans="2:5" ht="12.75" hidden="1">
      <c r="B53" s="151"/>
      <c r="C53" s="159"/>
      <c r="D53" s="153"/>
      <c r="E53" s="679"/>
    </row>
    <row r="54" spans="2:5" ht="12.75" hidden="1">
      <c r="B54" s="138" t="s">
        <v>658</v>
      </c>
      <c r="C54" s="205" t="s">
        <v>672</v>
      </c>
      <c r="D54" s="168">
        <f>'Inv. FIN'!E19+'Inv. FIN'!E26+'Inv. FIN'!E38+'Inv. FIN'!E45</f>
        <v>0</v>
      </c>
      <c r="E54" s="665"/>
    </row>
    <row r="55" spans="2:5" ht="12.75" hidden="1">
      <c r="B55" s="138" t="s">
        <v>659</v>
      </c>
      <c r="C55" s="205" t="s">
        <v>673</v>
      </c>
      <c r="D55" s="168">
        <f>'Deuda L.P.'!L29</f>
        <v>0</v>
      </c>
      <c r="E55" s="665"/>
    </row>
    <row r="56" spans="2:5" ht="12.75" hidden="1">
      <c r="B56" s="151"/>
      <c r="C56" s="159"/>
      <c r="D56" s="153"/>
      <c r="E56" s="679"/>
    </row>
    <row r="57" spans="2:5" ht="12.75" hidden="1">
      <c r="B57" s="144" t="s">
        <v>674</v>
      </c>
      <c r="C57" s="206"/>
      <c r="D57" s="150">
        <f>SUM(D54:D55)</f>
        <v>0</v>
      </c>
      <c r="E57" s="678"/>
    </row>
    <row r="58" spans="2:5" ht="13.5" hidden="1" thickBot="1">
      <c r="B58" s="171"/>
      <c r="C58" s="208"/>
      <c r="D58" s="173"/>
      <c r="E58" s="678"/>
    </row>
    <row r="59" spans="2:5" ht="13.5" hidden="1" thickTop="1">
      <c r="B59" s="161"/>
      <c r="C59" s="199"/>
      <c r="D59" s="163"/>
      <c r="E59" s="674"/>
    </row>
    <row r="60" spans="2:5" ht="12.75" hidden="1">
      <c r="B60" s="154"/>
      <c r="C60" s="200" t="s">
        <v>157</v>
      </c>
      <c r="D60" s="157">
        <f>D45+D51+D57</f>
        <v>3281281.08</v>
      </c>
      <c r="E60" s="678"/>
    </row>
    <row r="61" spans="2:5" ht="13.5" hidden="1" thickBot="1">
      <c r="B61" s="164"/>
      <c r="C61" s="165"/>
      <c r="D61" s="166"/>
      <c r="E61" s="674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G46" sqref="G46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6" width="11.7109375" style="133" bestFit="1" customWidth="1"/>
    <col min="7" max="16384" width="11.57421875" style="133" customWidth="1"/>
  </cols>
  <sheetData>
    <row r="1" ht="19.5" customHeight="1" hidden="1"/>
    <row r="2" spans="2:6" ht="12.75" hidden="1">
      <c r="B2" s="953" t="s">
        <v>594</v>
      </c>
      <c r="C2" s="953"/>
      <c r="D2" s="953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954" t="str">
        <f>CPYG!A8</f>
        <v>EMPRESA PÚBLICA:  INSTITUCIÓN FERIAL DE TENERIFE, S.A.</v>
      </c>
      <c r="C4" s="955"/>
      <c r="D4" s="956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957" t="s">
        <v>449</v>
      </c>
      <c r="C6" s="955"/>
      <c r="D6" s="956"/>
    </row>
    <row r="7" ht="15" customHeight="1" hidden="1" thickBot="1"/>
    <row r="8" spans="2:4" ht="12.75" hidden="1">
      <c r="B8" s="958" t="s">
        <v>647</v>
      </c>
      <c r="C8" s="959"/>
      <c r="D8" s="1286"/>
    </row>
    <row r="9" spans="2:4" ht="13.5" customHeight="1" hidden="1" thickBot="1">
      <c r="B9" s="960"/>
      <c r="C9" s="961"/>
      <c r="D9" s="1287"/>
    </row>
    <row r="10" spans="2:4" ht="12.75" customHeight="1" hidden="1">
      <c r="B10" s="151"/>
      <c r="C10" s="152"/>
      <c r="D10" s="160"/>
    </row>
    <row r="11" spans="2:7" ht="12.75" hidden="1">
      <c r="B11" s="138" t="s">
        <v>649</v>
      </c>
      <c r="C11" s="139" t="s">
        <v>736</v>
      </c>
      <c r="D11" s="505">
        <v>0</v>
      </c>
      <c r="F11" s="169"/>
      <c r="G11" s="169"/>
    </row>
    <row r="12" spans="2:7" ht="12.75" hidden="1">
      <c r="B12" s="138" t="s">
        <v>650</v>
      </c>
      <c r="C12" s="139" t="s">
        <v>737</v>
      </c>
      <c r="D12" s="505">
        <v>0</v>
      </c>
      <c r="F12" s="169"/>
      <c r="G12" s="169"/>
    </row>
    <row r="13" spans="2:7" ht="12.75" hidden="1">
      <c r="B13" s="138" t="s">
        <v>651</v>
      </c>
      <c r="C13" s="139" t="s">
        <v>738</v>
      </c>
      <c r="D13" s="505">
        <f>CPYG!D12+CPYG!D38+CPYG!D36</f>
        <v>2456889.7100000004</v>
      </c>
      <c r="F13" s="169"/>
      <c r="G13" s="169"/>
    </row>
    <row r="14" spans="2:7" ht="12.75" hidden="1">
      <c r="B14" s="138" t="s">
        <v>652</v>
      </c>
      <c r="C14" s="139" t="s">
        <v>739</v>
      </c>
      <c r="D14" s="505">
        <f>CPYG!D39</f>
        <v>233768.12</v>
      </c>
      <c r="F14" s="169"/>
      <c r="G14" s="169"/>
    </row>
    <row r="15" spans="2:7" ht="12.75" hidden="1">
      <c r="B15" s="138" t="s">
        <v>653</v>
      </c>
      <c r="C15" s="139" t="s">
        <v>740</v>
      </c>
      <c r="D15" s="505">
        <f>CPYG!D37+CPYG!D84+CPYG!D87+CPYG!D103</f>
        <v>118439.76</v>
      </c>
      <c r="F15" s="169"/>
      <c r="G15" s="169"/>
    </row>
    <row r="16" spans="2:7" ht="12.75" hidden="1">
      <c r="B16" s="141"/>
      <c r="C16" s="142"/>
      <c r="D16" s="506"/>
      <c r="F16" s="169"/>
      <c r="G16" s="169"/>
    </row>
    <row r="17" spans="2:6" ht="12.75" hidden="1">
      <c r="B17" s="144" t="s">
        <v>654</v>
      </c>
      <c r="C17" s="145"/>
      <c r="D17" s="507">
        <f>SUM(D11:D15)</f>
        <v>2809097.5900000003</v>
      </c>
      <c r="F17" s="169"/>
    </row>
    <row r="18" spans="2:4" ht="12.75" hidden="1">
      <c r="B18" s="147"/>
      <c r="C18" s="148"/>
      <c r="D18" s="508"/>
    </row>
    <row r="19" spans="2:4" ht="12.75" hidden="1">
      <c r="B19" s="141"/>
      <c r="C19" s="142"/>
      <c r="D19" s="506"/>
    </row>
    <row r="20" spans="2:4" ht="12.75" hidden="1">
      <c r="B20" s="138" t="s">
        <v>655</v>
      </c>
      <c r="C20" s="139" t="s">
        <v>741</v>
      </c>
      <c r="D20" s="506"/>
    </row>
    <row r="21" spans="2:4" ht="12.75" hidden="1">
      <c r="B21" s="138" t="s">
        <v>656</v>
      </c>
      <c r="C21" s="139" t="s">
        <v>742</v>
      </c>
      <c r="D21" s="506"/>
    </row>
    <row r="22" spans="2:4" ht="12.75" hidden="1">
      <c r="B22" s="141"/>
      <c r="C22" s="142"/>
      <c r="D22" s="506"/>
    </row>
    <row r="23" spans="2:4" ht="12.75" hidden="1">
      <c r="B23" s="144" t="s">
        <v>657</v>
      </c>
      <c r="C23" s="145"/>
      <c r="D23" s="507">
        <f>+D20+D21</f>
        <v>0</v>
      </c>
    </row>
    <row r="24" spans="2:4" ht="12.75" hidden="1">
      <c r="B24" s="147"/>
      <c r="C24" s="148"/>
      <c r="D24" s="508"/>
    </row>
    <row r="25" spans="2:4" ht="12.75" hidden="1">
      <c r="B25" s="141"/>
      <c r="C25" s="142"/>
      <c r="D25" s="506"/>
    </row>
    <row r="26" spans="2:4" ht="12.75" hidden="1">
      <c r="B26" s="138" t="s">
        <v>658</v>
      </c>
      <c r="C26" s="139" t="s">
        <v>743</v>
      </c>
      <c r="D26" s="505"/>
    </row>
    <row r="27" spans="2:4" ht="12.75" hidden="1">
      <c r="B27" s="138" t="s">
        <v>659</v>
      </c>
      <c r="C27" s="139" t="s">
        <v>744</v>
      </c>
      <c r="D27" s="505"/>
    </row>
    <row r="28" spans="2:4" ht="12.75" hidden="1">
      <c r="B28" s="141"/>
      <c r="C28" s="142"/>
      <c r="D28" s="506"/>
    </row>
    <row r="29" spans="2:4" ht="13.5" hidden="1" thickBot="1">
      <c r="B29" s="204" t="s">
        <v>660</v>
      </c>
      <c r="C29" s="510"/>
      <c r="D29" s="509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511"/>
    </row>
    <row r="32" spans="2:4" ht="12.75" hidden="1">
      <c r="B32" s="154"/>
      <c r="C32" s="156" t="s">
        <v>661</v>
      </c>
      <c r="D32" s="512">
        <f>+D29+D23+D17</f>
        <v>2809097.5900000003</v>
      </c>
    </row>
    <row r="33" spans="2:4" ht="13.5" hidden="1" thickBot="1">
      <c r="B33" s="164"/>
      <c r="C33" s="198"/>
      <c r="D33" s="513"/>
    </row>
    <row r="34" spans="2:4" ht="12.75" hidden="1">
      <c r="B34" s="201"/>
      <c r="C34" s="516"/>
      <c r="D34" s="514"/>
    </row>
    <row r="35" spans="2:4" ht="12.75" hidden="1">
      <c r="B35" s="195"/>
      <c r="C35" s="196" t="s">
        <v>662</v>
      </c>
      <c r="D35" s="160">
        <f>CPYG!D26+CPYG!D28+CPYG!D70+CPYG!D64+CPYG!D63+CPYG!D95+CPYG!D74+CPYG!D90+CPYG!D81</f>
        <v>32325.579999999998</v>
      </c>
    </row>
    <row r="36" spans="2:4" ht="13.5" hidden="1" thickBot="1">
      <c r="B36" s="203"/>
      <c r="C36" s="517"/>
      <c r="D36" s="515"/>
    </row>
    <row r="37" spans="2:4" ht="12.75" hidden="1">
      <c r="B37" s="161"/>
      <c r="C37" s="162"/>
      <c r="D37" s="511"/>
    </row>
    <row r="38" spans="2:4" ht="12.75" hidden="1">
      <c r="B38" s="1284" t="s">
        <v>450</v>
      </c>
      <c r="C38" s="1285"/>
      <c r="D38" s="512">
        <f>D32+D35</f>
        <v>2841423.1700000004</v>
      </c>
    </row>
    <row r="39" spans="2:4" ht="13.5" hidden="1" thickBot="1">
      <c r="B39" s="164"/>
      <c r="C39" s="198"/>
      <c r="D39" s="513"/>
    </row>
    <row r="40" ht="12.75" hidden="1"/>
    <row r="41" ht="13.5" hidden="1" thickBot="1"/>
    <row r="42" spans="2:4" ht="12.75" hidden="1">
      <c r="B42" s="958" t="s">
        <v>647</v>
      </c>
      <c r="C42" s="959"/>
      <c r="D42" s="1288"/>
    </row>
    <row r="43" spans="2:4" ht="13.5" customHeight="1" hidden="1" thickBot="1">
      <c r="B43" s="960"/>
      <c r="C43" s="961"/>
      <c r="D43" s="1289"/>
    </row>
    <row r="44" spans="2:4" ht="12.75" customHeight="1" hidden="1">
      <c r="B44" s="151"/>
      <c r="C44" s="152"/>
      <c r="D44" s="518"/>
    </row>
    <row r="45" spans="2:4" ht="12.75" hidden="1">
      <c r="B45" s="138" t="s">
        <v>649</v>
      </c>
      <c r="C45" s="167" t="s">
        <v>663</v>
      </c>
      <c r="D45" s="519">
        <f>-CPYG!D46+CPYG!D52</f>
        <v>1278397.22</v>
      </c>
    </row>
    <row r="46" spans="2:7" ht="12.75" hidden="1">
      <c r="B46" s="138" t="s">
        <v>650</v>
      </c>
      <c r="C46" s="167" t="s">
        <v>664</v>
      </c>
      <c r="D46" s="520">
        <f>-CPYG!D29+CPYG!D33-CPYG!D55-CPYG!D56-CPYG!D107-CPYG!D58</f>
        <v>1984642.28</v>
      </c>
      <c r="F46" s="134"/>
      <c r="G46" s="169"/>
    </row>
    <row r="47" spans="2:6" ht="12.75" hidden="1">
      <c r="B47" s="138" t="s">
        <v>651</v>
      </c>
      <c r="C47" s="167" t="s">
        <v>97</v>
      </c>
      <c r="D47" s="520">
        <f>-CPYG!D92-CPYG!D93-CPYG!D104</f>
        <v>600</v>
      </c>
      <c r="F47" s="134"/>
    </row>
    <row r="48" spans="2:6" ht="12.75" hidden="1">
      <c r="B48" s="138" t="s">
        <v>652</v>
      </c>
      <c r="C48" s="167" t="s">
        <v>665</v>
      </c>
      <c r="D48" s="520">
        <f>CPYG!D75</f>
        <v>0</v>
      </c>
      <c r="F48" s="134"/>
    </row>
    <row r="49" spans="2:6" ht="12.75" hidden="1">
      <c r="B49" s="151"/>
      <c r="C49" s="152"/>
      <c r="D49" s="520"/>
      <c r="F49" s="134"/>
    </row>
    <row r="50" spans="2:4" ht="12.75" hidden="1">
      <c r="B50" s="144" t="s">
        <v>666</v>
      </c>
      <c r="C50" s="145"/>
      <c r="D50" s="521">
        <f>SUM(D45:D48)</f>
        <v>3263639.5</v>
      </c>
    </row>
    <row r="51" spans="2:4" ht="12.75" hidden="1">
      <c r="B51" s="147"/>
      <c r="C51" s="148"/>
      <c r="D51" s="522"/>
    </row>
    <row r="52" spans="2:4" ht="12.75" hidden="1">
      <c r="B52" s="151"/>
      <c r="C52" s="152"/>
      <c r="D52" s="518"/>
    </row>
    <row r="53" spans="2:4" ht="12.75" hidden="1">
      <c r="B53" s="138" t="s">
        <v>655</v>
      </c>
      <c r="C53" s="167" t="s">
        <v>668</v>
      </c>
      <c r="D53" s="520"/>
    </row>
    <row r="54" spans="2:4" ht="12.75" hidden="1">
      <c r="B54" s="138" t="s">
        <v>656</v>
      </c>
      <c r="C54" s="167" t="s">
        <v>669</v>
      </c>
      <c r="D54" s="520"/>
    </row>
    <row r="55" spans="2:4" ht="12.75" hidden="1">
      <c r="B55" s="151"/>
      <c r="C55" s="152"/>
      <c r="D55" s="518"/>
    </row>
    <row r="56" spans="2:4" ht="12.75" hidden="1">
      <c r="B56" s="144" t="s">
        <v>670</v>
      </c>
      <c r="C56" s="145"/>
      <c r="D56" s="521">
        <f>+D54+D53</f>
        <v>0</v>
      </c>
    </row>
    <row r="57" spans="2:4" ht="12.75" hidden="1">
      <c r="B57" s="147"/>
      <c r="C57" s="148"/>
      <c r="D57" s="522"/>
    </row>
    <row r="58" spans="2:4" ht="12.75" hidden="1">
      <c r="B58" s="151"/>
      <c r="C58" s="152"/>
      <c r="D58" s="518"/>
    </row>
    <row r="59" spans="2:4" ht="12.75" hidden="1">
      <c r="B59" s="138" t="s">
        <v>658</v>
      </c>
      <c r="C59" s="167" t="s">
        <v>672</v>
      </c>
      <c r="D59" s="520"/>
    </row>
    <row r="60" spans="2:4" ht="12.75" hidden="1">
      <c r="B60" s="138" t="s">
        <v>659</v>
      </c>
      <c r="C60" s="167" t="s">
        <v>673</v>
      </c>
      <c r="D60" s="520"/>
    </row>
    <row r="61" spans="2:4" ht="12.75" hidden="1">
      <c r="B61" s="151"/>
      <c r="C61" s="152"/>
      <c r="D61" s="518"/>
    </row>
    <row r="62" spans="2:4" ht="13.5" hidden="1" thickBot="1">
      <c r="B62" s="204" t="s">
        <v>674</v>
      </c>
      <c r="C62" s="510"/>
      <c r="D62" s="509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511"/>
    </row>
    <row r="65" spans="2:4" ht="12.75" hidden="1">
      <c r="B65" s="154"/>
      <c r="C65" s="156" t="s">
        <v>677</v>
      </c>
      <c r="D65" s="512">
        <f>+D62+D56+D50</f>
        <v>3263639.5</v>
      </c>
    </row>
    <row r="66" spans="2:4" ht="13.5" hidden="1" thickBot="1">
      <c r="B66" s="164"/>
      <c r="C66" s="198"/>
      <c r="D66" s="513"/>
    </row>
    <row r="67" spans="2:4" ht="12.75" hidden="1">
      <c r="B67" s="202"/>
      <c r="C67" s="527"/>
      <c r="D67" s="523"/>
    </row>
    <row r="68" spans="2:6" ht="12.75" hidden="1">
      <c r="B68" s="195"/>
      <c r="C68" s="196" t="s">
        <v>676</v>
      </c>
      <c r="D68" s="524">
        <f>-CPYG!D27-CPYG!D33-CPYG!D66-CPYG!D52-CPYG!D59-CPYG!D57-CPYG!D94-CPYG!D98-CPYG!D99</f>
        <v>76700</v>
      </c>
      <c r="F68" s="134"/>
    </row>
    <row r="69" spans="2:4" ht="14.25" customHeight="1" hidden="1" thickBot="1">
      <c r="B69" s="203"/>
      <c r="C69" s="517"/>
      <c r="D69" s="525"/>
    </row>
    <row r="70" spans="2:4" ht="14.25" customHeight="1" hidden="1">
      <c r="B70" s="154"/>
      <c r="C70" s="528"/>
      <c r="D70" s="526"/>
    </row>
    <row r="71" spans="2:4" ht="12.75" hidden="1">
      <c r="B71" s="1284" t="s">
        <v>451</v>
      </c>
      <c r="C71" s="1285"/>
      <c r="D71" s="512">
        <f>D65+D68</f>
        <v>3340339.5</v>
      </c>
    </row>
    <row r="72" spans="2:4" ht="13.5" hidden="1" thickBot="1">
      <c r="B72" s="164"/>
      <c r="C72" s="198"/>
      <c r="D72" s="513"/>
    </row>
    <row r="73" spans="2:3" ht="12.75" hidden="1">
      <c r="B73" s="158"/>
      <c r="C73" s="158"/>
    </row>
    <row r="74" spans="3:4" ht="12.75" hidden="1">
      <c r="C74" s="185" t="s">
        <v>44</v>
      </c>
      <c r="D74" s="186">
        <f>D38-D71</f>
        <v>-498916.3299999996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735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686</v>
      </c>
      <c r="D81" s="133"/>
    </row>
    <row r="82" spans="3:4" ht="12.75" hidden="1">
      <c r="C82" s="181" t="s">
        <v>45</v>
      </c>
      <c r="D82" s="133"/>
    </row>
    <row r="83" spans="3:4" ht="18" customHeight="1" hidden="1">
      <c r="C83" s="181" t="s">
        <v>46</v>
      </c>
      <c r="D83" s="133"/>
    </row>
    <row r="84" spans="3:4" ht="18" customHeight="1" hidden="1">
      <c r="C84" s="181" t="s">
        <v>39</v>
      </c>
      <c r="D84" s="133"/>
    </row>
    <row r="85" spans="3:4" ht="18" customHeight="1" hidden="1">
      <c r="C85" s="181" t="s">
        <v>47</v>
      </c>
      <c r="D85" s="133"/>
    </row>
    <row r="86" spans="3:4" ht="18" customHeight="1" hidden="1">
      <c r="C86" s="181" t="s">
        <v>40</v>
      </c>
      <c r="D86" s="133"/>
    </row>
    <row r="87" spans="3:4" ht="18" customHeight="1" hidden="1">
      <c r="C87" s="132" t="s">
        <v>41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63" t="s">
        <v>638</v>
      </c>
      <c r="D91" s="187">
        <f>SUM(D92:D93)</f>
        <v>81.85</v>
      </c>
    </row>
    <row r="92" spans="3:4" ht="12.75" hidden="1">
      <c r="C92" s="664" t="s">
        <v>628</v>
      </c>
      <c r="D92" s="187">
        <f>CPYG!D80</f>
        <v>0</v>
      </c>
    </row>
    <row r="93" spans="3:4" ht="12.75" customHeight="1" hidden="1">
      <c r="C93" s="664" t="s">
        <v>629</v>
      </c>
      <c r="D93" s="188">
        <f>CPYG!$D$81</f>
        <v>81.85</v>
      </c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51.8515625" style="727" customWidth="1"/>
    <col min="2" max="2" width="18.28125" style="727" customWidth="1"/>
    <col min="3" max="3" width="19.57421875" style="727" customWidth="1"/>
    <col min="4" max="4" width="19.421875" style="727" customWidth="1"/>
    <col min="5" max="5" width="18.421875" style="727" customWidth="1"/>
    <col min="6" max="16384" width="11.57421875" style="727" customWidth="1"/>
  </cols>
  <sheetData>
    <row r="1" spans="1:5" ht="12.75">
      <c r="A1" s="759"/>
      <c r="B1" s="762" t="s">
        <v>481</v>
      </c>
      <c r="C1" s="759"/>
      <c r="D1" s="759"/>
      <c r="E1" s="759"/>
    </row>
    <row r="2" spans="1:5" ht="12.75">
      <c r="A2" s="759"/>
      <c r="B2" s="763" t="s">
        <v>482</v>
      </c>
      <c r="C2" s="759"/>
      <c r="D2" s="759"/>
      <c r="E2" s="759"/>
    </row>
    <row r="3" spans="1:5" ht="12.75">
      <c r="A3" s="759"/>
      <c r="B3" s="759"/>
      <c r="C3" s="759"/>
      <c r="D3" s="759"/>
      <c r="E3" s="759"/>
    </row>
    <row r="4" spans="1:4" ht="12.75">
      <c r="A4" s="759" t="s">
        <v>319</v>
      </c>
      <c r="B4" s="759"/>
      <c r="C4" s="764">
        <v>42339</v>
      </c>
      <c r="D4" s="759"/>
    </row>
    <row r="5" spans="1:4" ht="12.75">
      <c r="A5" s="759" t="s">
        <v>480</v>
      </c>
      <c r="B5" s="759"/>
      <c r="C5" s="765" t="s">
        <v>483</v>
      </c>
      <c r="D5" s="759"/>
    </row>
    <row r="6" ht="13.5" thickBot="1"/>
    <row r="7" spans="1:5" ht="24.75" customHeight="1">
      <c r="A7" s="946" t="str">
        <f>'ORGANOS DE GOBIERNO'!A9:H9</f>
        <v>EMPRESA PÚBLICA:  INSTITUCIÓN FERIAL DE TENERIFE, S.A.</v>
      </c>
      <c r="B7" s="947"/>
      <c r="C7" s="947"/>
      <c r="D7" s="947"/>
      <c r="E7" s="948"/>
    </row>
    <row r="8" spans="1:5" ht="24.75" customHeight="1">
      <c r="A8" s="728"/>
      <c r="B8" s="729"/>
      <c r="C8" s="729"/>
      <c r="D8" s="729"/>
      <c r="E8" s="730"/>
    </row>
    <row r="9" spans="1:5" ht="15" customHeight="1">
      <c r="A9" s="731" t="s">
        <v>574</v>
      </c>
      <c r="B9" s="729"/>
      <c r="C9" s="729"/>
      <c r="D9" s="729"/>
      <c r="E9" s="730"/>
    </row>
    <row r="10" spans="1:5" ht="15" customHeight="1">
      <c r="A10" s="732"/>
      <c r="B10" s="733"/>
      <c r="C10" s="729"/>
      <c r="D10" s="729"/>
      <c r="E10" s="730"/>
    </row>
    <row r="11" spans="1:5" ht="28.5" customHeight="1">
      <c r="A11" s="734" t="s">
        <v>575</v>
      </c>
      <c r="B11" s="735" t="s">
        <v>576</v>
      </c>
      <c r="C11" s="736" t="s">
        <v>577</v>
      </c>
      <c r="D11" s="736" t="s">
        <v>578</v>
      </c>
      <c r="E11" s="737" t="s">
        <v>579</v>
      </c>
    </row>
    <row r="12" spans="1:5" ht="15" customHeight="1">
      <c r="A12" s="732" t="s">
        <v>3</v>
      </c>
      <c r="B12" s="779">
        <v>1</v>
      </c>
      <c r="C12" s="780">
        <v>7500</v>
      </c>
      <c r="D12" s="781">
        <f>88*C12</f>
        <v>660000</v>
      </c>
      <c r="E12" s="782">
        <f>+PASIVO!D12/ACCIONISTAS!C12</f>
        <v>191.79114666666692</v>
      </c>
    </row>
    <row r="13" spans="1:5" ht="15" customHeight="1">
      <c r="A13" s="732"/>
      <c r="B13" s="738"/>
      <c r="C13" s="739"/>
      <c r="D13" s="783"/>
      <c r="E13" s="784"/>
    </row>
    <row r="14" spans="1:5" ht="15" customHeight="1">
      <c r="A14" s="732"/>
      <c r="B14" s="738"/>
      <c r="C14" s="739"/>
      <c r="D14" s="783"/>
      <c r="E14" s="784"/>
    </row>
    <row r="15" spans="1:5" ht="15" customHeight="1">
      <c r="A15" s="732"/>
      <c r="B15" s="729"/>
      <c r="C15" s="739"/>
      <c r="D15" s="783"/>
      <c r="E15" s="784"/>
    </row>
    <row r="16" spans="1:5" ht="15" customHeight="1">
      <c r="A16" s="732"/>
      <c r="B16" s="733"/>
      <c r="C16" s="739"/>
      <c r="D16" s="783"/>
      <c r="E16" s="784"/>
    </row>
    <row r="17" spans="1:5" ht="15" customHeight="1">
      <c r="A17" s="740"/>
      <c r="B17" s="729"/>
      <c r="C17" s="739"/>
      <c r="D17" s="783"/>
      <c r="E17" s="784"/>
    </row>
    <row r="18" spans="1:5" ht="15" customHeight="1">
      <c r="A18" s="731" t="s">
        <v>581</v>
      </c>
      <c r="B18" s="729"/>
      <c r="C18" s="729"/>
      <c r="D18" s="783"/>
      <c r="E18" s="784"/>
    </row>
    <row r="19" spans="1:5" ht="15" customHeight="1">
      <c r="A19" s="740"/>
      <c r="B19" s="729"/>
      <c r="C19" s="729"/>
      <c r="D19" s="783"/>
      <c r="E19" s="784"/>
    </row>
    <row r="20" spans="1:5" ht="28.5" customHeight="1">
      <c r="A20" s="734" t="s">
        <v>582</v>
      </c>
      <c r="B20" s="735" t="s">
        <v>576</v>
      </c>
      <c r="C20" s="735" t="s">
        <v>577</v>
      </c>
      <c r="D20" s="735" t="s">
        <v>578</v>
      </c>
      <c r="E20" s="737" t="s">
        <v>583</v>
      </c>
    </row>
    <row r="21" spans="1:5" ht="15" customHeight="1">
      <c r="A21" s="732"/>
      <c r="B21" s="738"/>
      <c r="C21" s="729"/>
      <c r="D21" s="729"/>
      <c r="E21" s="730"/>
    </row>
    <row r="22" spans="1:5" ht="15" customHeight="1">
      <c r="A22" s="732"/>
      <c r="B22" s="738"/>
      <c r="C22" s="729"/>
      <c r="D22" s="729"/>
      <c r="E22" s="730"/>
    </row>
    <row r="23" spans="1:5" ht="15" customHeight="1">
      <c r="A23" s="732"/>
      <c r="B23" s="738"/>
      <c r="C23" s="729"/>
      <c r="D23" s="729"/>
      <c r="E23" s="730"/>
    </row>
    <row r="24" spans="1:5" ht="15" customHeight="1">
      <c r="A24" s="732"/>
      <c r="B24" s="738"/>
      <c r="C24" s="729"/>
      <c r="D24" s="729"/>
      <c r="E24" s="730"/>
    </row>
    <row r="25" spans="1:5" ht="15" customHeight="1">
      <c r="A25" s="732"/>
      <c r="B25" s="733"/>
      <c r="C25" s="729"/>
      <c r="D25" s="729"/>
      <c r="E25" s="730"/>
    </row>
    <row r="26" spans="1:5" ht="15" customHeight="1">
      <c r="A26" s="732"/>
      <c r="B26" s="733"/>
      <c r="C26" s="729"/>
      <c r="D26" s="729"/>
      <c r="E26" s="730"/>
    </row>
    <row r="27" spans="1:5" ht="15" customHeight="1">
      <c r="A27" s="740"/>
      <c r="B27" s="729"/>
      <c r="C27" s="729"/>
      <c r="D27" s="729"/>
      <c r="E27" s="730"/>
    </row>
    <row r="28" spans="1:5" ht="15" customHeight="1">
      <c r="A28" s="732"/>
      <c r="B28" s="733"/>
      <c r="C28" s="729"/>
      <c r="D28" s="729"/>
      <c r="E28" s="730"/>
    </row>
    <row r="29" spans="1:5" ht="15" customHeight="1">
      <c r="A29" s="732"/>
      <c r="B29" s="733"/>
      <c r="C29" s="729"/>
      <c r="D29" s="729"/>
      <c r="E29" s="730"/>
    </row>
    <row r="30" spans="1:5" ht="15" customHeight="1">
      <c r="A30" s="731" t="s">
        <v>584</v>
      </c>
      <c r="B30" s="729"/>
      <c r="C30" s="729"/>
      <c r="D30" s="729"/>
      <c r="E30" s="730"/>
    </row>
    <row r="31" spans="1:5" ht="15" customHeight="1">
      <c r="A31" s="731"/>
      <c r="B31" s="729"/>
      <c r="C31" s="729"/>
      <c r="D31" s="729"/>
      <c r="E31" s="730"/>
    </row>
    <row r="32" spans="1:5" ht="29.25" customHeight="1">
      <c r="A32" s="741" t="s">
        <v>585</v>
      </c>
      <c r="B32" s="742" t="s">
        <v>586</v>
      </c>
      <c r="C32" s="743" t="s">
        <v>587</v>
      </c>
      <c r="D32" s="729"/>
      <c r="E32" s="730"/>
    </row>
    <row r="33" spans="1:5" ht="16.5" customHeight="1">
      <c r="A33" s="744"/>
      <c r="B33" s="745" t="s">
        <v>588</v>
      </c>
      <c r="C33" s="746"/>
      <c r="D33" s="729"/>
      <c r="E33" s="730"/>
    </row>
    <row r="34" spans="1:5" ht="15" customHeight="1">
      <c r="A34" s="744"/>
      <c r="B34" s="745" t="s">
        <v>589</v>
      </c>
      <c r="C34" s="746"/>
      <c r="D34" s="729"/>
      <c r="E34" s="730"/>
    </row>
    <row r="35" spans="1:5" ht="15" customHeight="1">
      <c r="A35" s="744"/>
      <c r="B35" s="745" t="s">
        <v>590</v>
      </c>
      <c r="C35" s="746"/>
      <c r="D35" s="729"/>
      <c r="E35" s="730"/>
    </row>
    <row r="36" spans="1:5" ht="15" customHeight="1">
      <c r="A36" s="744"/>
      <c r="B36" s="745" t="s">
        <v>591</v>
      </c>
      <c r="C36" s="747"/>
      <c r="D36" s="729"/>
      <c r="E36" s="730"/>
    </row>
    <row r="37" spans="1:5" ht="15" customHeight="1">
      <c r="A37" s="744"/>
      <c r="B37" s="745" t="s">
        <v>590</v>
      </c>
      <c r="C37" s="746"/>
      <c r="D37" s="729"/>
      <c r="E37" s="730"/>
    </row>
    <row r="38" spans="1:5" ht="15" customHeight="1">
      <c r="A38" s="744"/>
      <c r="B38" s="745" t="s">
        <v>592</v>
      </c>
      <c r="C38" s="746"/>
      <c r="D38" s="729"/>
      <c r="E38" s="730"/>
    </row>
    <row r="39" spans="1:5" ht="15" customHeight="1">
      <c r="A39" s="744"/>
      <c r="B39" s="745"/>
      <c r="C39" s="746"/>
      <c r="D39" s="729"/>
      <c r="E39" s="730"/>
    </row>
    <row r="40" spans="1:5" ht="15" customHeight="1">
      <c r="A40" s="744"/>
      <c r="B40" s="745"/>
      <c r="C40" s="746"/>
      <c r="D40" s="729"/>
      <c r="E40" s="730"/>
    </row>
    <row r="41" spans="1:5" ht="15" customHeight="1">
      <c r="A41" s="744"/>
      <c r="B41" s="745"/>
      <c r="C41" s="748"/>
      <c r="D41" s="729"/>
      <c r="E41" s="730"/>
    </row>
    <row r="42" spans="1:5" ht="15" customHeight="1">
      <c r="A42" s="744"/>
      <c r="B42" s="745"/>
      <c r="C42" s="729"/>
      <c r="D42" s="729"/>
      <c r="E42" s="730"/>
    </row>
    <row r="43" spans="1:5" ht="15" customHeight="1">
      <c r="A43" s="740"/>
      <c r="B43" s="729"/>
      <c r="C43" s="729"/>
      <c r="D43" s="729"/>
      <c r="E43" s="730"/>
    </row>
    <row r="44" spans="1:5" ht="15" customHeight="1">
      <c r="A44" s="749" t="s">
        <v>593</v>
      </c>
      <c r="B44" s="750"/>
      <c r="C44" s="750"/>
      <c r="D44" s="729"/>
      <c r="E44" s="730"/>
    </row>
    <row r="45" spans="1:5" ht="15" customHeight="1">
      <c r="A45" s="740"/>
      <c r="B45" s="729"/>
      <c r="C45" s="729"/>
      <c r="D45" s="729"/>
      <c r="E45" s="730"/>
    </row>
    <row r="46" spans="1:5" ht="15" customHeight="1">
      <c r="A46" s="741" t="s">
        <v>585</v>
      </c>
      <c r="B46" s="745"/>
      <c r="C46" s="729"/>
      <c r="D46" s="729"/>
      <c r="E46" s="730"/>
    </row>
    <row r="47" spans="1:5" ht="15" customHeight="1">
      <c r="A47" s="740"/>
      <c r="B47" s="729"/>
      <c r="C47" s="729"/>
      <c r="D47" s="729"/>
      <c r="E47" s="730"/>
    </row>
    <row r="48" spans="1:5" ht="13.5" customHeight="1">
      <c r="A48" s="740"/>
      <c r="B48" s="729"/>
      <c r="C48" s="729"/>
      <c r="D48" s="729"/>
      <c r="E48" s="730"/>
    </row>
    <row r="49" spans="1:5" ht="13.5" customHeight="1" thickBot="1">
      <c r="A49" s="751"/>
      <c r="B49" s="752"/>
      <c r="C49" s="752"/>
      <c r="D49" s="752"/>
      <c r="E49" s="753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0"/>
  <sheetViews>
    <sheetView zoomScale="70" zoomScaleNormal="70" zoomScalePageLayoutView="0" workbookViewId="0" topLeftCell="A1">
      <selection activeCell="G14" sqref="G1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229" customWidth="1"/>
    <col min="6" max="16384" width="11.57421875" style="133" customWidth="1"/>
  </cols>
  <sheetData>
    <row r="1" ht="12.75">
      <c r="C1" s="762" t="s">
        <v>481</v>
      </c>
    </row>
    <row r="2" ht="12.75">
      <c r="C2" s="763" t="s">
        <v>482</v>
      </c>
    </row>
    <row r="4" spans="2:4" ht="12.75">
      <c r="B4" s="759" t="s">
        <v>319</v>
      </c>
      <c r="D4" s="764">
        <v>42339</v>
      </c>
    </row>
    <row r="5" spans="2:4" ht="12.75">
      <c r="B5" s="759" t="s">
        <v>480</v>
      </c>
      <c r="D5" s="765" t="s">
        <v>483</v>
      </c>
    </row>
    <row r="7" spans="2:4" ht="12.75">
      <c r="B7" s="953" t="s">
        <v>594</v>
      </c>
      <c r="C7" s="953"/>
      <c r="D7" s="953"/>
    </row>
    <row r="8" spans="2:4" ht="13.5" thickBot="1">
      <c r="B8" s="183"/>
      <c r="C8" s="183"/>
      <c r="D8" s="183"/>
    </row>
    <row r="9" spans="2:4" ht="15.75" thickBot="1">
      <c r="B9" s="954" t="str">
        <f>CPYG!A8</f>
        <v>EMPRESA PÚBLICA:  INSTITUCIÓN FERIAL DE TENERIFE, S.A.</v>
      </c>
      <c r="C9" s="955"/>
      <c r="D9" s="956"/>
    </row>
    <row r="10" spans="2:3" ht="13.5" thickBot="1">
      <c r="B10" s="184"/>
      <c r="C10" s="184"/>
    </row>
    <row r="11" spans="2:4" ht="15.75" thickBot="1">
      <c r="B11" s="957" t="s">
        <v>449</v>
      </c>
      <c r="C11" s="955"/>
      <c r="D11" s="956"/>
    </row>
    <row r="12" spans="2:3" ht="13.5" thickBot="1">
      <c r="B12" s="184"/>
      <c r="C12" s="184"/>
    </row>
    <row r="13" spans="2:4" ht="13.5" customHeight="1">
      <c r="B13" s="958" t="s">
        <v>647</v>
      </c>
      <c r="C13" s="959"/>
      <c r="D13" s="949"/>
    </row>
    <row r="14" spans="2:4" ht="12.75" customHeight="1" thickBot="1">
      <c r="B14" s="960"/>
      <c r="C14" s="961"/>
      <c r="D14" s="950"/>
    </row>
    <row r="15" spans="2:4" ht="12.75">
      <c r="B15" s="151"/>
      <c r="C15" s="152"/>
      <c r="D15" s="197"/>
    </row>
    <row r="16" spans="2:4" ht="12.75">
      <c r="B16" s="138" t="s">
        <v>649</v>
      </c>
      <c r="C16" s="139" t="s">
        <v>736</v>
      </c>
      <c r="D16" s="140">
        <v>0</v>
      </c>
    </row>
    <row r="17" spans="2:4" ht="12.75">
      <c r="B17" s="138" t="s">
        <v>650</v>
      </c>
      <c r="C17" s="139" t="s">
        <v>737</v>
      </c>
      <c r="D17" s="140">
        <v>0</v>
      </c>
    </row>
    <row r="18" spans="2:4" ht="12.75">
      <c r="B18" s="138" t="s">
        <v>651</v>
      </c>
      <c r="C18" s="139" t="s">
        <v>738</v>
      </c>
      <c r="D18" s="140">
        <f>3!D13</f>
        <v>2456889.7100000004</v>
      </c>
    </row>
    <row r="19" spans="2:4" ht="12.75">
      <c r="B19" s="138" t="s">
        <v>652</v>
      </c>
      <c r="C19" s="139" t="s">
        <v>739</v>
      </c>
      <c r="D19" s="140">
        <f>3!D14+'Transf. y subv.'!E48</f>
        <v>897787.0100000001</v>
      </c>
    </row>
    <row r="20" spans="2:4" ht="12.75">
      <c r="B20" s="138" t="s">
        <v>653</v>
      </c>
      <c r="C20" s="139" t="s">
        <v>740</v>
      </c>
      <c r="D20" s="140">
        <f>3!D15</f>
        <v>118439.76</v>
      </c>
    </row>
    <row r="21" spans="2:4" ht="12.75">
      <c r="B21" s="141"/>
      <c r="C21" s="142"/>
      <c r="D21" s="143"/>
    </row>
    <row r="22" spans="2:4" ht="12.75">
      <c r="B22" s="915" t="s">
        <v>654</v>
      </c>
      <c r="C22" s="916"/>
      <c r="D22" s="917">
        <f>SUM(D16:D20)</f>
        <v>3473116.4800000004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655</v>
      </c>
      <c r="C25" s="139" t="s">
        <v>741</v>
      </c>
      <c r="D25" s="143">
        <f>-'Inv. NO FIN'!H27</f>
        <v>0</v>
      </c>
    </row>
    <row r="26" spans="2:4" ht="12.75">
      <c r="B26" s="138" t="s">
        <v>656</v>
      </c>
      <c r="C26" s="139" t="s">
        <v>742</v>
      </c>
      <c r="D26" s="143">
        <v>0</v>
      </c>
    </row>
    <row r="27" spans="2:4" ht="12.75">
      <c r="B27" s="141"/>
      <c r="C27" s="142"/>
      <c r="D27" s="143"/>
    </row>
    <row r="28" spans="2:4" ht="12.75">
      <c r="B28" s="915" t="s">
        <v>657</v>
      </c>
      <c r="C28" s="916"/>
      <c r="D28" s="917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658</v>
      </c>
      <c r="C31" s="139" t="s">
        <v>743</v>
      </c>
      <c r="D31" s="140">
        <f>-'Inv. FIN'!G19-'Inv. FIN'!G26-'Inv. FIN'!G38-'Inv. FIN'!G45</f>
        <v>0</v>
      </c>
    </row>
    <row r="32" spans="2:4" ht="12.75">
      <c r="B32" s="138" t="s">
        <v>659</v>
      </c>
      <c r="C32" s="139" t="s">
        <v>744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915" t="s">
        <v>660</v>
      </c>
      <c r="C34" s="916"/>
      <c r="D34" s="918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661</v>
      </c>
      <c r="D37" s="157">
        <f>D22+D28+D34</f>
        <v>3473116.4800000004</v>
      </c>
      <c r="E37" s="821"/>
      <c r="F37" s="158"/>
      <c r="G37" s="668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184</v>
      </c>
      <c r="D39" s="197">
        <f>3!D35</f>
        <v>32325.579999999998</v>
      </c>
    </row>
    <row r="40" spans="2:4" ht="12.75">
      <c r="B40" s="161"/>
      <c r="C40" s="162"/>
      <c r="D40" s="163"/>
    </row>
    <row r="41" spans="2:5" ht="12.75">
      <c r="B41" s="154"/>
      <c r="C41" s="156" t="s">
        <v>661</v>
      </c>
      <c r="D41" s="157">
        <f>D37+D39</f>
        <v>3505442.0600000005</v>
      </c>
      <c r="E41" s="671"/>
    </row>
    <row r="42" spans="2:4" ht="13.5" thickBot="1">
      <c r="B42" s="164"/>
      <c r="C42" s="198"/>
      <c r="D42" s="166"/>
    </row>
    <row r="43" ht="13.5" thickBot="1"/>
    <row r="44" spans="2:4" ht="13.5" customHeight="1">
      <c r="B44" s="958" t="s">
        <v>647</v>
      </c>
      <c r="C44" s="959"/>
      <c r="D44" s="951"/>
    </row>
    <row r="45" spans="2:4" ht="12.75" customHeight="1" thickBot="1">
      <c r="B45" s="960"/>
      <c r="C45" s="961"/>
      <c r="D45" s="952"/>
    </row>
    <row r="46" spans="2:4" ht="12.75">
      <c r="B46" s="151"/>
      <c r="C46" s="152"/>
      <c r="D46" s="153"/>
    </row>
    <row r="47" spans="2:4" ht="12.75">
      <c r="B47" s="138" t="s">
        <v>649</v>
      </c>
      <c r="C47" s="167" t="s">
        <v>663</v>
      </c>
      <c r="D47" s="168">
        <f>3!D45</f>
        <v>1278397.22</v>
      </c>
    </row>
    <row r="48" spans="2:4" ht="12.75">
      <c r="B48" s="138" t="s">
        <v>650</v>
      </c>
      <c r="C48" s="167" t="s">
        <v>664</v>
      </c>
      <c r="D48" s="168">
        <f>3!D46</f>
        <v>1984642.28</v>
      </c>
    </row>
    <row r="49" spans="2:4" ht="12.75">
      <c r="B49" s="138" t="s">
        <v>651</v>
      </c>
      <c r="C49" s="167" t="s">
        <v>97</v>
      </c>
      <c r="D49" s="168">
        <f>3!D47</f>
        <v>600</v>
      </c>
    </row>
    <row r="50" spans="2:4" ht="12.75">
      <c r="B50" s="138" t="s">
        <v>652</v>
      </c>
      <c r="C50" s="167" t="s">
        <v>665</v>
      </c>
      <c r="D50" s="168">
        <v>0</v>
      </c>
    </row>
    <row r="51" spans="2:4" ht="12.75">
      <c r="B51" s="151"/>
      <c r="C51" s="152"/>
      <c r="D51" s="168"/>
    </row>
    <row r="52" spans="2:4" ht="12.75">
      <c r="B52" s="915" t="s">
        <v>666</v>
      </c>
      <c r="C52" s="916"/>
      <c r="D52" s="918">
        <f>SUM(D47:D50)</f>
        <v>3263639.5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655</v>
      </c>
      <c r="C55" s="167" t="s">
        <v>668</v>
      </c>
      <c r="D55" s="168">
        <f>'Inv. NO FIN'!C27+'Inv. NO FIN'!E27</f>
        <v>17641.58</v>
      </c>
    </row>
    <row r="56" spans="2:4" ht="12.75">
      <c r="B56" s="138" t="s">
        <v>656</v>
      </c>
      <c r="C56" s="167" t="s">
        <v>669</v>
      </c>
      <c r="D56" s="168">
        <v>0</v>
      </c>
    </row>
    <row r="57" spans="2:4" ht="12.75">
      <c r="B57" s="151"/>
      <c r="C57" s="152"/>
      <c r="D57" s="153"/>
    </row>
    <row r="58" spans="2:4" ht="12.75">
      <c r="B58" s="915" t="s">
        <v>670</v>
      </c>
      <c r="C58" s="916"/>
      <c r="D58" s="918">
        <f>SUM(D55:D56)</f>
        <v>17641.58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658</v>
      </c>
      <c r="C61" s="167" t="s">
        <v>672</v>
      </c>
      <c r="D61" s="168">
        <f>'Inv. FIN'!E19+'Inv. FIN'!E26+'Inv. FIN'!E38+'Inv. FIN'!E45</f>
        <v>0</v>
      </c>
    </row>
    <row r="62" spans="2:4" ht="12.75">
      <c r="B62" s="138" t="s">
        <v>659</v>
      </c>
      <c r="C62" s="167" t="s">
        <v>673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915" t="s">
        <v>674</v>
      </c>
      <c r="C64" s="916"/>
      <c r="D64" s="918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157</v>
      </c>
      <c r="D67" s="157">
        <f>D52+D58+D64</f>
        <v>3281281.08</v>
      </c>
      <c r="G67" s="668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185</v>
      </c>
      <c r="D69" s="194">
        <f>3!D68</f>
        <v>76700</v>
      </c>
    </row>
    <row r="70" spans="2:4" ht="12.75">
      <c r="B70" s="161"/>
      <c r="C70" s="162"/>
      <c r="D70" s="163"/>
    </row>
    <row r="71" spans="2:5" ht="12.75">
      <c r="B71" s="154"/>
      <c r="C71" s="156" t="s">
        <v>157</v>
      </c>
      <c r="D71" s="157">
        <f>D67+D69</f>
        <v>3357981.08</v>
      </c>
      <c r="E71" s="671"/>
    </row>
    <row r="72" spans="2:4" ht="13.5" thickBot="1">
      <c r="B72" s="164"/>
      <c r="C72" s="165"/>
      <c r="D72" s="166"/>
    </row>
    <row r="74" spans="2:6" ht="12.75" hidden="1">
      <c r="B74" s="858"/>
      <c r="C74" s="858"/>
      <c r="D74" s="859"/>
      <c r="E74" s="860"/>
      <c r="F74" s="858"/>
    </row>
    <row r="75" spans="2:6" ht="17.25" customHeight="1" hidden="1">
      <c r="B75" s="858" t="s">
        <v>188</v>
      </c>
      <c r="C75" s="861" t="s">
        <v>44</v>
      </c>
      <c r="D75" s="862">
        <f>D41-D71</f>
        <v>147460.98000000045</v>
      </c>
      <c r="E75" s="860"/>
      <c r="F75" s="858"/>
    </row>
    <row r="76" spans="2:6" ht="12.75" hidden="1">
      <c r="B76" s="858"/>
      <c r="C76" s="858"/>
      <c r="D76" s="859"/>
      <c r="E76" s="860"/>
      <c r="F76" s="858"/>
    </row>
    <row r="77" spans="2:6" ht="17.25" customHeight="1" hidden="1">
      <c r="B77" s="858" t="s">
        <v>189</v>
      </c>
      <c r="C77" s="858" t="s">
        <v>187</v>
      </c>
      <c r="D77" s="859">
        <f>D79+D84+D85+D86+D87</f>
        <v>-147460.97999999952</v>
      </c>
      <c r="E77" s="860"/>
      <c r="F77" s="858"/>
    </row>
    <row r="78" spans="2:6" ht="12.75" hidden="1">
      <c r="B78" s="858"/>
      <c r="C78" s="858"/>
      <c r="D78" s="859"/>
      <c r="E78" s="860"/>
      <c r="F78" s="858"/>
    </row>
    <row r="79" spans="2:6" ht="19.5" customHeight="1" hidden="1">
      <c r="B79" s="858"/>
      <c r="C79" s="858" t="s">
        <v>186</v>
      </c>
      <c r="D79" s="859">
        <f>SUM(D80:D83)</f>
        <v>61200</v>
      </c>
      <c r="E79" s="860"/>
      <c r="F79" s="858"/>
    </row>
    <row r="80" spans="2:6" ht="21.75" customHeight="1" hidden="1">
      <c r="B80" s="858"/>
      <c r="C80" s="863" t="s">
        <v>474</v>
      </c>
      <c r="D80" s="864">
        <f>-'Inv. NO FIN'!D27</f>
        <v>0</v>
      </c>
      <c r="E80" s="860"/>
      <c r="F80" s="858"/>
    </row>
    <row r="81" spans="2:6" ht="18.75" customHeight="1" hidden="1">
      <c r="B81" s="858"/>
      <c r="C81" s="863" t="s">
        <v>636</v>
      </c>
      <c r="D81" s="864">
        <f>-'Inv. NO FIN'!F27</f>
        <v>61200</v>
      </c>
      <c r="E81" s="860"/>
      <c r="F81" s="858"/>
    </row>
    <row r="82" spans="2:6" ht="21" customHeight="1" hidden="1">
      <c r="B82" s="858"/>
      <c r="C82" s="863" t="s">
        <v>439</v>
      </c>
      <c r="D82" s="864">
        <f>-'Inv. NO FIN'!G27</f>
        <v>0</v>
      </c>
      <c r="E82" s="860"/>
      <c r="F82" s="858"/>
    </row>
    <row r="83" spans="2:6" ht="25.5" hidden="1">
      <c r="B83" s="858"/>
      <c r="C83" s="863" t="s">
        <v>441</v>
      </c>
      <c r="D83" s="864">
        <f>-'Inv. NO FIN'!I27</f>
        <v>0</v>
      </c>
      <c r="E83" s="860"/>
      <c r="F83" s="858"/>
    </row>
    <row r="84" spans="2:6" ht="19.5" customHeight="1" hidden="1">
      <c r="B84" s="858"/>
      <c r="C84" s="860" t="s">
        <v>190</v>
      </c>
      <c r="D84" s="864">
        <f>-ACTIVO!M26</f>
        <v>60000</v>
      </c>
      <c r="E84" s="860"/>
      <c r="F84" s="858"/>
    </row>
    <row r="85" spans="2:6" ht="30" customHeight="1" hidden="1">
      <c r="B85" s="858"/>
      <c r="C85" s="865" t="s">
        <v>191</v>
      </c>
      <c r="D85" s="864">
        <f>-(ACTIVO!D28-ACTIVO!C28)+ACTIVO!D42-ACTIVO!C42+ACTIVO!D43-ACTIVO!C43</f>
        <v>-41731.7099999995</v>
      </c>
      <c r="E85" s="860"/>
      <c r="F85" s="858"/>
    </row>
    <row r="86" spans="2:6" ht="19.5" customHeight="1" hidden="1">
      <c r="B86" s="858"/>
      <c r="C86" s="858" t="s">
        <v>473</v>
      </c>
      <c r="D86" s="859">
        <f>+PASIVO!F32+PASIVO!F17</f>
        <v>-55653.52000000002</v>
      </c>
      <c r="E86" s="866"/>
      <c r="F86" s="858"/>
    </row>
    <row r="87" spans="2:6" ht="19.5" customHeight="1" hidden="1">
      <c r="B87" s="858"/>
      <c r="C87" s="867" t="s">
        <v>380</v>
      </c>
      <c r="D87" s="859">
        <f>PASIVO!H41</f>
        <v>-171275.75</v>
      </c>
      <c r="E87" s="860"/>
      <c r="F87" s="858"/>
    </row>
    <row r="88" spans="2:6" ht="12.75" hidden="1">
      <c r="B88" s="858"/>
      <c r="C88" s="858"/>
      <c r="D88" s="859"/>
      <c r="E88" s="860"/>
      <c r="F88" s="858"/>
    </row>
    <row r="89" spans="2:6" ht="12.75" hidden="1">
      <c r="B89" s="858"/>
      <c r="C89" s="858" t="s">
        <v>192</v>
      </c>
      <c r="D89" s="859">
        <f>D75+D77</f>
        <v>9.313225746154785E-10</v>
      </c>
      <c r="E89" s="860"/>
      <c r="F89" s="858"/>
    </row>
    <row r="90" spans="2:6" ht="12.75" hidden="1">
      <c r="B90" s="858"/>
      <c r="C90" s="858"/>
      <c r="D90" s="859"/>
      <c r="E90" s="860"/>
      <c r="F90" s="858"/>
    </row>
    <row r="91" ht="12.75" hidden="1"/>
    <row r="92" ht="12.75" hidden="1"/>
    <row r="93" ht="12.75" hidden="1"/>
    <row r="94" ht="12.75" hidden="1"/>
    <row r="9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55" zoomScaleNormal="55" zoomScalePageLayoutView="0" workbookViewId="0" topLeftCell="A1">
      <selection activeCell="P11" sqref="P11"/>
    </sheetView>
  </sheetViews>
  <sheetFormatPr defaultColWidth="11.421875" defaultRowHeight="12.75"/>
  <cols>
    <col min="1" max="1" width="80.421875" style="403" customWidth="1"/>
    <col min="2" max="2" width="19.8515625" style="403" customWidth="1"/>
    <col min="3" max="3" width="19.28125" style="403" customWidth="1"/>
    <col min="4" max="4" width="20.7109375" style="403" customWidth="1"/>
    <col min="5" max="5" width="1.57421875" style="403" customWidth="1"/>
    <col min="6" max="6" width="14.57421875" style="402" hidden="1" customWidth="1"/>
    <col min="7" max="7" width="15.28125" style="402" hidden="1" customWidth="1"/>
    <col min="8" max="8" width="15.421875" style="403" hidden="1" customWidth="1"/>
    <col min="9" max="13" width="0" style="403" hidden="1" customWidth="1"/>
    <col min="14" max="16384" width="11.57421875" style="403" customWidth="1"/>
  </cols>
  <sheetData>
    <row r="1" ht="12.75">
      <c r="B1" s="762" t="s">
        <v>481</v>
      </c>
    </row>
    <row r="2" ht="12.75">
      <c r="B2" s="763" t="s">
        <v>482</v>
      </c>
    </row>
    <row r="4" spans="1:2" ht="12.75">
      <c r="A4" s="759" t="s">
        <v>319</v>
      </c>
      <c r="B4" s="764">
        <v>42339</v>
      </c>
    </row>
    <row r="5" spans="1:2" ht="12.75">
      <c r="A5" s="759" t="s">
        <v>480</v>
      </c>
      <c r="B5" s="765" t="s">
        <v>483</v>
      </c>
    </row>
    <row r="7" spans="1:6" ht="49.5" customHeight="1">
      <c r="A7" s="967" t="s">
        <v>91</v>
      </c>
      <c r="B7" s="968"/>
      <c r="C7" s="969"/>
      <c r="D7" s="399">
        <v>2016</v>
      </c>
      <c r="E7" s="400"/>
      <c r="F7" s="401"/>
    </row>
    <row r="8" spans="1:6" ht="25.5" customHeight="1">
      <c r="A8" s="964" t="s">
        <v>2</v>
      </c>
      <c r="B8" s="965"/>
      <c r="C8" s="966"/>
      <c r="D8" s="404" t="s">
        <v>635</v>
      </c>
      <c r="E8" s="405"/>
      <c r="F8" s="406"/>
    </row>
    <row r="9" spans="1:6" ht="25.5" customHeight="1">
      <c r="A9" s="962" t="s">
        <v>485</v>
      </c>
      <c r="B9" s="963"/>
      <c r="C9" s="963"/>
      <c r="D9" s="963"/>
      <c r="E9" s="407"/>
      <c r="F9" s="408"/>
    </row>
    <row r="10" spans="1:7" ht="31.5" customHeight="1">
      <c r="A10" s="409" t="s">
        <v>102</v>
      </c>
      <c r="B10" s="410" t="s">
        <v>595</v>
      </c>
      <c r="C10" s="411" t="s">
        <v>597</v>
      </c>
      <c r="D10" s="411" t="s">
        <v>596</v>
      </c>
      <c r="E10" s="412"/>
      <c r="F10" s="413" t="s">
        <v>42</v>
      </c>
      <c r="G10" s="413" t="s">
        <v>43</v>
      </c>
    </row>
    <row r="11" spans="1:5" s="416" customFormat="1" ht="19.5" customHeight="1">
      <c r="A11" s="414" t="s">
        <v>138</v>
      </c>
      <c r="B11" s="578"/>
      <c r="C11" s="578"/>
      <c r="D11" s="578"/>
      <c r="E11" s="415"/>
    </row>
    <row r="12" spans="1:7" s="416" customFormat="1" ht="19.5" customHeight="1">
      <c r="A12" s="417" t="s">
        <v>772</v>
      </c>
      <c r="B12" s="824">
        <f>B13+B19</f>
        <v>2145803.5000000005</v>
      </c>
      <c r="C12" s="824">
        <f>C13+C19</f>
        <v>2129664.0100000002</v>
      </c>
      <c r="D12" s="824">
        <f>D13+D19</f>
        <v>2454889.7100000004</v>
      </c>
      <c r="E12" s="418"/>
      <c r="F12" s="419">
        <f>+C12-B12</f>
        <v>-16139.490000000224</v>
      </c>
      <c r="G12" s="420">
        <f>+D12-C12</f>
        <v>325225.7000000002</v>
      </c>
    </row>
    <row r="13" spans="1:7" s="416" customFormat="1" ht="19.5" customHeight="1">
      <c r="A13" s="421" t="s">
        <v>103</v>
      </c>
      <c r="B13" s="825">
        <f>B14+B18</f>
        <v>216.35</v>
      </c>
      <c r="C13" s="825">
        <f>C14+C18</f>
        <v>215.89</v>
      </c>
      <c r="D13" s="825">
        <f>D14+D18</f>
        <v>215.89</v>
      </c>
      <c r="E13" s="422"/>
      <c r="F13" s="423"/>
      <c r="G13" s="424"/>
    </row>
    <row r="14" spans="1:7" s="416" customFormat="1" ht="19.5" customHeight="1">
      <c r="A14" s="421" t="s">
        <v>139</v>
      </c>
      <c r="B14" s="825">
        <f>SUM(B15:B17)</f>
        <v>0</v>
      </c>
      <c r="C14" s="825">
        <f>SUM(C15:C17)</f>
        <v>0</v>
      </c>
      <c r="D14" s="825">
        <f>SUM(D15:D17)</f>
        <v>0</v>
      </c>
      <c r="E14" s="422"/>
      <c r="F14" s="423"/>
      <c r="G14" s="424"/>
    </row>
    <row r="15" spans="1:7" s="416" customFormat="1" ht="19.5" customHeight="1">
      <c r="A15" s="421" t="s">
        <v>773</v>
      </c>
      <c r="B15" s="826">
        <v>0</v>
      </c>
      <c r="C15" s="826">
        <v>0</v>
      </c>
      <c r="D15" s="826">
        <v>0</v>
      </c>
      <c r="E15" s="422"/>
      <c r="F15" s="423"/>
      <c r="G15" s="424"/>
    </row>
    <row r="16" spans="1:7" s="416" customFormat="1" ht="19.5" customHeight="1">
      <c r="A16" s="421" t="s">
        <v>775</v>
      </c>
      <c r="B16" s="826">
        <v>0</v>
      </c>
      <c r="C16" s="826">
        <v>0</v>
      </c>
      <c r="D16" s="826">
        <v>0</v>
      </c>
      <c r="E16" s="422"/>
      <c r="F16" s="423"/>
      <c r="G16" s="424"/>
    </row>
    <row r="17" spans="1:7" s="416" customFormat="1" ht="19.5" customHeight="1">
      <c r="A17" s="421" t="s">
        <v>776</v>
      </c>
      <c r="B17" s="826">
        <v>0</v>
      </c>
      <c r="C17" s="826">
        <v>0</v>
      </c>
      <c r="D17" s="826">
        <v>0</v>
      </c>
      <c r="E17" s="422"/>
      <c r="F17" s="423"/>
      <c r="G17" s="424"/>
    </row>
    <row r="18" spans="1:7" s="416" customFormat="1" ht="19.5" customHeight="1">
      <c r="A18" s="421" t="s">
        <v>141</v>
      </c>
      <c r="B18" s="826">
        <v>216.35</v>
      </c>
      <c r="C18" s="826">
        <v>215.89</v>
      </c>
      <c r="D18" s="826">
        <v>215.89</v>
      </c>
      <c r="E18" s="422"/>
      <c r="F18" s="423"/>
      <c r="G18" s="424"/>
    </row>
    <row r="19" spans="1:7" s="416" customFormat="1" ht="19.5" customHeight="1">
      <c r="A19" s="421" t="s">
        <v>777</v>
      </c>
      <c r="B19" s="825">
        <f>B20+B24</f>
        <v>2145587.1500000004</v>
      </c>
      <c r="C19" s="825">
        <f>C20+C24</f>
        <v>2129448.12</v>
      </c>
      <c r="D19" s="825">
        <f>D20+D24</f>
        <v>2454673.8200000003</v>
      </c>
      <c r="E19" s="422"/>
      <c r="F19" s="423">
        <f aca="true" t="shared" si="0" ref="F19:F24">+C19-B19</f>
        <v>-16139.03000000026</v>
      </c>
      <c r="G19" s="424">
        <f aca="true" t="shared" si="1" ref="G19:G24">-D19-C19</f>
        <v>-4584121.94</v>
      </c>
    </row>
    <row r="20" spans="1:7" s="416" customFormat="1" ht="19.5" customHeight="1">
      <c r="A20" s="421" t="s">
        <v>142</v>
      </c>
      <c r="B20" s="825">
        <f>SUM(B21:B23)</f>
        <v>820502.05</v>
      </c>
      <c r="C20" s="825">
        <f>SUM(C21:C23)</f>
        <v>900000</v>
      </c>
      <c r="D20" s="825">
        <f>SUM(D21:D23)</f>
        <v>970000</v>
      </c>
      <c r="E20" s="425"/>
      <c r="F20" s="423">
        <f t="shared" si="0"/>
        <v>79497.94999999995</v>
      </c>
      <c r="G20" s="424">
        <f t="shared" si="1"/>
        <v>-1870000</v>
      </c>
    </row>
    <row r="21" spans="1:8" s="416" customFormat="1" ht="19.5" customHeight="1">
      <c r="A21" s="421" t="s">
        <v>778</v>
      </c>
      <c r="B21" s="826">
        <v>372054.79</v>
      </c>
      <c r="C21" s="826">
        <v>450000</v>
      </c>
      <c r="D21" s="826">
        <v>400000</v>
      </c>
      <c r="E21" s="425"/>
      <c r="F21" s="423">
        <f t="shared" si="0"/>
        <v>77945.21000000002</v>
      </c>
      <c r="G21" s="424">
        <f t="shared" si="1"/>
        <v>-850000</v>
      </c>
      <c r="H21"/>
    </row>
    <row r="22" spans="1:8" s="416" customFormat="1" ht="19.5" customHeight="1">
      <c r="A22" s="421" t="s">
        <v>779</v>
      </c>
      <c r="B22" s="826">
        <v>448447.26</v>
      </c>
      <c r="C22" s="826">
        <v>450000</v>
      </c>
      <c r="D22" s="826">
        <v>445000</v>
      </c>
      <c r="E22" s="425"/>
      <c r="F22" s="423">
        <f t="shared" si="0"/>
        <v>1552.7399999999907</v>
      </c>
      <c r="G22" s="424">
        <f t="shared" si="1"/>
        <v>-895000</v>
      </c>
      <c r="H22"/>
    </row>
    <row r="23" spans="1:8" s="416" customFormat="1" ht="19.5" customHeight="1">
      <c r="A23" s="421" t="s">
        <v>780</v>
      </c>
      <c r="B23" s="826">
        <v>0</v>
      </c>
      <c r="C23" s="826">
        <v>0</v>
      </c>
      <c r="D23" s="826">
        <v>125000</v>
      </c>
      <c r="E23" s="425"/>
      <c r="F23" s="423">
        <f t="shared" si="0"/>
        <v>0</v>
      </c>
      <c r="G23" s="424">
        <f t="shared" si="1"/>
        <v>-125000</v>
      </c>
      <c r="H23"/>
    </row>
    <row r="24" spans="1:8" s="416" customFormat="1" ht="19.5" customHeight="1">
      <c r="A24" s="421" t="s">
        <v>143</v>
      </c>
      <c r="B24" s="826">
        <v>1325085.1</v>
      </c>
      <c r="C24" s="826">
        <f>2135448.12-835000+79000-150000</f>
        <v>1229448.12</v>
      </c>
      <c r="D24" s="826">
        <f>1594673.82-110000</f>
        <v>1484673.82</v>
      </c>
      <c r="E24" s="425"/>
      <c r="F24" s="423">
        <f t="shared" si="0"/>
        <v>-95636.97999999998</v>
      </c>
      <c r="G24" s="424">
        <f t="shared" si="1"/>
        <v>-2714121.9400000004</v>
      </c>
      <c r="H24"/>
    </row>
    <row r="25" spans="1:7" s="416" customFormat="1" ht="27.75" customHeight="1">
      <c r="A25" s="426" t="s">
        <v>419</v>
      </c>
      <c r="B25" s="824">
        <f>SUM(B26:B27)</f>
        <v>-6922.2</v>
      </c>
      <c r="C25" s="824">
        <f>SUM(C26:C27)</f>
        <v>1272.4</v>
      </c>
      <c r="D25" s="824">
        <f>SUM(D26:D27)</f>
        <v>-500</v>
      </c>
      <c r="E25" s="427"/>
      <c r="F25" s="428"/>
      <c r="G25" s="424"/>
    </row>
    <row r="26" spans="1:7" s="416" customFormat="1" ht="18" customHeight="1">
      <c r="A26" s="421" t="s">
        <v>630</v>
      </c>
      <c r="B26" s="826">
        <v>0</v>
      </c>
      <c r="C26" s="827">
        <v>0</v>
      </c>
      <c r="D26" s="827">
        <v>0</v>
      </c>
      <c r="E26" s="427"/>
      <c r="F26" s="428"/>
      <c r="G26" s="424"/>
    </row>
    <row r="27" spans="1:7" s="416" customFormat="1" ht="18" customHeight="1">
      <c r="A27" s="421" t="s">
        <v>631</v>
      </c>
      <c r="B27" s="826">
        <v>-6922.2</v>
      </c>
      <c r="C27" s="826">
        <v>1272.4</v>
      </c>
      <c r="D27" s="826">
        <v>-500</v>
      </c>
      <c r="E27" s="427"/>
      <c r="F27" s="428"/>
      <c r="G27" s="424"/>
    </row>
    <row r="28" spans="1:7" s="416" customFormat="1" ht="25.5" customHeight="1">
      <c r="A28" s="426" t="s">
        <v>781</v>
      </c>
      <c r="B28" s="827">
        <v>6547.74</v>
      </c>
      <c r="C28" s="827">
        <v>0</v>
      </c>
      <c r="D28" s="827">
        <v>0</v>
      </c>
      <c r="E28" s="427"/>
      <c r="F28" s="428"/>
      <c r="G28" s="424"/>
    </row>
    <row r="29" spans="1:7" s="416" customFormat="1" ht="19.5" customHeight="1">
      <c r="A29" s="429" t="s">
        <v>782</v>
      </c>
      <c r="B29" s="824">
        <f>SUM(B30:B33)</f>
        <v>-67446.66</v>
      </c>
      <c r="C29" s="824">
        <f>SUM(C30:C33)</f>
        <v>-61924.99</v>
      </c>
      <c r="D29" s="824">
        <f>SUM(D30:D33)</f>
        <v>-65000</v>
      </c>
      <c r="E29" s="427"/>
      <c r="F29" s="419">
        <f>+C29-B29</f>
        <v>5521.6700000000055</v>
      </c>
      <c r="G29" s="420">
        <f>+D29-C29</f>
        <v>-3075.010000000002</v>
      </c>
    </row>
    <row r="30" spans="1:7" s="416" customFormat="1" ht="19.5" customHeight="1">
      <c r="A30" s="421" t="s">
        <v>783</v>
      </c>
      <c r="B30" s="826">
        <v>-174.17</v>
      </c>
      <c r="C30" s="826">
        <v>-40.97</v>
      </c>
      <c r="D30" s="826">
        <v>0</v>
      </c>
      <c r="E30" s="425"/>
      <c r="F30" s="430"/>
      <c r="G30" s="424"/>
    </row>
    <row r="31" spans="1:7" s="416" customFormat="1" ht="19.5" customHeight="1">
      <c r="A31" s="421" t="s">
        <v>784</v>
      </c>
      <c r="B31" s="826">
        <v>-67272.49</v>
      </c>
      <c r="C31" s="826">
        <v>-61884.02</v>
      </c>
      <c r="D31" s="826">
        <v>-65000</v>
      </c>
      <c r="E31" s="425"/>
      <c r="F31" s="430"/>
      <c r="G31" s="424"/>
    </row>
    <row r="32" spans="1:7" s="416" customFormat="1" ht="19.5" customHeight="1">
      <c r="A32" s="421" t="s">
        <v>785</v>
      </c>
      <c r="B32" s="826">
        <v>0</v>
      </c>
      <c r="C32" s="826">
        <v>0</v>
      </c>
      <c r="D32" s="826">
        <v>0</v>
      </c>
      <c r="E32" s="425"/>
      <c r="F32" s="423">
        <f>+C32-B32</f>
        <v>0</v>
      </c>
      <c r="G32" s="424">
        <f>-D32-C32</f>
        <v>0</v>
      </c>
    </row>
    <row r="33" spans="1:7" s="416" customFormat="1" ht="19.5" customHeight="1">
      <c r="A33" s="421" t="s">
        <v>786</v>
      </c>
      <c r="B33" s="826">
        <v>0</v>
      </c>
      <c r="C33" s="827">
        <v>0</v>
      </c>
      <c r="D33" s="826">
        <v>0</v>
      </c>
      <c r="E33" s="425"/>
      <c r="F33" s="430"/>
      <c r="G33" s="424"/>
    </row>
    <row r="34" spans="1:7" s="416" customFormat="1" ht="19.5" customHeight="1">
      <c r="A34" s="426" t="s">
        <v>787</v>
      </c>
      <c r="B34" s="824">
        <f>B35+B39</f>
        <v>634726.49</v>
      </c>
      <c r="C34" s="824">
        <f>C35+C39</f>
        <v>733449.47</v>
      </c>
      <c r="D34" s="824">
        <f>D35+D39</f>
        <v>353647.88</v>
      </c>
      <c r="E34" s="418"/>
      <c r="F34" s="419">
        <f>+C34-B34</f>
        <v>98722.97999999998</v>
      </c>
      <c r="G34" s="420">
        <f>+D34-C34</f>
        <v>-379801.58999999997</v>
      </c>
    </row>
    <row r="35" spans="1:7" s="416" customFormat="1" ht="19.5" customHeight="1">
      <c r="A35" s="421" t="s">
        <v>788</v>
      </c>
      <c r="B35" s="825">
        <f>SUM(B36:B38)</f>
        <v>137030.88</v>
      </c>
      <c r="C35" s="825">
        <f>SUM(C36:C38)</f>
        <v>136491.6</v>
      </c>
      <c r="D35" s="825">
        <f>SUM(D36:D38)</f>
        <v>119879.76</v>
      </c>
      <c r="E35" s="422"/>
      <c r="F35" s="423"/>
      <c r="G35" s="424"/>
    </row>
    <row r="36" spans="1:7" s="416" customFormat="1" ht="19.5" customHeight="1">
      <c r="A36" s="421" t="s">
        <v>632</v>
      </c>
      <c r="B36" s="826">
        <v>0</v>
      </c>
      <c r="C36" s="826">
        <v>0</v>
      </c>
      <c r="D36" s="826">
        <v>0</v>
      </c>
      <c r="E36" s="422"/>
      <c r="F36" s="423"/>
      <c r="G36" s="424"/>
    </row>
    <row r="37" spans="1:7" s="416" customFormat="1" ht="19.5" customHeight="1">
      <c r="A37" s="421" t="s">
        <v>633</v>
      </c>
      <c r="B37" s="826">
        <v>137030.88</v>
      </c>
      <c r="C37" s="826">
        <v>119056.88</v>
      </c>
      <c r="D37" s="826">
        <v>117879.76</v>
      </c>
      <c r="E37" s="422"/>
      <c r="F37" s="423"/>
      <c r="G37" s="424"/>
    </row>
    <row r="38" spans="1:7" s="416" customFormat="1" ht="19.5" customHeight="1">
      <c r="A38" s="421" t="s">
        <v>634</v>
      </c>
      <c r="B38" s="826">
        <v>0</v>
      </c>
      <c r="C38" s="826">
        <v>17434.72</v>
      </c>
      <c r="D38" s="826">
        <v>2000</v>
      </c>
      <c r="E38" s="422"/>
      <c r="F38" s="423"/>
      <c r="G38" s="424"/>
    </row>
    <row r="39" spans="1:7" s="416" customFormat="1" ht="19.5" customHeight="1">
      <c r="A39" s="421" t="s">
        <v>789</v>
      </c>
      <c r="B39" s="825">
        <f>SUM(B40:B45)</f>
        <v>497695.61</v>
      </c>
      <c r="C39" s="825">
        <f>SUM(C40:C45)</f>
        <v>596957.87</v>
      </c>
      <c r="D39" s="825">
        <f>SUM(D40:D45)</f>
        <v>233768.12</v>
      </c>
      <c r="E39" s="422"/>
      <c r="F39" s="423">
        <f>+C39-B39</f>
        <v>99262.26000000001</v>
      </c>
      <c r="G39" s="424">
        <f>-D39-C39</f>
        <v>-830725.99</v>
      </c>
    </row>
    <row r="40" spans="1:7" s="416" customFormat="1" ht="19.5" customHeight="1">
      <c r="A40" s="421" t="s">
        <v>790</v>
      </c>
      <c r="B40" s="826">
        <v>0</v>
      </c>
      <c r="C40" s="827">
        <v>0</v>
      </c>
      <c r="D40" s="826">
        <v>0</v>
      </c>
      <c r="E40" s="422"/>
      <c r="F40" s="423"/>
      <c r="G40" s="424"/>
    </row>
    <row r="41" spans="1:7" s="416" customFormat="1" ht="19.5" customHeight="1">
      <c r="A41" s="421" t="s">
        <v>420</v>
      </c>
      <c r="B41" s="826">
        <v>0</v>
      </c>
      <c r="C41" s="826">
        <v>0</v>
      </c>
      <c r="D41" s="826">
        <v>0</v>
      </c>
      <c r="E41" s="425"/>
      <c r="F41" s="423">
        <f>+C41-B41</f>
        <v>0</v>
      </c>
      <c r="G41" s="424">
        <f>-D41-C41</f>
        <v>0</v>
      </c>
    </row>
    <row r="42" spans="1:7" s="416" customFormat="1" ht="19.5" customHeight="1">
      <c r="A42" s="421" t="s">
        <v>421</v>
      </c>
      <c r="B42" s="826">
        <v>0</v>
      </c>
      <c r="C42" s="826">
        <v>0</v>
      </c>
      <c r="D42" s="826">
        <v>0</v>
      </c>
      <c r="E42" s="425"/>
      <c r="F42" s="430"/>
      <c r="G42" s="424"/>
    </row>
    <row r="43" spans="1:7" s="416" customFormat="1" ht="19.5" customHeight="1">
      <c r="A43" s="421" t="s">
        <v>791</v>
      </c>
      <c r="B43" s="826">
        <v>491695.61</v>
      </c>
      <c r="C43" s="826">
        <f>375000+215957.87</f>
        <v>590957.87</v>
      </c>
      <c r="D43" s="826">
        <f>+'Transf. y subv.'!E29+'Transf. y subv.'!E34</f>
        <v>227768.12</v>
      </c>
      <c r="E43" s="425"/>
      <c r="F43" s="430"/>
      <c r="G43" s="424"/>
    </row>
    <row r="44" spans="1:7" s="416" customFormat="1" ht="19.5" customHeight="1">
      <c r="A44" s="421" t="s">
        <v>792</v>
      </c>
      <c r="B44" s="826">
        <v>6000</v>
      </c>
      <c r="C44" s="826">
        <v>6000</v>
      </c>
      <c r="D44" s="826">
        <v>6000</v>
      </c>
      <c r="E44" s="425"/>
      <c r="F44" s="423">
        <f>+C44-B44</f>
        <v>0</v>
      </c>
      <c r="G44" s="424">
        <f>-D44-C44</f>
        <v>-12000</v>
      </c>
    </row>
    <row r="45" spans="1:7" s="416" customFormat="1" ht="19.5" customHeight="1">
      <c r="A45" s="421" t="s">
        <v>793</v>
      </c>
      <c r="B45" s="826"/>
      <c r="C45" s="827">
        <v>0</v>
      </c>
      <c r="D45" s="826">
        <v>0</v>
      </c>
      <c r="E45" s="425"/>
      <c r="F45" s="430"/>
      <c r="G45" s="424"/>
    </row>
    <row r="46" spans="1:7" s="416" customFormat="1" ht="19.5" customHeight="1">
      <c r="A46" s="426" t="s">
        <v>794</v>
      </c>
      <c r="B46" s="824">
        <f>SUM(B47:B52)</f>
        <v>-1226808.47</v>
      </c>
      <c r="C46" s="824">
        <f>SUM(C47:C52)</f>
        <v>-1302576.3499999999</v>
      </c>
      <c r="D46" s="824">
        <f>SUM(D47:D52)</f>
        <v>-1278397.22</v>
      </c>
      <c r="E46" s="427"/>
      <c r="F46" s="419">
        <f>+C46-B46</f>
        <v>-75767.87999999989</v>
      </c>
      <c r="G46" s="420">
        <f>+D46-C46</f>
        <v>24179.12999999989</v>
      </c>
    </row>
    <row r="47" spans="1:7" s="416" customFormat="1" ht="19.5" customHeight="1">
      <c r="A47" s="421" t="s">
        <v>795</v>
      </c>
      <c r="B47" s="826">
        <v>-917629.28</v>
      </c>
      <c r="C47" s="826">
        <v>-975686.46</v>
      </c>
      <c r="D47" s="826">
        <v>-952432.16</v>
      </c>
      <c r="E47" s="425"/>
      <c r="F47" s="423">
        <f aca="true" t="shared" si="2" ref="F47:F52">+C47-B47</f>
        <v>-58057.179999999935</v>
      </c>
      <c r="G47" s="424">
        <f>-D47-C47</f>
        <v>1928118.62</v>
      </c>
    </row>
    <row r="48" spans="1:7" s="416" customFormat="1" ht="19.5" customHeight="1">
      <c r="A48" s="421" t="s">
        <v>422</v>
      </c>
      <c r="B48" s="826">
        <v>0</v>
      </c>
      <c r="C48" s="826">
        <v>0</v>
      </c>
      <c r="D48" s="826">
        <v>0</v>
      </c>
      <c r="E48" s="425"/>
      <c r="F48" s="423">
        <f t="shared" si="2"/>
        <v>0</v>
      </c>
      <c r="G48" s="424">
        <f>-D48-C48</f>
        <v>0</v>
      </c>
    </row>
    <row r="49" spans="1:7" s="416" customFormat="1" ht="19.5" customHeight="1">
      <c r="A49" s="421" t="s">
        <v>423</v>
      </c>
      <c r="B49" s="826">
        <v>-293918.02</v>
      </c>
      <c r="C49" s="826">
        <v>-309626.17</v>
      </c>
      <c r="D49" s="826">
        <v>-308211.59</v>
      </c>
      <c r="E49" s="425"/>
      <c r="F49" s="423">
        <f t="shared" si="2"/>
        <v>-15708.149999999965</v>
      </c>
      <c r="G49" s="424">
        <f>-D49-C49</f>
        <v>617837.76</v>
      </c>
    </row>
    <row r="50" spans="1:7" s="416" customFormat="1" ht="19.5" customHeight="1">
      <c r="A50" s="421" t="s">
        <v>424</v>
      </c>
      <c r="B50" s="826">
        <v>-7000</v>
      </c>
      <c r="C50" s="826">
        <v>-7000</v>
      </c>
      <c r="D50" s="826">
        <v>-7000</v>
      </c>
      <c r="E50" s="425"/>
      <c r="F50" s="423">
        <f t="shared" si="2"/>
        <v>0</v>
      </c>
      <c r="G50" s="424">
        <f>-D50-C50</f>
        <v>14000</v>
      </c>
    </row>
    <row r="51" spans="1:7" s="416" customFormat="1" ht="19.5" customHeight="1">
      <c r="A51" s="421" t="s">
        <v>425</v>
      </c>
      <c r="B51" s="826">
        <v>-8261.17</v>
      </c>
      <c r="C51" s="826">
        <v>-10263.72</v>
      </c>
      <c r="D51" s="826">
        <v>-10753.47</v>
      </c>
      <c r="E51" s="425"/>
      <c r="F51" s="430">
        <f t="shared" si="2"/>
        <v>-2002.5499999999993</v>
      </c>
      <c r="G51" s="424"/>
    </row>
    <row r="52" spans="1:7" s="416" customFormat="1" ht="19.5" customHeight="1">
      <c r="A52" s="421" t="s">
        <v>426</v>
      </c>
      <c r="B52" s="826">
        <v>0</v>
      </c>
      <c r="C52" s="827">
        <v>0</v>
      </c>
      <c r="D52" s="826"/>
      <c r="E52" s="425"/>
      <c r="F52" s="430">
        <f t="shared" si="2"/>
        <v>0</v>
      </c>
      <c r="G52" s="431"/>
    </row>
    <row r="53" spans="1:7" s="416" customFormat="1" ht="19.5" customHeight="1" hidden="1">
      <c r="A53" s="421" t="s">
        <v>348</v>
      </c>
      <c r="B53" s="826"/>
      <c r="C53" s="827"/>
      <c r="D53" s="826"/>
      <c r="E53" s="425"/>
      <c r="F53" s="430"/>
      <c r="G53" s="431"/>
    </row>
    <row r="54" spans="1:7" s="416" customFormat="1" ht="19.5" customHeight="1">
      <c r="A54" s="417" t="s">
        <v>796</v>
      </c>
      <c r="B54" s="824">
        <f>+B55+B56+B57+B58</f>
        <v>-2001113.0299999998</v>
      </c>
      <c r="C54" s="824">
        <f>+C55+C56+C57+C58</f>
        <v>-1979239.16</v>
      </c>
      <c r="D54" s="824">
        <f>+D55+D56+D57+D58</f>
        <v>-1934642.28</v>
      </c>
      <c r="E54" s="427"/>
      <c r="F54" s="419">
        <f>+C54-B54</f>
        <v>21873.86999999988</v>
      </c>
      <c r="G54" s="420">
        <f>+D54-C54</f>
        <v>44596.87999999989</v>
      </c>
    </row>
    <row r="55" spans="1:7" s="416" customFormat="1" ht="19.5" customHeight="1">
      <c r="A55" s="421" t="s">
        <v>427</v>
      </c>
      <c r="B55" s="826">
        <v>-1854682.88</v>
      </c>
      <c r="C55" s="826">
        <v>-1929718.55</v>
      </c>
      <c r="D55" s="826">
        <v>-1893915.05</v>
      </c>
      <c r="E55" s="425"/>
      <c r="F55" s="423">
        <f>+C55-B55</f>
        <v>-75035.67000000016</v>
      </c>
      <c r="G55" s="424">
        <f>-D55-C55</f>
        <v>3823633.6</v>
      </c>
    </row>
    <row r="56" spans="1:7" s="416" customFormat="1" ht="19.5" customHeight="1">
      <c r="A56" s="421" t="s">
        <v>428</v>
      </c>
      <c r="B56" s="826">
        <v>-25151.49</v>
      </c>
      <c r="C56" s="826">
        <v>-25670.68</v>
      </c>
      <c r="D56" s="826">
        <v>-25727.23</v>
      </c>
      <c r="E56" s="425"/>
      <c r="F56" s="423">
        <f>+C56-B56</f>
        <v>-519.1899999999987</v>
      </c>
      <c r="G56" s="424">
        <f>-D56-C56</f>
        <v>51397.91</v>
      </c>
    </row>
    <row r="57" spans="1:7" s="416" customFormat="1" ht="19.5" customHeight="1">
      <c r="A57" s="421" t="s">
        <v>797</v>
      </c>
      <c r="B57" s="826">
        <v>-121278.66</v>
      </c>
      <c r="C57" s="826">
        <v>-23849.93</v>
      </c>
      <c r="D57" s="826">
        <v>-15000</v>
      </c>
      <c r="E57" s="422"/>
      <c r="F57" s="423">
        <f>+C57-B57</f>
        <v>97428.73000000001</v>
      </c>
      <c r="G57" s="424">
        <f>-D57-C57</f>
        <v>38849.93</v>
      </c>
    </row>
    <row r="58" spans="1:7" s="416" customFormat="1" ht="19.5" customHeight="1">
      <c r="A58" s="421" t="s">
        <v>798</v>
      </c>
      <c r="B58" s="827">
        <v>0</v>
      </c>
      <c r="C58" s="827">
        <v>0</v>
      </c>
      <c r="D58" s="827">
        <v>0</v>
      </c>
      <c r="E58" s="432"/>
      <c r="F58" s="433"/>
      <c r="G58" s="424"/>
    </row>
    <row r="59" spans="1:7" s="416" customFormat="1" ht="19.5" customHeight="1">
      <c r="A59" s="417" t="s">
        <v>799</v>
      </c>
      <c r="B59" s="824">
        <f>SUM(B60:B62)</f>
        <v>-86589.99</v>
      </c>
      <c r="C59" s="824">
        <f>SUM(C60:C62)</f>
        <v>-61118.83</v>
      </c>
      <c r="D59" s="824">
        <f>SUM(D60:D62)</f>
        <v>-61200</v>
      </c>
      <c r="E59" s="427"/>
      <c r="F59" s="419">
        <f>+C59-B59</f>
        <v>25471.160000000003</v>
      </c>
      <c r="G59" s="420">
        <f>+D59-C59</f>
        <v>-81.16999999999825</v>
      </c>
    </row>
    <row r="60" spans="1:7" s="416" customFormat="1" ht="19.5" customHeight="1">
      <c r="A60" s="421" t="s">
        <v>539</v>
      </c>
      <c r="B60" s="827">
        <v>-2824.61</v>
      </c>
      <c r="C60" s="827">
        <v>-2356.48</v>
      </c>
      <c r="D60" s="827">
        <v>-2156.48</v>
      </c>
      <c r="E60" s="427"/>
      <c r="F60" s="419"/>
      <c r="G60" s="420"/>
    </row>
    <row r="61" spans="1:7" s="416" customFormat="1" ht="19.5" customHeight="1">
      <c r="A61" s="421" t="s">
        <v>540</v>
      </c>
      <c r="B61" s="827">
        <v>-83765.38</v>
      </c>
      <c r="C61" s="827">
        <f>-61118.83+2356.48</f>
        <v>-58762.35</v>
      </c>
      <c r="D61" s="827">
        <v>-59043.52</v>
      </c>
      <c r="E61" s="427"/>
      <c r="F61" s="419"/>
      <c r="G61" s="420"/>
    </row>
    <row r="62" spans="1:7" s="416" customFormat="1" ht="19.5" customHeight="1">
      <c r="A62" s="421" t="s">
        <v>545</v>
      </c>
      <c r="B62" s="827">
        <v>0</v>
      </c>
      <c r="C62" s="827">
        <v>0</v>
      </c>
      <c r="D62" s="827">
        <v>0</v>
      </c>
      <c r="E62" s="427"/>
      <c r="F62" s="419"/>
      <c r="G62" s="420"/>
    </row>
    <row r="63" spans="1:7" s="416" customFormat="1" ht="25.5" customHeight="1">
      <c r="A63" s="426" t="s">
        <v>800</v>
      </c>
      <c r="B63" s="827">
        <v>62293.06</v>
      </c>
      <c r="C63" s="827">
        <v>32243.73</v>
      </c>
      <c r="D63" s="827">
        <v>32243.73</v>
      </c>
      <c r="E63" s="427"/>
      <c r="F63" s="419">
        <f>+C63-B63</f>
        <v>-30049.329999999998</v>
      </c>
      <c r="G63" s="420">
        <f>+D63-C63</f>
        <v>0</v>
      </c>
    </row>
    <row r="64" spans="1:7" s="416" customFormat="1" ht="24.75" customHeight="1">
      <c r="A64" s="426" t="s">
        <v>801</v>
      </c>
      <c r="B64" s="827">
        <v>0</v>
      </c>
      <c r="C64" s="827">
        <v>0</v>
      </c>
      <c r="D64" s="827">
        <v>0</v>
      </c>
      <c r="E64" s="418"/>
      <c r="F64" s="419"/>
      <c r="G64" s="424"/>
    </row>
    <row r="65" spans="1:7" s="416" customFormat="1" ht="28.5" customHeight="1">
      <c r="A65" s="426" t="s">
        <v>802</v>
      </c>
      <c r="B65" s="824">
        <f>B66+B70</f>
        <v>0</v>
      </c>
      <c r="C65" s="824">
        <f>C66+C70</f>
        <v>0</v>
      </c>
      <c r="D65" s="824">
        <f>D66+D70</f>
        <v>0</v>
      </c>
      <c r="E65" s="427"/>
      <c r="F65" s="419">
        <f>+C65-B65</f>
        <v>0</v>
      </c>
      <c r="G65" s="420">
        <f>+D65-C65</f>
        <v>0</v>
      </c>
    </row>
    <row r="66" spans="1:7" s="416" customFormat="1" ht="19.5" customHeight="1">
      <c r="A66" s="421" t="s">
        <v>87</v>
      </c>
      <c r="B66" s="825">
        <f>SUM(B67:B69)</f>
        <v>0</v>
      </c>
      <c r="C66" s="825">
        <f>SUM(C67:C69)</f>
        <v>0</v>
      </c>
      <c r="D66" s="825">
        <f>SUM(D67:D69)</f>
        <v>0</v>
      </c>
      <c r="E66" s="422"/>
      <c r="F66" s="423"/>
      <c r="G66" s="424"/>
    </row>
    <row r="67" spans="1:7" s="416" customFormat="1" ht="19.5" customHeight="1">
      <c r="A67" s="421" t="s">
        <v>546</v>
      </c>
      <c r="B67" s="826">
        <v>0</v>
      </c>
      <c r="C67" s="827">
        <v>0</v>
      </c>
      <c r="D67" s="826">
        <v>0</v>
      </c>
      <c r="E67" s="422"/>
      <c r="F67" s="423"/>
      <c r="G67" s="424"/>
    </row>
    <row r="68" spans="1:7" s="416" customFormat="1" ht="19.5" customHeight="1">
      <c r="A68" s="421" t="s">
        <v>547</v>
      </c>
      <c r="B68" s="826">
        <v>0</v>
      </c>
      <c r="C68" s="827">
        <v>0</v>
      </c>
      <c r="D68" s="826">
        <v>0</v>
      </c>
      <c r="E68" s="422"/>
      <c r="F68" s="423"/>
      <c r="G68" s="424"/>
    </row>
    <row r="69" spans="1:7" s="416" customFormat="1" ht="19.5" customHeight="1">
      <c r="A69" s="421" t="s">
        <v>548</v>
      </c>
      <c r="B69" s="826">
        <v>0</v>
      </c>
      <c r="C69" s="827">
        <v>0</v>
      </c>
      <c r="D69" s="826">
        <v>0</v>
      </c>
      <c r="E69" s="422"/>
      <c r="F69" s="423"/>
      <c r="G69" s="424"/>
    </row>
    <row r="70" spans="1:7" s="416" customFormat="1" ht="19.5" customHeight="1">
      <c r="A70" s="421" t="s">
        <v>429</v>
      </c>
      <c r="B70" s="825">
        <f>SUM(B71:B73)</f>
        <v>0</v>
      </c>
      <c r="C70" s="825">
        <f>SUM(C71:C73)</f>
        <v>0</v>
      </c>
      <c r="D70" s="825">
        <f>SUM(D71:D73)</f>
        <v>0</v>
      </c>
      <c r="E70" s="425"/>
      <c r="F70" s="423">
        <f>+C70-B70</f>
        <v>0</v>
      </c>
      <c r="G70" s="424">
        <f>-D70-C70</f>
        <v>0</v>
      </c>
    </row>
    <row r="71" spans="1:7" s="416" customFormat="1" ht="19.5" customHeight="1">
      <c r="A71" s="421" t="s">
        <v>546</v>
      </c>
      <c r="B71" s="826">
        <v>0</v>
      </c>
      <c r="C71" s="826">
        <v>0</v>
      </c>
      <c r="D71" s="826">
        <v>0</v>
      </c>
      <c r="E71" s="425"/>
      <c r="F71" s="423"/>
      <c r="G71" s="424"/>
    </row>
    <row r="72" spans="1:7" s="416" customFormat="1" ht="19.5" customHeight="1">
      <c r="A72" s="421" t="s">
        <v>547</v>
      </c>
      <c r="B72" s="826">
        <v>0</v>
      </c>
      <c r="C72" s="826">
        <v>0</v>
      </c>
      <c r="D72" s="826">
        <v>0</v>
      </c>
      <c r="E72" s="425"/>
      <c r="F72" s="423"/>
      <c r="G72" s="424"/>
    </row>
    <row r="73" spans="1:7" s="416" customFormat="1" ht="19.5" customHeight="1">
      <c r="A73" s="421" t="s">
        <v>548</v>
      </c>
      <c r="B73" s="826">
        <v>0</v>
      </c>
      <c r="C73" s="826">
        <v>0</v>
      </c>
      <c r="D73" s="826">
        <v>0</v>
      </c>
      <c r="E73" s="425"/>
      <c r="F73" s="423"/>
      <c r="G73" s="424"/>
    </row>
    <row r="74" spans="1:7" s="416" customFormat="1" ht="27" customHeight="1">
      <c r="A74" s="426" t="s">
        <v>349</v>
      </c>
      <c r="B74" s="826"/>
      <c r="C74" s="826"/>
      <c r="D74" s="826"/>
      <c r="E74" s="425"/>
      <c r="F74" s="423"/>
      <c r="G74" s="424"/>
    </row>
    <row r="75" spans="1:7" s="416" customFormat="1" ht="27" customHeight="1">
      <c r="A75" s="426" t="s">
        <v>194</v>
      </c>
      <c r="B75" s="824">
        <f>SUM(B76:B78)</f>
        <v>0</v>
      </c>
      <c r="C75" s="824">
        <f>SUM(C76:C78)</f>
        <v>0</v>
      </c>
      <c r="D75" s="824">
        <f>SUM(D76:D78)</f>
        <v>0</v>
      </c>
      <c r="E75" s="425"/>
      <c r="F75" s="423"/>
      <c r="G75" s="424"/>
    </row>
    <row r="76" spans="1:7" s="416" customFormat="1" ht="19.5" customHeight="1">
      <c r="A76" s="421" t="s">
        <v>195</v>
      </c>
      <c r="B76" s="826">
        <v>0</v>
      </c>
      <c r="C76" s="826">
        <v>0</v>
      </c>
      <c r="D76" s="826">
        <v>0</v>
      </c>
      <c r="E76" s="425"/>
      <c r="F76" s="423"/>
      <c r="G76" s="424"/>
    </row>
    <row r="77" spans="1:7" s="416" customFormat="1" ht="19.5" customHeight="1">
      <c r="A77" s="421" t="s">
        <v>196</v>
      </c>
      <c r="B77" s="826">
        <v>0</v>
      </c>
      <c r="C77" s="826">
        <v>0</v>
      </c>
      <c r="D77" s="826">
        <v>0</v>
      </c>
      <c r="E77" s="425"/>
      <c r="F77" s="423"/>
      <c r="G77" s="424"/>
    </row>
    <row r="78" spans="1:7" s="416" customFormat="1" ht="19.5" customHeight="1">
      <c r="A78" s="421" t="s">
        <v>197</v>
      </c>
      <c r="B78" s="826">
        <v>0</v>
      </c>
      <c r="C78" s="826">
        <v>0</v>
      </c>
      <c r="D78" s="826">
        <v>0</v>
      </c>
      <c r="E78" s="425"/>
      <c r="F78" s="423"/>
      <c r="G78" s="424"/>
    </row>
    <row r="79" spans="1:7" s="416" customFormat="1" ht="29.25" customHeight="1">
      <c r="A79" s="426" t="s">
        <v>193</v>
      </c>
      <c r="B79" s="824">
        <f>SUM(B80:B81)</f>
        <v>90230.57</v>
      </c>
      <c r="C79" s="824">
        <f>SUM(C80:C81)</f>
        <v>1579.0300000000025</v>
      </c>
      <c r="D79" s="824">
        <f>SUM(D80:D81)</f>
        <v>81.85</v>
      </c>
      <c r="E79" s="425"/>
      <c r="F79" s="423">
        <f>+C79-B79</f>
        <v>-88651.54000000001</v>
      </c>
      <c r="G79" s="424">
        <f>-D79-C79</f>
        <v>-1660.8800000000024</v>
      </c>
    </row>
    <row r="80" spans="1:7" s="416" customFormat="1" ht="21.75" customHeight="1">
      <c r="A80" s="421" t="s">
        <v>628</v>
      </c>
      <c r="B80" s="827">
        <v>-15923.01</v>
      </c>
      <c r="C80" s="827">
        <f>-4479.19-18652.32</f>
        <v>-23131.51</v>
      </c>
      <c r="D80" s="827">
        <v>0</v>
      </c>
      <c r="E80" s="425"/>
      <c r="F80" s="423"/>
      <c r="G80" s="424"/>
    </row>
    <row r="81" spans="1:7" s="416" customFormat="1" ht="21" customHeight="1">
      <c r="A81" s="421" t="s">
        <v>629</v>
      </c>
      <c r="B81" s="827">
        <v>106153.58</v>
      </c>
      <c r="C81" s="827">
        <v>24710.54</v>
      </c>
      <c r="D81" s="827">
        <v>81.85</v>
      </c>
      <c r="E81" s="425"/>
      <c r="F81" s="423"/>
      <c r="G81" s="424"/>
    </row>
    <row r="82" spans="1:7" s="416" customFormat="1" ht="33" customHeight="1">
      <c r="A82" s="426" t="s">
        <v>198</v>
      </c>
      <c r="B82" s="824">
        <f>B12+B25+B28+B29+B34+B46+B54+B59+B63+B64+B65+B79+B74+B75</f>
        <v>-449278.9899999991</v>
      </c>
      <c r="C82" s="824">
        <f>C12+C25+C28+C29+C34+C46+C54+C59+C63+C64+C65+C79+C74+C75</f>
        <v>-506650.6899999996</v>
      </c>
      <c r="D82" s="824">
        <f>D12+D25+D28+D29+D34+D46+D54+D59+D63+D64+D65+D79+D74+D75</f>
        <v>-498876.3299999997</v>
      </c>
      <c r="E82" s="418"/>
      <c r="F82" s="419">
        <f>+C82-B82</f>
        <v>-57371.70000000048</v>
      </c>
      <c r="G82" s="420">
        <f>+D82-C82</f>
        <v>7774.35999999987</v>
      </c>
    </row>
    <row r="83" spans="1:7" s="416" customFormat="1" ht="27.75" customHeight="1">
      <c r="A83" s="426" t="s">
        <v>199</v>
      </c>
      <c r="B83" s="824">
        <f>SUM(B84+B87+B90)</f>
        <v>65.45</v>
      </c>
      <c r="C83" s="824">
        <f>SUM(C84+C87+C90)</f>
        <v>512.62</v>
      </c>
      <c r="D83" s="824">
        <f>SUM(D84+D87+D90)</f>
        <v>560</v>
      </c>
      <c r="E83" s="418"/>
      <c r="F83" s="419">
        <f>+C83-B83</f>
        <v>447.17</v>
      </c>
      <c r="G83" s="420">
        <f>+D83-C83</f>
        <v>47.379999999999995</v>
      </c>
    </row>
    <row r="84" spans="1:7" s="416" customFormat="1" ht="19.5" customHeight="1">
      <c r="A84" s="421" t="s">
        <v>803</v>
      </c>
      <c r="B84" s="825">
        <f>SUM(B85:B86)</f>
        <v>65.45</v>
      </c>
      <c r="C84" s="825">
        <f>SUM(C85:C86)</f>
        <v>0</v>
      </c>
      <c r="D84" s="825">
        <f>SUM(D85:D86)</f>
        <v>0</v>
      </c>
      <c r="E84" s="425"/>
      <c r="F84" s="430"/>
      <c r="G84" s="424"/>
    </row>
    <row r="85" spans="1:7" s="416" customFormat="1" ht="19.5" customHeight="1">
      <c r="A85" s="421" t="s">
        <v>804</v>
      </c>
      <c r="B85" s="826">
        <v>0</v>
      </c>
      <c r="C85" s="827">
        <v>0</v>
      </c>
      <c r="D85" s="826">
        <v>0</v>
      </c>
      <c r="E85" s="425"/>
      <c r="F85" s="430"/>
      <c r="G85" s="424"/>
    </row>
    <row r="86" spans="1:7" s="416" customFormat="1" ht="19.5" customHeight="1">
      <c r="A86" s="421" t="s">
        <v>805</v>
      </c>
      <c r="B86" s="826">
        <v>65.45</v>
      </c>
      <c r="C86" s="827">
        <v>0</v>
      </c>
      <c r="D86" s="826">
        <v>0</v>
      </c>
      <c r="E86" s="425"/>
      <c r="F86" s="430"/>
      <c r="G86" s="424"/>
    </row>
    <row r="87" spans="1:7" s="416" customFormat="1" ht="19.5" customHeight="1">
      <c r="A87" s="421" t="s">
        <v>430</v>
      </c>
      <c r="B87" s="825">
        <f>SUM(B88:B89)</f>
        <v>0</v>
      </c>
      <c r="C87" s="825">
        <f>SUM(C88:C89)</f>
        <v>512.62</v>
      </c>
      <c r="D87" s="825">
        <f>SUM(D88:D89)</f>
        <v>560</v>
      </c>
      <c r="E87" s="425"/>
      <c r="F87" s="423">
        <f>+C87-B87</f>
        <v>512.62</v>
      </c>
      <c r="G87" s="424">
        <f>-D87-C87</f>
        <v>-1072.62</v>
      </c>
    </row>
    <row r="88" spans="1:7" s="416" customFormat="1" ht="19.5" customHeight="1">
      <c r="A88" s="421" t="s">
        <v>806</v>
      </c>
      <c r="B88" s="826">
        <v>0</v>
      </c>
      <c r="C88" s="826">
        <v>0</v>
      </c>
      <c r="D88" s="826">
        <v>0</v>
      </c>
      <c r="E88" s="425"/>
      <c r="F88" s="430"/>
      <c r="G88" s="424"/>
    </row>
    <row r="89" spans="1:7" s="416" customFormat="1" ht="19.5" customHeight="1">
      <c r="A89" s="421" t="s">
        <v>807</v>
      </c>
      <c r="B89" s="826">
        <v>0</v>
      </c>
      <c r="C89" s="826">
        <v>512.62</v>
      </c>
      <c r="D89" s="826">
        <v>560</v>
      </c>
      <c r="E89" s="434"/>
      <c r="F89" s="423">
        <f>+C89-B89</f>
        <v>512.62</v>
      </c>
      <c r="G89" s="424">
        <f>-D89-C89</f>
        <v>-1072.62</v>
      </c>
    </row>
    <row r="90" spans="1:7" s="416" customFormat="1" ht="19.5" customHeight="1">
      <c r="A90" s="421" t="s">
        <v>350</v>
      </c>
      <c r="B90" s="826">
        <v>0</v>
      </c>
      <c r="C90" s="826">
        <v>0</v>
      </c>
      <c r="D90" s="826">
        <v>0</v>
      </c>
      <c r="E90" s="434"/>
      <c r="F90" s="423"/>
      <c r="G90" s="424"/>
    </row>
    <row r="91" spans="1:7" s="416" customFormat="1" ht="19.5" customHeight="1">
      <c r="A91" s="426" t="s">
        <v>200</v>
      </c>
      <c r="B91" s="824">
        <f>SUM(B92:B94)</f>
        <v>-39094.77</v>
      </c>
      <c r="C91" s="824">
        <f>SUM(C92:C94)</f>
        <v>-609.45</v>
      </c>
      <c r="D91" s="824">
        <f>D92+D93+D94</f>
        <v>-600</v>
      </c>
      <c r="E91" s="427"/>
      <c r="F91" s="419">
        <f>+C91-B91</f>
        <v>38485.32</v>
      </c>
      <c r="G91" s="420">
        <f>+D91-C91</f>
        <v>9.450000000000045</v>
      </c>
    </row>
    <row r="92" spans="1:7" s="416" customFormat="1" ht="19.5" customHeight="1">
      <c r="A92" s="421" t="s">
        <v>808</v>
      </c>
      <c r="B92" s="826">
        <v>0</v>
      </c>
      <c r="C92" s="827">
        <v>0</v>
      </c>
      <c r="D92" s="826">
        <v>0</v>
      </c>
      <c r="E92" s="425"/>
      <c r="F92" s="430"/>
      <c r="G92" s="424"/>
    </row>
    <row r="93" spans="1:7" s="416" customFormat="1" ht="19.5" customHeight="1">
      <c r="A93" s="421" t="s">
        <v>431</v>
      </c>
      <c r="B93" s="826">
        <v>-39094.77</v>
      </c>
      <c r="C93" s="826">
        <v>-609.45</v>
      </c>
      <c r="D93" s="826">
        <v>-600</v>
      </c>
      <c r="E93" s="434"/>
      <c r="F93" s="435"/>
      <c r="G93" s="424"/>
    </row>
    <row r="94" spans="1:7" s="416" customFormat="1" ht="19.5" customHeight="1">
      <c r="A94" s="421" t="s">
        <v>432</v>
      </c>
      <c r="B94" s="827">
        <v>0</v>
      </c>
      <c r="C94" s="827">
        <v>0</v>
      </c>
      <c r="D94" s="827">
        <v>0</v>
      </c>
      <c r="E94" s="436"/>
      <c r="F94" s="437"/>
      <c r="G94" s="424"/>
    </row>
    <row r="95" spans="1:7" s="416" customFormat="1" ht="24.75" customHeight="1">
      <c r="A95" s="426" t="s">
        <v>201</v>
      </c>
      <c r="B95" s="824">
        <f>B96+B97</f>
        <v>0</v>
      </c>
      <c r="C95" s="824">
        <f>C96+C97</f>
        <v>0</v>
      </c>
      <c r="D95" s="824">
        <f>D96+D97</f>
        <v>0</v>
      </c>
      <c r="E95" s="427"/>
      <c r="F95" s="419">
        <f>+C95-B95</f>
        <v>0</v>
      </c>
      <c r="G95" s="420">
        <f>+D95-C95</f>
        <v>0</v>
      </c>
    </row>
    <row r="96" spans="1:7" s="416" customFormat="1" ht="19.5" customHeight="1">
      <c r="A96" s="421" t="s">
        <v>809</v>
      </c>
      <c r="B96" s="827">
        <v>0</v>
      </c>
      <c r="C96" s="827">
        <v>0</v>
      </c>
      <c r="D96" s="827">
        <v>0</v>
      </c>
      <c r="E96" s="436"/>
      <c r="F96" s="437"/>
      <c r="G96" s="424"/>
    </row>
    <row r="97" spans="1:7" s="416" customFormat="1" ht="28.5" customHeight="1">
      <c r="A97" s="438" t="s">
        <v>433</v>
      </c>
      <c r="B97" s="827">
        <v>0</v>
      </c>
      <c r="C97" s="827">
        <v>0</v>
      </c>
      <c r="D97" s="827">
        <v>0</v>
      </c>
      <c r="E97" s="436"/>
      <c r="F97" s="437"/>
      <c r="G97" s="424"/>
    </row>
    <row r="98" spans="1:7" s="416" customFormat="1" ht="21.75" customHeight="1">
      <c r="A98" s="426" t="s">
        <v>202</v>
      </c>
      <c r="B98" s="827">
        <v>0</v>
      </c>
      <c r="C98" s="827">
        <v>0</v>
      </c>
      <c r="D98" s="827">
        <v>0</v>
      </c>
      <c r="E98" s="427"/>
      <c r="F98" s="428"/>
      <c r="G98" s="424"/>
    </row>
    <row r="99" spans="1:7" s="416" customFormat="1" ht="28.5" customHeight="1">
      <c r="A99" s="426" t="s">
        <v>203</v>
      </c>
      <c r="B99" s="824">
        <f>SUM(B100:B101)</f>
        <v>0</v>
      </c>
      <c r="C99" s="824">
        <f>SUM(C100:C101)</f>
        <v>0</v>
      </c>
      <c r="D99" s="824">
        <f>SUM(D100:D101)</f>
        <v>0</v>
      </c>
      <c r="E99" s="418"/>
      <c r="F99" s="419"/>
      <c r="G99" s="424"/>
    </row>
    <row r="100" spans="1:7" s="416" customFormat="1" ht="20.25" customHeight="1">
      <c r="A100" s="421" t="s">
        <v>810</v>
      </c>
      <c r="B100" s="827">
        <v>0</v>
      </c>
      <c r="C100" s="827">
        <v>0</v>
      </c>
      <c r="D100" s="827">
        <v>0</v>
      </c>
      <c r="E100" s="432"/>
      <c r="F100" s="433"/>
      <c r="G100" s="424"/>
    </row>
    <row r="101" spans="1:7" s="416" customFormat="1" ht="17.25" customHeight="1">
      <c r="A101" s="438" t="s">
        <v>811</v>
      </c>
      <c r="B101" s="827">
        <v>0</v>
      </c>
      <c r="C101" s="827">
        <v>0</v>
      </c>
      <c r="D101" s="827">
        <v>0</v>
      </c>
      <c r="E101" s="432"/>
      <c r="F101" s="433"/>
      <c r="G101" s="424"/>
    </row>
    <row r="102" spans="1:7" s="416" customFormat="1" ht="17.25" customHeight="1">
      <c r="A102" s="426" t="s">
        <v>206</v>
      </c>
      <c r="B102" s="824">
        <f>SUM(B103:B104)</f>
        <v>0</v>
      </c>
      <c r="C102" s="824">
        <f>SUM(C103:C104)</f>
        <v>0</v>
      </c>
      <c r="D102" s="824">
        <f>SUM(D103:D104)</f>
        <v>0</v>
      </c>
      <c r="E102" s="432"/>
      <c r="F102" s="433"/>
      <c r="G102" s="424"/>
    </row>
    <row r="103" spans="1:7" s="416" customFormat="1" ht="17.25" customHeight="1">
      <c r="A103" s="426" t="s">
        <v>351</v>
      </c>
      <c r="B103" s="827">
        <v>0</v>
      </c>
      <c r="C103" s="827">
        <v>0</v>
      </c>
      <c r="D103" s="827">
        <v>0</v>
      </c>
      <c r="E103" s="432"/>
      <c r="F103" s="433"/>
      <c r="G103" s="424"/>
    </row>
    <row r="104" spans="1:7" s="416" customFormat="1" ht="17.25" customHeight="1">
      <c r="A104" s="426" t="s">
        <v>352</v>
      </c>
      <c r="B104" s="827">
        <v>0</v>
      </c>
      <c r="C104" s="827">
        <v>0</v>
      </c>
      <c r="D104" s="827">
        <v>0</v>
      </c>
      <c r="E104" s="432"/>
      <c r="F104" s="433"/>
      <c r="G104" s="424"/>
    </row>
    <row r="105" spans="1:7" s="416" customFormat="1" ht="19.5" customHeight="1">
      <c r="A105" s="439" t="s">
        <v>392</v>
      </c>
      <c r="B105" s="824">
        <f>B83+B91+B95+B98+B99+B102</f>
        <v>-39029.32</v>
      </c>
      <c r="C105" s="824">
        <f>C83+C91+C95+C98+C99+C102</f>
        <v>-96.83000000000004</v>
      </c>
      <c r="D105" s="824">
        <f>D83+D91+D95+D98+D99+D102</f>
        <v>-40</v>
      </c>
      <c r="E105" s="418"/>
      <c r="F105" s="419">
        <f aca="true" t="shared" si="3" ref="F105:G111">+C105-B105</f>
        <v>38932.49</v>
      </c>
      <c r="G105" s="420">
        <f t="shared" si="3"/>
        <v>56.83000000000004</v>
      </c>
    </row>
    <row r="106" spans="1:7" s="416" customFormat="1" ht="19.5" customHeight="1">
      <c r="A106" s="439" t="s">
        <v>434</v>
      </c>
      <c r="B106" s="824">
        <f>B105+B82</f>
        <v>-488308.3099999991</v>
      </c>
      <c r="C106" s="828">
        <f>C105+C82</f>
        <v>-506747.5199999996</v>
      </c>
      <c r="D106" s="828">
        <f>D105+D82</f>
        <v>-498916.3299999997</v>
      </c>
      <c r="E106" s="440"/>
      <c r="F106" s="419">
        <f t="shared" si="3"/>
        <v>-18439.210000000487</v>
      </c>
      <c r="G106" s="420">
        <f t="shared" si="3"/>
        <v>7831.189999999886</v>
      </c>
    </row>
    <row r="107" spans="1:7" s="416" customFormat="1" ht="21.75" customHeight="1">
      <c r="A107" s="426" t="s">
        <v>204</v>
      </c>
      <c r="B107" s="829">
        <v>0</v>
      </c>
      <c r="C107" s="829">
        <v>0</v>
      </c>
      <c r="D107" s="829">
        <v>0</v>
      </c>
      <c r="E107" s="441"/>
      <c r="F107" s="419">
        <f t="shared" si="3"/>
        <v>0</v>
      </c>
      <c r="G107" s="420">
        <f t="shared" si="3"/>
        <v>0</v>
      </c>
    </row>
    <row r="108" spans="1:7" s="416" customFormat="1" ht="31.5" customHeight="1">
      <c r="A108" s="442" t="s">
        <v>812</v>
      </c>
      <c r="B108" s="824">
        <f>B106+B107</f>
        <v>-488308.3099999991</v>
      </c>
      <c r="C108" s="824">
        <f>C106+C107</f>
        <v>-506747.5199999996</v>
      </c>
      <c r="D108" s="824">
        <f>D106+D107</f>
        <v>-498916.3299999997</v>
      </c>
      <c r="E108" s="418"/>
      <c r="F108" s="419">
        <f t="shared" si="3"/>
        <v>-18439.210000000487</v>
      </c>
      <c r="G108" s="420">
        <f t="shared" si="3"/>
        <v>7831.189999999886</v>
      </c>
    </row>
    <row r="109" spans="1:7" s="416" customFormat="1" ht="19.5" customHeight="1">
      <c r="A109" s="439" t="s">
        <v>435</v>
      </c>
      <c r="B109" s="827">
        <v>0</v>
      </c>
      <c r="C109" s="827">
        <v>0</v>
      </c>
      <c r="D109" s="827">
        <v>0</v>
      </c>
      <c r="E109" s="432"/>
      <c r="F109" s="419">
        <f t="shared" si="3"/>
        <v>0</v>
      </c>
      <c r="G109" s="420">
        <f t="shared" si="3"/>
        <v>0</v>
      </c>
    </row>
    <row r="110" spans="1:7" s="416" customFormat="1" ht="29.25" customHeight="1">
      <c r="A110" s="426" t="s">
        <v>205</v>
      </c>
      <c r="B110" s="827">
        <v>0</v>
      </c>
      <c r="C110" s="827">
        <v>0</v>
      </c>
      <c r="D110" s="827">
        <v>0</v>
      </c>
      <c r="E110" s="432"/>
      <c r="F110" s="419">
        <f t="shared" si="3"/>
        <v>0</v>
      </c>
      <c r="G110" s="420">
        <f t="shared" si="3"/>
        <v>0</v>
      </c>
    </row>
    <row r="111" spans="1:7" s="416" customFormat="1" ht="39.75" customHeight="1">
      <c r="A111" s="443" t="s">
        <v>813</v>
      </c>
      <c r="B111" s="824">
        <f>B108+B110</f>
        <v>-488308.3099999991</v>
      </c>
      <c r="C111" s="824">
        <f>C108+C110</f>
        <v>-506747.5199999996</v>
      </c>
      <c r="D111" s="824">
        <f>D108+D109+D110</f>
        <v>-498916.3299999997</v>
      </c>
      <c r="E111" s="436"/>
      <c r="F111" s="419">
        <f t="shared" si="3"/>
        <v>-18439.210000000487</v>
      </c>
      <c r="G111" s="420">
        <f t="shared" si="3"/>
        <v>7831.189999999886</v>
      </c>
    </row>
    <row r="112" spans="2:7" ht="19.5" customHeight="1">
      <c r="B112" s="444"/>
      <c r="C112" s="444"/>
      <c r="D112" s="444"/>
      <c r="E112" s="444"/>
      <c r="F112" s="445"/>
      <c r="G112" s="446"/>
    </row>
    <row r="113" spans="1:6" ht="19.5" customHeight="1" hidden="1">
      <c r="A113" s="447" t="s">
        <v>513</v>
      </c>
      <c r="B113" s="448"/>
      <c r="C113" s="448"/>
      <c r="D113" s="448"/>
      <c r="E113" s="448"/>
      <c r="F113" s="449"/>
    </row>
    <row r="114" spans="1:6" ht="19.5" customHeight="1" hidden="1">
      <c r="A114" s="403" t="s">
        <v>814</v>
      </c>
      <c r="B114" s="444"/>
      <c r="C114" s="444"/>
      <c r="D114" s="444"/>
      <c r="E114" s="444"/>
      <c r="F114" s="445"/>
    </row>
    <row r="115" spans="2:6" ht="19.5" customHeight="1" hidden="1">
      <c r="B115" s="444"/>
      <c r="C115" s="444"/>
      <c r="D115" s="444"/>
      <c r="E115" s="444"/>
      <c r="F115" s="445"/>
    </row>
    <row r="116" spans="2:6" ht="19.5" customHeight="1" hidden="1">
      <c r="B116" s="444"/>
      <c r="C116" s="444"/>
      <c r="D116" s="444"/>
      <c r="E116" s="444"/>
      <c r="F116" s="445"/>
    </row>
    <row r="117" spans="2:6" ht="19.5" customHeight="1" hidden="1">
      <c r="B117" s="444"/>
      <c r="C117" s="444"/>
      <c r="D117" s="444"/>
      <c r="E117" s="444"/>
      <c r="F117" s="445"/>
    </row>
    <row r="118" spans="2:6" ht="19.5" customHeight="1" hidden="1">
      <c r="B118" s="444"/>
      <c r="C118" s="444"/>
      <c r="D118" s="444"/>
      <c r="E118" s="444"/>
      <c r="F118" s="445"/>
    </row>
    <row r="119" spans="2:6" ht="19.5" customHeight="1" hidden="1">
      <c r="B119" s="450">
        <f>+PASIVO!B25</f>
        <v>-488308.3099999991</v>
      </c>
      <c r="C119" s="450">
        <f>+PASIVO!C25</f>
        <v>-506747.5199999996</v>
      </c>
      <c r="D119" s="450">
        <f>+PASIVO!D25</f>
        <v>-498916.3299999997</v>
      </c>
      <c r="E119" s="450"/>
      <c r="F119" s="451"/>
    </row>
    <row r="120" spans="2:6" ht="19.5" customHeight="1" hidden="1">
      <c r="B120" s="452">
        <f>B111-B119</f>
        <v>0</v>
      </c>
      <c r="C120" s="452">
        <f>C111-C119</f>
        <v>0</v>
      </c>
      <c r="D120" s="452">
        <f>D111-D119</f>
        <v>0</v>
      </c>
      <c r="E120" s="452"/>
      <c r="F120" s="453"/>
    </row>
    <row r="121" spans="2:7" s="454" customFormat="1" ht="19.5" customHeight="1" hidden="1">
      <c r="B121" s="455"/>
      <c r="C121" s="455"/>
      <c r="D121" s="455"/>
      <c r="E121" s="455"/>
      <c r="F121" s="456"/>
      <c r="G121" s="457"/>
    </row>
    <row r="122" spans="1:6" ht="19.5" customHeight="1" hidden="1">
      <c r="A122" s="403" t="s">
        <v>22</v>
      </c>
      <c r="B122" s="452">
        <f>+PASIVO!B24</f>
        <v>839123</v>
      </c>
      <c r="C122" s="452">
        <f>+PASIVO!C24-PASIVO!B24</f>
        <v>289217.54000000004</v>
      </c>
      <c r="D122" s="452">
        <f>+PASIVO!D24-PASIVO!C24</f>
        <v>-464321.6499999999</v>
      </c>
      <c r="E122" s="452"/>
      <c r="F122" s="453"/>
    </row>
    <row r="123" spans="1:6" ht="19.5" customHeight="1" hidden="1">
      <c r="A123" s="403" t="s">
        <v>23</v>
      </c>
      <c r="B123" s="452">
        <f>+B111</f>
        <v>-488308.3099999991</v>
      </c>
      <c r="C123" s="452">
        <f>+C111</f>
        <v>-506747.5199999996</v>
      </c>
      <c r="D123" s="452">
        <f>+D111</f>
        <v>-498916.3299999997</v>
      </c>
      <c r="E123" s="452"/>
      <c r="F123" s="453"/>
    </row>
    <row r="124" spans="1:6" ht="19.5" customHeight="1" hidden="1">
      <c r="A124" s="403" t="s">
        <v>24</v>
      </c>
      <c r="B124" s="450">
        <f>SUM(B122:B123)</f>
        <v>350814.6900000009</v>
      </c>
      <c r="C124" s="450">
        <f>SUM(C122:C123)</f>
        <v>-217529.97999999957</v>
      </c>
      <c r="D124" s="450">
        <f>SUM(D122:D123)</f>
        <v>-963237.9799999996</v>
      </c>
      <c r="E124" s="450"/>
      <c r="F124" s="451"/>
    </row>
    <row r="125" spans="1:6" ht="19.5" customHeight="1" hidden="1">
      <c r="A125" s="458" t="s">
        <v>54</v>
      </c>
      <c r="B125" s="452">
        <f>+PASIVO!B24+B111</f>
        <v>350814.6900000009</v>
      </c>
      <c r="C125" s="452">
        <f>+PASIVO!C24+C111-PASIVO!B24</f>
        <v>-217529.97999999952</v>
      </c>
      <c r="D125" s="452">
        <f>+PASIVO!D24+D111-PASIVO!C24</f>
        <v>-963237.9799999996</v>
      </c>
      <c r="E125" s="452"/>
      <c r="F125" s="453"/>
    </row>
    <row r="126" spans="1:6" ht="19.5" customHeight="1" hidden="1">
      <c r="A126" s="403" t="s">
        <v>55</v>
      </c>
      <c r="B126" s="444">
        <v>29502.85</v>
      </c>
      <c r="C126" s="444">
        <v>0</v>
      </c>
      <c r="D126" s="444">
        <v>0</v>
      </c>
      <c r="E126" s="444"/>
      <c r="F126" s="445"/>
    </row>
    <row r="127" spans="1:6" ht="19.5" customHeight="1" hidden="1">
      <c r="A127" s="403" t="s">
        <v>49</v>
      </c>
      <c r="B127" s="459">
        <f>+B125-B126</f>
        <v>321311.8400000009</v>
      </c>
      <c r="C127" s="452">
        <f>+C125-C126</f>
        <v>-217529.97999999952</v>
      </c>
      <c r="D127" s="459">
        <f>+D125-D126</f>
        <v>-963237.9799999996</v>
      </c>
      <c r="E127" s="459"/>
      <c r="F127" s="460"/>
    </row>
    <row r="128" spans="2:6" ht="19.5" customHeight="1" hidden="1">
      <c r="B128" s="444"/>
      <c r="C128" s="444"/>
      <c r="D128" s="444"/>
      <c r="E128" s="444"/>
      <c r="F128" s="445"/>
    </row>
    <row r="129" spans="2:6" ht="19.5" customHeight="1" hidden="1">
      <c r="B129" s="444"/>
      <c r="C129" s="444"/>
      <c r="D129" s="444"/>
      <c r="E129" s="444"/>
      <c r="F129" s="445"/>
    </row>
    <row r="130" spans="2:6" ht="19.5" customHeight="1" hidden="1">
      <c r="B130" s="444"/>
      <c r="C130" s="444"/>
      <c r="D130" s="444"/>
      <c r="E130" s="444"/>
      <c r="F130" s="445"/>
    </row>
    <row r="131" spans="2:6" ht="19.5" customHeight="1" hidden="1">
      <c r="B131" s="444"/>
      <c r="C131" s="444"/>
      <c r="D131" s="444"/>
      <c r="E131" s="444"/>
      <c r="F131" s="445"/>
    </row>
    <row r="132" spans="2:6" ht="19.5" customHeight="1" hidden="1">
      <c r="B132" s="444"/>
      <c r="C132" s="444"/>
      <c r="D132" s="444"/>
      <c r="E132" s="444"/>
      <c r="F132" s="445"/>
    </row>
    <row r="133" spans="2:6" ht="19.5" customHeight="1" hidden="1">
      <c r="B133" s="444"/>
      <c r="C133" s="444"/>
      <c r="D133" s="444"/>
      <c r="E133" s="444"/>
      <c r="F133" s="445"/>
    </row>
    <row r="134" spans="2:6" ht="19.5" customHeight="1" hidden="1">
      <c r="B134" s="444"/>
      <c r="C134" s="444"/>
      <c r="D134" s="444"/>
      <c r="E134" s="444"/>
      <c r="F134" s="445"/>
    </row>
    <row r="135" spans="2:6" ht="19.5" customHeight="1" hidden="1">
      <c r="B135" s="444"/>
      <c r="C135" s="444"/>
      <c r="D135" s="444"/>
      <c r="E135" s="444"/>
      <c r="F135" s="445"/>
    </row>
    <row r="136" spans="2:6" ht="19.5" customHeight="1" hidden="1">
      <c r="B136" s="444"/>
      <c r="C136" s="444"/>
      <c r="D136" s="444"/>
      <c r="E136" s="444"/>
      <c r="F136" s="445"/>
    </row>
    <row r="137" spans="2:6" ht="19.5" customHeight="1" hidden="1">
      <c r="B137" s="444"/>
      <c r="C137" s="444"/>
      <c r="D137" s="444"/>
      <c r="E137" s="444"/>
      <c r="F137" s="445"/>
    </row>
    <row r="138" spans="2:6" ht="19.5" customHeight="1" hidden="1">
      <c r="B138" s="444"/>
      <c r="C138" s="444"/>
      <c r="D138" s="444"/>
      <c r="E138" s="444"/>
      <c r="F138" s="445"/>
    </row>
    <row r="139" spans="2:6" ht="19.5" customHeight="1" hidden="1">
      <c r="B139" s="444"/>
      <c r="C139" s="444"/>
      <c r="D139" s="444"/>
      <c r="E139" s="444"/>
      <c r="F139" s="445"/>
    </row>
    <row r="140" spans="2:6" ht="19.5" customHeight="1" hidden="1">
      <c r="B140" s="444"/>
      <c r="C140" s="444"/>
      <c r="D140" s="444"/>
      <c r="E140" s="444"/>
      <c r="F140" s="445"/>
    </row>
    <row r="141" spans="2:6" ht="19.5" customHeight="1" hidden="1">
      <c r="B141" s="444"/>
      <c r="C141" s="444"/>
      <c r="D141" s="444"/>
      <c r="E141" s="444"/>
      <c r="F141" s="445"/>
    </row>
    <row r="142" spans="2:6" ht="19.5" customHeight="1" hidden="1">
      <c r="B142" s="444"/>
      <c r="C142" s="444"/>
      <c r="D142" s="444"/>
      <c r="E142" s="444"/>
      <c r="F142" s="445"/>
    </row>
    <row r="143" spans="2:6" ht="19.5" customHeight="1">
      <c r="B143" s="444"/>
      <c r="C143" s="444"/>
      <c r="D143" s="444"/>
      <c r="E143" s="444"/>
      <c r="F143" s="445"/>
    </row>
    <row r="144" spans="2:6" ht="19.5" customHeight="1">
      <c r="B144" s="444"/>
      <c r="C144" s="444"/>
      <c r="D144" s="444"/>
      <c r="E144" s="444"/>
      <c r="F144" s="445"/>
    </row>
    <row r="145" spans="2:6" ht="19.5" customHeight="1">
      <c r="B145" s="444"/>
      <c r="C145" s="444"/>
      <c r="D145" s="444"/>
      <c r="E145" s="444"/>
      <c r="F145" s="445"/>
    </row>
    <row r="146" spans="2:6" ht="19.5" customHeight="1">
      <c r="B146" s="444"/>
      <c r="C146" s="444"/>
      <c r="D146" s="444"/>
      <c r="E146" s="444"/>
      <c r="F146" s="445"/>
    </row>
    <row r="147" spans="2:6" ht="19.5" customHeight="1">
      <c r="B147" s="444"/>
      <c r="C147" s="444"/>
      <c r="D147" s="444"/>
      <c r="E147" s="444"/>
      <c r="F147" s="445"/>
    </row>
    <row r="148" spans="2:6" ht="19.5" customHeight="1">
      <c r="B148" s="444"/>
      <c r="C148" s="444"/>
      <c r="D148" s="444"/>
      <c r="E148" s="444"/>
      <c r="F148" s="445"/>
    </row>
    <row r="149" spans="2:6" ht="19.5" customHeight="1">
      <c r="B149" s="444"/>
      <c r="C149" s="444"/>
      <c r="D149" s="444"/>
      <c r="E149" s="444"/>
      <c r="F149" s="445"/>
    </row>
    <row r="150" spans="2:6" ht="19.5" customHeight="1">
      <c r="B150" s="444"/>
      <c r="C150" s="444"/>
      <c r="D150" s="444"/>
      <c r="E150" s="444"/>
      <c r="F150" s="445"/>
    </row>
    <row r="151" spans="2:6" ht="19.5" customHeight="1">
      <c r="B151" s="444"/>
      <c r="C151" s="444"/>
      <c r="D151" s="444"/>
      <c r="E151" s="444"/>
      <c r="F151" s="445"/>
    </row>
    <row r="152" spans="2:6" ht="19.5" customHeight="1">
      <c r="B152" s="444"/>
      <c r="C152" s="444"/>
      <c r="D152" s="444"/>
      <c r="E152" s="444"/>
      <c r="F152" s="445"/>
    </row>
    <row r="153" spans="2:6" ht="19.5" customHeight="1">
      <c r="B153" s="444"/>
      <c r="C153" s="444"/>
      <c r="D153" s="444"/>
      <c r="E153" s="444"/>
      <c r="F153" s="445"/>
    </row>
    <row r="154" spans="2:6" ht="19.5" customHeight="1">
      <c r="B154" s="444"/>
      <c r="C154" s="444"/>
      <c r="D154" s="444"/>
      <c r="E154" s="444"/>
      <c r="F154" s="445"/>
    </row>
    <row r="155" spans="2:6" ht="19.5" customHeight="1">
      <c r="B155" s="444"/>
      <c r="C155" s="444"/>
      <c r="D155" s="444"/>
      <c r="E155" s="444"/>
      <c r="F155" s="445"/>
    </row>
    <row r="156" spans="2:6" ht="19.5" customHeight="1">
      <c r="B156" s="444"/>
      <c r="C156" s="444"/>
      <c r="D156" s="444"/>
      <c r="E156" s="444"/>
      <c r="F156" s="445"/>
    </row>
    <row r="157" spans="2:6" ht="19.5" customHeight="1">
      <c r="B157" s="444"/>
      <c r="C157" s="444"/>
      <c r="D157" s="444"/>
      <c r="E157" s="444"/>
      <c r="F157" s="445"/>
    </row>
    <row r="158" spans="2:6" ht="19.5" customHeight="1">
      <c r="B158" s="444"/>
      <c r="C158" s="444"/>
      <c r="D158" s="444"/>
      <c r="E158" s="444"/>
      <c r="F158" s="445"/>
    </row>
    <row r="159" spans="2:6" ht="19.5" customHeight="1">
      <c r="B159" s="444"/>
      <c r="C159" s="444"/>
      <c r="D159" s="444"/>
      <c r="E159" s="444"/>
      <c r="F159" s="445"/>
    </row>
    <row r="160" spans="2:6" ht="19.5" customHeight="1">
      <c r="B160" s="444"/>
      <c r="C160" s="444"/>
      <c r="D160" s="444"/>
      <c r="E160" s="444"/>
      <c r="F160" s="445"/>
    </row>
    <row r="161" spans="2:6" ht="19.5" customHeight="1">
      <c r="B161" s="444"/>
      <c r="C161" s="444"/>
      <c r="D161" s="444"/>
      <c r="E161" s="444"/>
      <c r="F161" s="445"/>
    </row>
    <row r="162" spans="2:6" ht="19.5" customHeight="1">
      <c r="B162" s="444"/>
      <c r="C162" s="444"/>
      <c r="D162" s="444"/>
      <c r="E162" s="444"/>
      <c r="F162" s="445"/>
    </row>
    <row r="163" spans="2:6" ht="19.5" customHeight="1">
      <c r="B163" s="444"/>
      <c r="C163" s="444"/>
      <c r="D163" s="444"/>
      <c r="E163" s="444"/>
      <c r="F163" s="445"/>
    </row>
    <row r="164" spans="2:6" ht="19.5" customHeight="1">
      <c r="B164" s="444"/>
      <c r="C164" s="444"/>
      <c r="D164" s="444"/>
      <c r="E164" s="444"/>
      <c r="F164" s="445"/>
    </row>
    <row r="165" spans="2:6" ht="19.5" customHeight="1">
      <c r="B165" s="444"/>
      <c r="C165" s="444"/>
      <c r="D165" s="444"/>
      <c r="E165" s="444"/>
      <c r="F165" s="445"/>
    </row>
    <row r="166" spans="2:6" ht="19.5" customHeight="1">
      <c r="B166" s="444"/>
      <c r="C166" s="444"/>
      <c r="D166" s="444"/>
      <c r="E166" s="444"/>
      <c r="F166" s="445"/>
    </row>
    <row r="167" spans="2:6" ht="19.5" customHeight="1">
      <c r="B167" s="444"/>
      <c r="C167" s="444"/>
      <c r="D167" s="444"/>
      <c r="E167" s="444"/>
      <c r="F167" s="445"/>
    </row>
    <row r="168" spans="2:6" ht="19.5" customHeight="1">
      <c r="B168" s="444"/>
      <c r="C168" s="444"/>
      <c r="D168" s="444"/>
      <c r="E168" s="444"/>
      <c r="F168" s="445"/>
    </row>
    <row r="169" spans="2:6" ht="19.5" customHeight="1">
      <c r="B169" s="444"/>
      <c r="C169" s="444"/>
      <c r="D169" s="444"/>
      <c r="E169" s="444"/>
      <c r="F169" s="445"/>
    </row>
    <row r="170" spans="2:6" ht="19.5" customHeight="1">
      <c r="B170" s="444"/>
      <c r="C170" s="444"/>
      <c r="D170" s="444"/>
      <c r="E170" s="444"/>
      <c r="F170" s="445"/>
    </row>
    <row r="171" spans="2:6" ht="19.5" customHeight="1">
      <c r="B171" s="444"/>
      <c r="C171" s="444"/>
      <c r="D171" s="444"/>
      <c r="E171" s="444"/>
      <c r="F171" s="445"/>
    </row>
    <row r="172" spans="2:6" ht="19.5" customHeight="1">
      <c r="B172" s="444"/>
      <c r="C172" s="444"/>
      <c r="D172" s="444"/>
      <c r="E172" s="444"/>
      <c r="F172" s="445"/>
    </row>
    <row r="173" spans="2:6" ht="19.5" customHeight="1">
      <c r="B173" s="444"/>
      <c r="C173" s="444"/>
      <c r="D173" s="444"/>
      <c r="E173" s="444"/>
      <c r="F173" s="445"/>
    </row>
    <row r="174" spans="2:6" ht="19.5" customHeight="1">
      <c r="B174" s="444"/>
      <c r="C174" s="444"/>
      <c r="D174" s="444"/>
      <c r="E174" s="444"/>
      <c r="F174" s="445"/>
    </row>
    <row r="175" spans="2:6" ht="19.5" customHeight="1">
      <c r="B175" s="444"/>
      <c r="C175" s="444"/>
      <c r="D175" s="444"/>
      <c r="E175" s="444"/>
      <c r="F175" s="445"/>
    </row>
    <row r="176" spans="2:6" ht="19.5" customHeight="1">
      <c r="B176" s="444"/>
      <c r="C176" s="444"/>
      <c r="D176" s="444"/>
      <c r="E176" s="444"/>
      <c r="F176" s="445"/>
    </row>
    <row r="177" spans="2:6" ht="19.5" customHeight="1">
      <c r="B177" s="444"/>
      <c r="C177" s="444"/>
      <c r="D177" s="444"/>
      <c r="E177" s="444"/>
      <c r="F177" s="445"/>
    </row>
    <row r="178" spans="2:6" ht="19.5" customHeight="1">
      <c r="B178" s="444"/>
      <c r="C178" s="444"/>
      <c r="D178" s="444"/>
      <c r="E178" s="444"/>
      <c r="F178" s="445"/>
    </row>
    <row r="179" spans="2:6" ht="19.5" customHeight="1">
      <c r="B179" s="444"/>
      <c r="C179" s="444"/>
      <c r="D179" s="444"/>
      <c r="E179" s="444"/>
      <c r="F179" s="445"/>
    </row>
    <row r="180" spans="2:6" ht="19.5" customHeight="1">
      <c r="B180" s="444"/>
      <c r="C180" s="444"/>
      <c r="D180" s="444"/>
      <c r="E180" s="444"/>
      <c r="F180" s="445"/>
    </row>
    <row r="181" spans="2:6" ht="19.5" customHeight="1">
      <c r="B181" s="444"/>
      <c r="C181" s="444"/>
      <c r="D181" s="444"/>
      <c r="E181" s="444"/>
      <c r="F181" s="445"/>
    </row>
    <row r="182" spans="2:6" ht="19.5" customHeight="1">
      <c r="B182" s="444"/>
      <c r="C182" s="444"/>
      <c r="D182" s="444"/>
      <c r="E182" s="444"/>
      <c r="F182" s="445"/>
    </row>
    <row r="183" spans="2:6" ht="19.5" customHeight="1">
      <c r="B183" s="444"/>
      <c r="C183" s="444"/>
      <c r="D183" s="444"/>
      <c r="E183" s="444"/>
      <c r="F183" s="445"/>
    </row>
    <row r="184" spans="2:6" ht="19.5" customHeight="1">
      <c r="B184" s="444"/>
      <c r="C184" s="444"/>
      <c r="D184" s="444"/>
      <c r="E184" s="444"/>
      <c r="F184" s="445"/>
    </row>
    <row r="185" spans="2:6" ht="19.5" customHeight="1">
      <c r="B185" s="444"/>
      <c r="C185" s="444"/>
      <c r="D185" s="444"/>
      <c r="E185" s="444"/>
      <c r="F185" s="445"/>
    </row>
    <row r="186" spans="2:6" ht="19.5" customHeight="1">
      <c r="B186" s="444"/>
      <c r="C186" s="444"/>
      <c r="D186" s="444"/>
      <c r="E186" s="444"/>
      <c r="F186" s="445"/>
    </row>
    <row r="187" spans="2:6" ht="19.5" customHeight="1">
      <c r="B187" s="444"/>
      <c r="C187" s="444"/>
      <c r="D187" s="444"/>
      <c r="E187" s="444"/>
      <c r="F187" s="445"/>
    </row>
    <row r="188" spans="2:6" ht="19.5" customHeight="1">
      <c r="B188" s="444"/>
      <c r="C188" s="444"/>
      <c r="D188" s="444"/>
      <c r="E188" s="444"/>
      <c r="F188" s="445"/>
    </row>
    <row r="189" spans="2:6" ht="19.5" customHeight="1">
      <c r="B189" s="444"/>
      <c r="C189" s="444"/>
      <c r="D189" s="444"/>
      <c r="E189" s="444"/>
      <c r="F189" s="445"/>
    </row>
    <row r="190" spans="2:6" ht="19.5" customHeight="1">
      <c r="B190" s="444"/>
      <c r="C190" s="444"/>
      <c r="D190" s="444"/>
      <c r="E190" s="444"/>
      <c r="F190" s="445"/>
    </row>
    <row r="191" spans="2:6" ht="19.5" customHeight="1">
      <c r="B191" s="444"/>
      <c r="C191" s="444"/>
      <c r="D191" s="444"/>
      <c r="E191" s="444"/>
      <c r="F191" s="445"/>
    </row>
    <row r="192" spans="2:6" ht="19.5" customHeight="1">
      <c r="B192" s="444"/>
      <c r="C192" s="444"/>
      <c r="D192" s="444"/>
      <c r="E192" s="444"/>
      <c r="F192" s="445"/>
    </row>
    <row r="193" spans="2:6" ht="19.5" customHeight="1">
      <c r="B193" s="444"/>
      <c r="C193" s="444"/>
      <c r="D193" s="444"/>
      <c r="E193" s="444"/>
      <c r="F193" s="445"/>
    </row>
    <row r="194" spans="2:6" ht="19.5" customHeight="1">
      <c r="B194" s="444"/>
      <c r="C194" s="444"/>
      <c r="D194" s="444"/>
      <c r="E194" s="444"/>
      <c r="F194" s="445"/>
    </row>
    <row r="195" spans="2:6" ht="19.5" customHeight="1">
      <c r="B195" s="444"/>
      <c r="C195" s="444"/>
      <c r="D195" s="444"/>
      <c r="E195" s="444"/>
      <c r="F195" s="445"/>
    </row>
    <row r="196" spans="2:6" ht="19.5" customHeight="1">
      <c r="B196" s="444"/>
      <c r="C196" s="444"/>
      <c r="D196" s="444"/>
      <c r="E196" s="444"/>
      <c r="F196" s="445"/>
    </row>
    <row r="197" spans="2:6" ht="19.5" customHeight="1">
      <c r="B197" s="444"/>
      <c r="C197" s="444"/>
      <c r="D197" s="444"/>
      <c r="E197" s="444"/>
      <c r="F197" s="445"/>
    </row>
    <row r="198" spans="2:6" ht="19.5" customHeight="1">
      <c r="B198" s="444"/>
      <c r="C198" s="444"/>
      <c r="D198" s="444"/>
      <c r="E198" s="444"/>
      <c r="F198" s="445"/>
    </row>
    <row r="199" spans="2:6" ht="19.5" customHeight="1">
      <c r="B199" s="444"/>
      <c r="C199" s="444"/>
      <c r="D199" s="444"/>
      <c r="E199" s="444"/>
      <c r="F199" s="445"/>
    </row>
    <row r="200" spans="2:6" ht="19.5" customHeight="1">
      <c r="B200" s="444"/>
      <c r="C200" s="444"/>
      <c r="D200" s="444"/>
      <c r="E200" s="444"/>
      <c r="F200" s="445"/>
    </row>
    <row r="201" spans="2:6" ht="19.5" customHeight="1">
      <c r="B201" s="444"/>
      <c r="C201" s="444"/>
      <c r="D201" s="444"/>
      <c r="E201" s="444"/>
      <c r="F201" s="445"/>
    </row>
    <row r="202" spans="2:6" ht="19.5" customHeight="1">
      <c r="B202" s="444"/>
      <c r="C202" s="444"/>
      <c r="D202" s="444"/>
      <c r="E202" s="444"/>
      <c r="F202" s="445"/>
    </row>
    <row r="203" spans="2:6" ht="19.5" customHeight="1">
      <c r="B203" s="444"/>
      <c r="C203" s="444"/>
      <c r="D203" s="444"/>
      <c r="E203" s="444"/>
      <c r="F203" s="445"/>
    </row>
    <row r="204" spans="2:6" ht="19.5" customHeight="1">
      <c r="B204" s="444"/>
      <c r="C204" s="444"/>
      <c r="D204" s="444"/>
      <c r="E204" s="444"/>
      <c r="F204" s="445"/>
    </row>
    <row r="205" spans="2:6" ht="19.5" customHeight="1">
      <c r="B205" s="444"/>
      <c r="C205" s="444"/>
      <c r="D205" s="444"/>
      <c r="E205" s="444"/>
      <c r="F205" s="445"/>
    </row>
    <row r="206" spans="2:6" ht="19.5" customHeight="1">
      <c r="B206" s="444"/>
      <c r="C206" s="444"/>
      <c r="D206" s="444"/>
      <c r="E206" s="444"/>
      <c r="F206" s="445"/>
    </row>
    <row r="207" spans="2:6" ht="19.5" customHeight="1">
      <c r="B207" s="444"/>
      <c r="C207" s="444"/>
      <c r="D207" s="444"/>
      <c r="E207" s="444"/>
      <c r="F207" s="445"/>
    </row>
    <row r="208" spans="2:6" ht="19.5" customHeight="1">
      <c r="B208" s="444"/>
      <c r="C208" s="444"/>
      <c r="D208" s="444"/>
      <c r="E208" s="444"/>
      <c r="F208" s="445"/>
    </row>
    <row r="209" spans="2:6" ht="19.5" customHeight="1">
      <c r="B209" s="444"/>
      <c r="C209" s="444"/>
      <c r="D209" s="444"/>
      <c r="E209" s="444"/>
      <c r="F209" s="445"/>
    </row>
    <row r="210" spans="2:6" ht="19.5" customHeight="1">
      <c r="B210" s="444"/>
      <c r="C210" s="444"/>
      <c r="D210" s="444"/>
      <c r="E210" s="444"/>
      <c r="F210" s="445"/>
    </row>
    <row r="211" spans="2:6" ht="19.5" customHeight="1">
      <c r="B211" s="444"/>
      <c r="C211" s="444"/>
      <c r="D211" s="444"/>
      <c r="E211" s="444"/>
      <c r="F211" s="445"/>
    </row>
    <row r="212" spans="2:6" ht="19.5" customHeight="1">
      <c r="B212" s="444"/>
      <c r="C212" s="444"/>
      <c r="D212" s="444"/>
      <c r="E212" s="444"/>
      <c r="F212" s="445"/>
    </row>
    <row r="213" spans="2:6" ht="19.5" customHeight="1">
      <c r="B213" s="444"/>
      <c r="C213" s="444"/>
      <c r="D213" s="444"/>
      <c r="E213" s="444"/>
      <c r="F213" s="445"/>
    </row>
    <row r="214" spans="2:6" ht="19.5" customHeight="1">
      <c r="B214" s="444"/>
      <c r="C214" s="444"/>
      <c r="D214" s="444"/>
      <c r="E214" s="444"/>
      <c r="F214" s="445"/>
    </row>
    <row r="215" spans="2:6" ht="19.5" customHeight="1">
      <c r="B215" s="444"/>
      <c r="C215" s="444"/>
      <c r="D215" s="444"/>
      <c r="E215" s="444"/>
      <c r="F215" s="445"/>
    </row>
    <row r="216" spans="2:6" ht="19.5" customHeight="1">
      <c r="B216" s="444"/>
      <c r="C216" s="444"/>
      <c r="D216" s="444"/>
      <c r="E216" s="444"/>
      <c r="F216" s="445"/>
    </row>
    <row r="217" spans="2:6" ht="19.5" customHeight="1">
      <c r="B217" s="444"/>
      <c r="C217" s="444"/>
      <c r="D217" s="444"/>
      <c r="E217" s="444"/>
      <c r="F217" s="445"/>
    </row>
    <row r="218" spans="2:6" ht="19.5" customHeight="1">
      <c r="B218" s="444"/>
      <c r="C218" s="444"/>
      <c r="D218" s="444"/>
      <c r="E218" s="444"/>
      <c r="F218" s="445"/>
    </row>
    <row r="219" spans="2:6" ht="19.5" customHeight="1">
      <c r="B219" s="444"/>
      <c r="C219" s="444"/>
      <c r="D219" s="444"/>
      <c r="E219" s="444"/>
      <c r="F219" s="445"/>
    </row>
    <row r="220" spans="2:6" ht="19.5" customHeight="1">
      <c r="B220" s="444"/>
      <c r="C220" s="444"/>
      <c r="D220" s="444"/>
      <c r="E220" s="444"/>
      <c r="F220" s="445"/>
    </row>
    <row r="221" spans="2:6" ht="19.5" customHeight="1">
      <c r="B221" s="444"/>
      <c r="C221" s="444"/>
      <c r="D221" s="444"/>
      <c r="E221" s="444"/>
      <c r="F221" s="445"/>
    </row>
    <row r="222" spans="2:6" ht="19.5" customHeight="1">
      <c r="B222" s="444"/>
      <c r="C222" s="444"/>
      <c r="D222" s="444"/>
      <c r="E222" s="444"/>
      <c r="F222" s="445"/>
    </row>
    <row r="223" spans="2:6" ht="19.5" customHeight="1">
      <c r="B223" s="444"/>
      <c r="C223" s="444"/>
      <c r="D223" s="444"/>
      <c r="E223" s="444"/>
      <c r="F223" s="445"/>
    </row>
    <row r="224" spans="2:6" ht="19.5" customHeight="1">
      <c r="B224" s="444"/>
      <c r="C224" s="444"/>
      <c r="D224" s="444"/>
      <c r="E224" s="444"/>
      <c r="F224" s="445"/>
    </row>
    <row r="225" spans="2:6" ht="19.5" customHeight="1">
      <c r="B225" s="444"/>
      <c r="C225" s="444"/>
      <c r="D225" s="444"/>
      <c r="E225" s="444"/>
      <c r="F225" s="445"/>
    </row>
    <row r="226" spans="2:6" ht="19.5" customHeight="1">
      <c r="B226" s="444"/>
      <c r="C226" s="444"/>
      <c r="D226" s="444"/>
      <c r="E226" s="444"/>
      <c r="F226" s="445"/>
    </row>
    <row r="227" spans="2:6" ht="19.5" customHeight="1">
      <c r="B227" s="444"/>
      <c r="C227" s="444"/>
      <c r="D227" s="444"/>
      <c r="E227" s="444"/>
      <c r="F227" s="445"/>
    </row>
    <row r="228" spans="2:6" ht="19.5" customHeight="1">
      <c r="B228" s="444"/>
      <c r="C228" s="444"/>
      <c r="D228" s="444"/>
      <c r="E228" s="444"/>
      <c r="F228" s="445"/>
    </row>
    <row r="229" spans="2:6" ht="19.5" customHeight="1">
      <c r="B229" s="444"/>
      <c r="C229" s="444"/>
      <c r="D229" s="444"/>
      <c r="E229" s="444"/>
      <c r="F229" s="445"/>
    </row>
    <row r="230" spans="2:6" ht="19.5" customHeight="1">
      <c r="B230" s="444"/>
      <c r="C230" s="444"/>
      <c r="D230" s="444"/>
      <c r="E230" s="444"/>
      <c r="F230" s="445"/>
    </row>
    <row r="231" spans="2:6" ht="19.5" customHeight="1">
      <c r="B231" s="444"/>
      <c r="C231" s="444"/>
      <c r="D231" s="444"/>
      <c r="E231" s="444"/>
      <c r="F231" s="445"/>
    </row>
    <row r="232" spans="2:6" ht="19.5" customHeight="1">
      <c r="B232" s="444"/>
      <c r="C232" s="444"/>
      <c r="D232" s="444"/>
      <c r="E232" s="444"/>
      <c r="F232" s="445"/>
    </row>
    <row r="233" spans="2:6" ht="19.5" customHeight="1">
      <c r="B233" s="444"/>
      <c r="C233" s="444"/>
      <c r="D233" s="444"/>
      <c r="E233" s="444"/>
      <c r="F233" s="445"/>
    </row>
    <row r="234" spans="2:6" ht="19.5" customHeight="1">
      <c r="B234" s="444"/>
      <c r="C234" s="444"/>
      <c r="D234" s="444"/>
      <c r="E234" s="444"/>
      <c r="F234" s="445"/>
    </row>
    <row r="235" spans="2:6" ht="19.5" customHeight="1">
      <c r="B235" s="444"/>
      <c r="C235" s="444"/>
      <c r="D235" s="444"/>
      <c r="E235" s="444"/>
      <c r="F235" s="445"/>
    </row>
    <row r="236" spans="2:6" ht="19.5" customHeight="1">
      <c r="B236" s="444"/>
      <c r="C236" s="444"/>
      <c r="D236" s="444"/>
      <c r="E236" s="444"/>
      <c r="F236" s="445"/>
    </row>
    <row r="237" spans="2:6" ht="19.5" customHeight="1">
      <c r="B237" s="444"/>
      <c r="C237" s="444"/>
      <c r="D237" s="444"/>
      <c r="E237" s="444"/>
      <c r="F237" s="445"/>
    </row>
    <row r="238" spans="2:6" ht="19.5" customHeight="1">
      <c r="B238" s="444"/>
      <c r="C238" s="444"/>
      <c r="D238" s="444"/>
      <c r="E238" s="444"/>
      <c r="F238" s="445"/>
    </row>
    <row r="239" spans="2:6" ht="19.5" customHeight="1">
      <c r="B239" s="444"/>
      <c r="C239" s="444"/>
      <c r="D239" s="444"/>
      <c r="E239" s="444"/>
      <c r="F239" s="445"/>
    </row>
    <row r="240" spans="2:6" ht="19.5" customHeight="1">
      <c r="B240" s="444"/>
      <c r="C240" s="444"/>
      <c r="D240" s="444"/>
      <c r="E240" s="444"/>
      <c r="F240" s="445"/>
    </row>
    <row r="241" spans="2:6" ht="19.5" customHeight="1">
      <c r="B241" s="444"/>
      <c r="C241" s="444"/>
      <c r="D241" s="444"/>
      <c r="E241" s="444"/>
      <c r="F241" s="445"/>
    </row>
    <row r="242" spans="2:6" ht="19.5" customHeight="1">
      <c r="B242" s="444"/>
      <c r="C242" s="444"/>
      <c r="D242" s="444"/>
      <c r="E242" s="444"/>
      <c r="F242" s="445"/>
    </row>
    <row r="243" spans="2:6" ht="19.5" customHeight="1">
      <c r="B243" s="444"/>
      <c r="C243" s="444"/>
      <c r="D243" s="444"/>
      <c r="E243" s="444"/>
      <c r="F243" s="445"/>
    </row>
    <row r="244" spans="2:6" ht="19.5" customHeight="1">
      <c r="B244" s="444"/>
      <c r="C244" s="444"/>
      <c r="D244" s="444"/>
      <c r="E244" s="444"/>
      <c r="F244" s="445"/>
    </row>
    <row r="245" spans="2:6" ht="19.5" customHeight="1">
      <c r="B245" s="444"/>
      <c r="C245" s="444"/>
      <c r="D245" s="444"/>
      <c r="E245" s="444"/>
      <c r="F245" s="445"/>
    </row>
    <row r="246" spans="2:6" ht="19.5" customHeight="1">
      <c r="B246" s="444"/>
      <c r="C246" s="444"/>
      <c r="D246" s="444"/>
      <c r="E246" s="444"/>
      <c r="F246" s="445"/>
    </row>
    <row r="247" spans="2:6" ht="19.5" customHeight="1">
      <c r="B247" s="444"/>
      <c r="C247" s="444"/>
      <c r="D247" s="444"/>
      <c r="E247" s="444"/>
      <c r="F247" s="445"/>
    </row>
    <row r="248" spans="2:6" ht="19.5" customHeight="1">
      <c r="B248" s="444"/>
      <c r="C248" s="444"/>
      <c r="D248" s="444"/>
      <c r="E248" s="444"/>
      <c r="F248" s="445"/>
    </row>
    <row r="249" spans="2:6" ht="19.5" customHeight="1">
      <c r="B249" s="444"/>
      <c r="C249" s="444"/>
      <c r="D249" s="444"/>
      <c r="E249" s="444"/>
      <c r="F249" s="445"/>
    </row>
    <row r="250" spans="2:6" ht="19.5" customHeight="1">
      <c r="B250" s="444"/>
      <c r="C250" s="444"/>
      <c r="D250" s="444"/>
      <c r="E250" s="444"/>
      <c r="F250" s="445"/>
    </row>
    <row r="251" spans="2:6" ht="19.5" customHeight="1">
      <c r="B251" s="444"/>
      <c r="C251" s="444"/>
      <c r="D251" s="444"/>
      <c r="E251" s="444"/>
      <c r="F251" s="445"/>
    </row>
    <row r="252" spans="2:6" ht="19.5" customHeight="1">
      <c r="B252" s="444"/>
      <c r="C252" s="444"/>
      <c r="D252" s="444"/>
      <c r="E252" s="444"/>
      <c r="F252" s="445"/>
    </row>
    <row r="253" spans="2:6" ht="19.5" customHeight="1">
      <c r="B253" s="444"/>
      <c r="C253" s="444"/>
      <c r="D253" s="444"/>
      <c r="E253" s="444"/>
      <c r="F253" s="445"/>
    </row>
    <row r="254" spans="2:6" ht="19.5" customHeight="1">
      <c r="B254" s="444"/>
      <c r="C254" s="444"/>
      <c r="D254" s="444"/>
      <c r="E254" s="444"/>
      <c r="F254" s="445"/>
    </row>
    <row r="255" spans="2:6" ht="19.5" customHeight="1">
      <c r="B255" s="444"/>
      <c r="C255" s="444"/>
      <c r="D255" s="444"/>
      <c r="E255" s="444"/>
      <c r="F255" s="445"/>
    </row>
    <row r="256" spans="2:6" ht="19.5" customHeight="1">
      <c r="B256" s="444"/>
      <c r="C256" s="444"/>
      <c r="D256" s="444"/>
      <c r="E256" s="444"/>
      <c r="F256" s="445"/>
    </row>
    <row r="257" spans="2:6" ht="19.5" customHeight="1">
      <c r="B257" s="444"/>
      <c r="C257" s="444"/>
      <c r="D257" s="444"/>
      <c r="E257" s="444"/>
      <c r="F257" s="445"/>
    </row>
    <row r="258" spans="2:6" ht="19.5" customHeight="1">
      <c r="B258" s="444"/>
      <c r="C258" s="444"/>
      <c r="D258" s="444"/>
      <c r="E258" s="444"/>
      <c r="F258" s="445"/>
    </row>
    <row r="259" spans="2:6" ht="19.5" customHeight="1">
      <c r="B259" s="444"/>
      <c r="C259" s="444"/>
      <c r="D259" s="444"/>
      <c r="E259" s="444"/>
      <c r="F259" s="445"/>
    </row>
    <row r="260" spans="2:6" ht="19.5" customHeight="1">
      <c r="B260" s="444"/>
      <c r="C260" s="444"/>
      <c r="D260" s="444"/>
      <c r="E260" s="444"/>
      <c r="F260" s="445"/>
    </row>
    <row r="261" spans="2:6" ht="19.5" customHeight="1">
      <c r="B261" s="444"/>
      <c r="C261" s="444"/>
      <c r="D261" s="444"/>
      <c r="E261" s="444"/>
      <c r="F261" s="445"/>
    </row>
    <row r="262" spans="2:6" ht="19.5" customHeight="1">
      <c r="B262" s="444"/>
      <c r="C262" s="444"/>
      <c r="D262" s="444"/>
      <c r="E262" s="444"/>
      <c r="F262" s="445"/>
    </row>
    <row r="263" spans="2:6" ht="19.5" customHeight="1">
      <c r="B263" s="444"/>
      <c r="C263" s="444"/>
      <c r="D263" s="444"/>
      <c r="E263" s="444"/>
      <c r="F263" s="445"/>
    </row>
    <row r="264" spans="2:6" ht="19.5" customHeight="1">
      <c r="B264" s="444"/>
      <c r="C264" s="444"/>
      <c r="D264" s="444"/>
      <c r="E264" s="444"/>
      <c r="F264" s="445"/>
    </row>
    <row r="265" spans="2:6" ht="19.5" customHeight="1">
      <c r="B265" s="444"/>
      <c r="C265" s="444"/>
      <c r="D265" s="444"/>
      <c r="E265" s="444"/>
      <c r="F265" s="445"/>
    </row>
    <row r="266" spans="2:6" ht="19.5" customHeight="1">
      <c r="B266" s="444"/>
      <c r="C266" s="444"/>
      <c r="D266" s="444"/>
      <c r="E266" s="444"/>
      <c r="F266" s="445"/>
    </row>
    <row r="267" spans="2:6" ht="19.5" customHeight="1">
      <c r="B267" s="444"/>
      <c r="C267" s="444"/>
      <c r="D267" s="444"/>
      <c r="E267" s="444"/>
      <c r="F267" s="445"/>
    </row>
    <row r="268" spans="2:6" ht="19.5" customHeight="1">
      <c r="B268" s="444"/>
      <c r="C268" s="444"/>
      <c r="D268" s="444"/>
      <c r="E268" s="444"/>
      <c r="F268" s="445"/>
    </row>
    <row r="269" spans="2:6" ht="19.5" customHeight="1">
      <c r="B269" s="444"/>
      <c r="C269" s="444"/>
      <c r="D269" s="444"/>
      <c r="E269" s="444"/>
      <c r="F269" s="445"/>
    </row>
    <row r="270" spans="2:6" ht="19.5" customHeight="1">
      <c r="B270" s="444"/>
      <c r="C270" s="444"/>
      <c r="D270" s="444"/>
      <c r="E270" s="444"/>
      <c r="F270" s="445"/>
    </row>
    <row r="271" spans="2:6" ht="19.5" customHeight="1">
      <c r="B271" s="444"/>
      <c r="C271" s="444"/>
      <c r="D271" s="444"/>
      <c r="E271" s="444"/>
      <c r="F271" s="445"/>
    </row>
    <row r="272" spans="2:6" ht="19.5" customHeight="1">
      <c r="B272" s="444"/>
      <c r="C272" s="444"/>
      <c r="D272" s="444"/>
      <c r="E272" s="444"/>
      <c r="F272" s="445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5511811023622047" right="0.2362204724409449" top="0.32" bottom="0.67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Q552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90" bestFit="1" customWidth="1"/>
    <col min="2" max="2" width="17.421875" style="490" customWidth="1"/>
    <col min="3" max="3" width="19.8515625" style="490" customWidth="1"/>
    <col min="4" max="4" width="17.8515625" style="491" customWidth="1"/>
    <col min="5" max="5" width="1.7109375" style="492" customWidth="1"/>
    <col min="6" max="12" width="0" style="490" hidden="1" customWidth="1"/>
    <col min="13" max="13" width="12.28125" style="813" customWidth="1"/>
    <col min="14" max="16" width="10.7109375" style="813" customWidth="1"/>
    <col min="17" max="17" width="10.7109375" style="817" customWidth="1"/>
    <col min="18" max="16384" width="10.7109375" style="490" customWidth="1"/>
  </cols>
  <sheetData>
    <row r="1" spans="1:3" ht="12.75">
      <c r="A1" s="403"/>
      <c r="B1" s="762" t="s">
        <v>481</v>
      </c>
      <c r="C1" s="403"/>
    </row>
    <row r="2" spans="1:3" ht="12.75">
      <c r="A2" s="403"/>
      <c r="B2" s="763" t="s">
        <v>482</v>
      </c>
      <c r="C2" s="403"/>
    </row>
    <row r="3" spans="1:3" ht="12.75">
      <c r="A3" s="403"/>
      <c r="B3" s="403"/>
      <c r="C3" s="403"/>
    </row>
    <row r="4" spans="1:3" ht="12.75">
      <c r="A4" s="759" t="s">
        <v>319</v>
      </c>
      <c r="B4" s="764">
        <v>42339</v>
      </c>
      <c r="C4" s="403"/>
    </row>
    <row r="5" spans="1:3" ht="12.75">
      <c r="A5" s="759" t="s">
        <v>480</v>
      </c>
      <c r="B5" s="765" t="s">
        <v>483</v>
      </c>
      <c r="C5" s="403"/>
    </row>
    <row r="7" spans="1:17" s="462" customFormat="1" ht="49.5" customHeight="1">
      <c r="A7" s="970" t="s">
        <v>91</v>
      </c>
      <c r="B7" s="970"/>
      <c r="C7" s="970"/>
      <c r="D7" s="399">
        <f>CPYG!D7</f>
        <v>2016</v>
      </c>
      <c r="E7" s="400"/>
      <c r="M7" s="814"/>
      <c r="N7" s="814"/>
      <c r="O7" s="814"/>
      <c r="P7" s="814"/>
      <c r="Q7" s="818"/>
    </row>
    <row r="8" spans="1:17" s="462" customFormat="1" ht="37.5" customHeight="1">
      <c r="A8" s="971" t="str">
        <f>CPYG!A8</f>
        <v>EMPRESA PÚBLICA:  INSTITUCIÓN FERIAL DE TENERIFE, S.A.</v>
      </c>
      <c r="B8" s="972"/>
      <c r="C8" s="973"/>
      <c r="D8" s="404" t="s">
        <v>92</v>
      </c>
      <c r="E8" s="405"/>
      <c r="M8" s="814"/>
      <c r="N8" s="814"/>
      <c r="O8" s="814"/>
      <c r="P8" s="814"/>
      <c r="Q8" s="818"/>
    </row>
    <row r="9" spans="1:17" s="462" customFormat="1" ht="24.75" customHeight="1">
      <c r="A9" s="974" t="s">
        <v>484</v>
      </c>
      <c r="B9" s="974"/>
      <c r="C9" s="974"/>
      <c r="D9" s="974"/>
      <c r="E9" s="463"/>
      <c r="M9" s="868"/>
      <c r="N9" s="868"/>
      <c r="O9" s="868"/>
      <c r="P9" s="868"/>
      <c r="Q9" s="818"/>
    </row>
    <row r="10" spans="1:17" s="462" customFormat="1" ht="40.5" customHeight="1">
      <c r="A10" s="464" t="s">
        <v>92</v>
      </c>
      <c r="B10" s="465" t="s">
        <v>595</v>
      </c>
      <c r="C10" s="466" t="s">
        <v>597</v>
      </c>
      <c r="D10" s="466" t="s">
        <v>598</v>
      </c>
      <c r="E10" s="467"/>
      <c r="M10" s="869" t="s">
        <v>258</v>
      </c>
      <c r="N10" s="868"/>
      <c r="O10" s="868"/>
      <c r="P10" s="868"/>
      <c r="Q10" s="818"/>
    </row>
    <row r="11" spans="1:17" s="462" customFormat="1" ht="19.5" customHeight="1">
      <c r="A11" s="468" t="s">
        <v>238</v>
      </c>
      <c r="B11" s="537">
        <f>B12+B17+B21+B24+B25+B26+B27</f>
        <v>1438385.92</v>
      </c>
      <c r="C11" s="537">
        <f>C12+C17+C21+C24+C25+C26+C27</f>
        <v>1339786.66</v>
      </c>
      <c r="D11" s="537">
        <f>D12+D17+D21+D24+D25+D26+D27</f>
        <v>1236228.24</v>
      </c>
      <c r="E11" s="469"/>
      <c r="M11" s="870">
        <f>+D11-C11</f>
        <v>-103558.41999999993</v>
      </c>
      <c r="N11" s="868"/>
      <c r="O11" s="868"/>
      <c r="P11" s="868"/>
      <c r="Q11" s="818"/>
    </row>
    <row r="12" spans="1:17" s="462" customFormat="1" ht="19.5" customHeight="1">
      <c r="A12" s="468" t="s">
        <v>122</v>
      </c>
      <c r="B12" s="537">
        <f>SUM(B13:B16)</f>
        <v>5529.450000000004</v>
      </c>
      <c r="C12" s="537">
        <f>SUM(C13:C16)</f>
        <v>20739.22</v>
      </c>
      <c r="D12" s="537">
        <f>SUM(D13:D16)</f>
        <v>18957.74</v>
      </c>
      <c r="E12" s="470"/>
      <c r="M12" s="871">
        <f>+D12-C12</f>
        <v>-1781.4799999999996</v>
      </c>
      <c r="N12" s="868"/>
      <c r="O12" s="871">
        <f>2156.48+M12</f>
        <v>375.00000000000045</v>
      </c>
      <c r="P12" s="868"/>
      <c r="Q12" s="819"/>
    </row>
    <row r="13" spans="1:17" s="462" customFormat="1" ht="19.5" customHeight="1">
      <c r="A13" s="471" t="s">
        <v>241</v>
      </c>
      <c r="B13" s="580">
        <v>0</v>
      </c>
      <c r="C13" s="580">
        <v>0</v>
      </c>
      <c r="D13" s="580">
        <v>0</v>
      </c>
      <c r="E13" s="470"/>
      <c r="M13" s="868"/>
      <c r="N13" s="868"/>
      <c r="O13" s="868"/>
      <c r="P13" s="868"/>
      <c r="Q13" s="820"/>
    </row>
    <row r="14" spans="1:17" s="462" customFormat="1" ht="19.5" customHeight="1">
      <c r="A14" s="471" t="s">
        <v>240</v>
      </c>
      <c r="B14" s="580">
        <f>37754.68-35206.24</f>
        <v>2548.4400000000023</v>
      </c>
      <c r="C14" s="580">
        <f>18000+2548.44-2356.48</f>
        <v>18191.96</v>
      </c>
      <c r="D14" s="580">
        <v>16524.38</v>
      </c>
      <c r="E14" s="470"/>
      <c r="M14" s="868"/>
      <c r="N14" s="868"/>
      <c r="O14" s="868"/>
      <c r="P14" s="868"/>
      <c r="Q14" s="818"/>
    </row>
    <row r="15" spans="1:17" s="462" customFormat="1" ht="19.5" customHeight="1">
      <c r="A15" s="471" t="s">
        <v>239</v>
      </c>
      <c r="B15" s="580">
        <v>0</v>
      </c>
      <c r="C15" s="580">
        <v>0</v>
      </c>
      <c r="D15" s="580">
        <v>0</v>
      </c>
      <c r="E15" s="470"/>
      <c r="M15" s="868"/>
      <c r="N15" s="868"/>
      <c r="O15" s="868"/>
      <c r="P15" s="868"/>
      <c r="Q15" s="818"/>
    </row>
    <row r="16" spans="1:17" s="462" customFormat="1" ht="19.5" customHeight="1">
      <c r="A16" s="471" t="s">
        <v>490</v>
      </c>
      <c r="B16" s="580">
        <f>44558.16-41577.15</f>
        <v>2981.010000000002</v>
      </c>
      <c r="C16" s="580">
        <v>2547.26</v>
      </c>
      <c r="D16" s="580">
        <f>1986.24+447.12</f>
        <v>2433.36</v>
      </c>
      <c r="E16" s="470"/>
      <c r="M16" s="868"/>
      <c r="N16" s="868"/>
      <c r="O16" s="868"/>
      <c r="P16" s="868"/>
      <c r="Q16" s="818"/>
    </row>
    <row r="17" spans="1:17" s="462" customFormat="1" ht="19.5" customHeight="1">
      <c r="A17" s="468" t="s">
        <v>123</v>
      </c>
      <c r="B17" s="537">
        <f>SUM(B18:B20)</f>
        <v>183671.54000000004</v>
      </c>
      <c r="C17" s="537">
        <f>SUM(C18:C20)</f>
        <v>148576.94</v>
      </c>
      <c r="D17" s="581">
        <f>SUM(D18:D20)</f>
        <v>106800</v>
      </c>
      <c r="E17" s="470"/>
      <c r="M17" s="871">
        <f>+D17-C17</f>
        <v>-41776.94</v>
      </c>
      <c r="N17" s="868"/>
      <c r="O17" s="871">
        <f>59043.52+M17</f>
        <v>17266.579999999994</v>
      </c>
      <c r="P17" s="868"/>
      <c r="Q17" s="818"/>
    </row>
    <row r="18" spans="1:17" s="462" customFormat="1" ht="19.5" customHeight="1">
      <c r="A18" s="471" t="s">
        <v>395</v>
      </c>
      <c r="B18" s="580">
        <v>0</v>
      </c>
      <c r="C18" s="580">
        <v>0</v>
      </c>
      <c r="D18" s="580">
        <v>0</v>
      </c>
      <c r="E18" s="470"/>
      <c r="M18" s="868"/>
      <c r="N18" s="868"/>
      <c r="O18" s="868"/>
      <c r="P18" s="868"/>
      <c r="Q18" s="818"/>
    </row>
    <row r="19" spans="1:17" s="462" customFormat="1" ht="19.5" customHeight="1">
      <c r="A19" s="471" t="s">
        <v>394</v>
      </c>
      <c r="B19" s="580">
        <v>0</v>
      </c>
      <c r="C19" s="580">
        <v>0</v>
      </c>
      <c r="D19" s="580">
        <v>0</v>
      </c>
      <c r="E19" s="470"/>
      <c r="M19" s="868"/>
      <c r="N19" s="868"/>
      <c r="O19" s="868"/>
      <c r="P19" s="868"/>
      <c r="Q19" s="818"/>
    </row>
    <row r="20" spans="1:17" s="462" customFormat="1" ht="19.5" customHeight="1">
      <c r="A20" s="471" t="s">
        <v>393</v>
      </c>
      <c r="B20" s="580">
        <f>5494334.63-5310663.09</f>
        <v>183671.54000000004</v>
      </c>
      <c r="C20" s="580">
        <v>148576.94</v>
      </c>
      <c r="D20" s="580">
        <v>106800</v>
      </c>
      <c r="E20" s="470"/>
      <c r="M20" s="868"/>
      <c r="N20" s="868"/>
      <c r="O20" s="868"/>
      <c r="P20" s="868"/>
      <c r="Q20" s="818"/>
    </row>
    <row r="21" spans="1:17" s="462" customFormat="1" ht="19.5" customHeight="1">
      <c r="A21" s="468" t="s">
        <v>124</v>
      </c>
      <c r="B21" s="537">
        <f>SUM(B22:B23)</f>
        <v>0</v>
      </c>
      <c r="C21" s="537">
        <f>SUM(C22:C23)</f>
        <v>0</v>
      </c>
      <c r="D21" s="537">
        <f>SUM(D22:D23)</f>
        <v>0</v>
      </c>
      <c r="E21" s="470"/>
      <c r="M21" s="871"/>
      <c r="N21" s="868"/>
      <c r="O21" s="868"/>
      <c r="P21" s="868"/>
      <c r="Q21" s="818"/>
    </row>
    <row r="22" spans="1:17" s="462" customFormat="1" ht="19.5" customHeight="1">
      <c r="A22" s="471" t="s">
        <v>125</v>
      </c>
      <c r="B22" s="580">
        <v>0</v>
      </c>
      <c r="C22" s="580">
        <v>0</v>
      </c>
      <c r="D22" s="580">
        <v>0</v>
      </c>
      <c r="E22" s="470"/>
      <c r="M22" s="868"/>
      <c r="N22" s="868"/>
      <c r="O22" s="868"/>
      <c r="P22" s="868"/>
      <c r="Q22" s="818"/>
    </row>
    <row r="23" spans="1:17" s="462" customFormat="1" ht="19.5" customHeight="1">
      <c r="A23" s="471" t="s">
        <v>33</v>
      </c>
      <c r="B23" s="580">
        <v>0</v>
      </c>
      <c r="C23" s="580">
        <v>0</v>
      </c>
      <c r="D23" s="580">
        <v>0</v>
      </c>
      <c r="E23" s="470"/>
      <c r="M23" s="872"/>
      <c r="N23" s="872"/>
      <c r="O23" s="872"/>
      <c r="P23" s="872"/>
      <c r="Q23" s="716"/>
    </row>
    <row r="24" spans="1:17" s="462" customFormat="1" ht="19.5" customHeight="1">
      <c r="A24" s="468" t="s">
        <v>126</v>
      </c>
      <c r="B24" s="579">
        <v>0</v>
      </c>
      <c r="C24" s="579">
        <v>0</v>
      </c>
      <c r="D24" s="579">
        <v>0</v>
      </c>
      <c r="E24" s="470"/>
      <c r="M24" s="871">
        <f aca="true" t="shared" si="0" ref="M24:M29">+D24-C24</f>
        <v>0</v>
      </c>
      <c r="N24" s="872"/>
      <c r="O24" s="872"/>
      <c r="P24" s="872"/>
      <c r="Q24" s="716"/>
    </row>
    <row r="25" spans="1:17" s="462" customFormat="1" ht="19.5" customHeight="1">
      <c r="A25" s="468" t="s">
        <v>127</v>
      </c>
      <c r="B25" s="579">
        <v>600</v>
      </c>
      <c r="C25" s="579">
        <v>600</v>
      </c>
      <c r="D25" s="579">
        <v>600</v>
      </c>
      <c r="E25" s="470"/>
      <c r="M25" s="871">
        <f t="shared" si="0"/>
        <v>0</v>
      </c>
      <c r="N25" s="872"/>
      <c r="O25" s="872"/>
      <c r="P25" s="872"/>
      <c r="Q25" s="716"/>
    </row>
    <row r="26" spans="1:17" s="462" customFormat="1" ht="19.5" customHeight="1">
      <c r="A26" s="468" t="s">
        <v>34</v>
      </c>
      <c r="B26" s="579">
        <v>1248584.93</v>
      </c>
      <c r="C26" s="579">
        <v>1169870.5</v>
      </c>
      <c r="D26" s="579">
        <v>1109870.5</v>
      </c>
      <c r="E26" s="473"/>
      <c r="F26" s="803" t="s">
        <v>229</v>
      </c>
      <c r="G26" s="802"/>
      <c r="H26" s="802"/>
      <c r="I26" s="802"/>
      <c r="J26" s="802"/>
      <c r="K26" s="802"/>
      <c r="L26" s="802"/>
      <c r="M26" s="873">
        <f t="shared" si="0"/>
        <v>-60000</v>
      </c>
      <c r="N26" s="872"/>
      <c r="O26" s="872"/>
      <c r="P26" s="872"/>
      <c r="Q26" s="716"/>
    </row>
    <row r="27" spans="1:17" s="462" customFormat="1" ht="19.5" customHeight="1">
      <c r="A27" s="468" t="s">
        <v>396</v>
      </c>
      <c r="B27" s="579">
        <v>0</v>
      </c>
      <c r="C27" s="579">
        <v>0</v>
      </c>
      <c r="D27" s="579">
        <v>0</v>
      </c>
      <c r="F27" s="710" t="s">
        <v>230</v>
      </c>
      <c r="G27" s="711"/>
      <c r="H27" s="711"/>
      <c r="I27" s="711"/>
      <c r="J27" s="711"/>
      <c r="K27" s="711"/>
      <c r="L27" s="711"/>
      <c r="M27" s="871">
        <f t="shared" si="0"/>
        <v>0</v>
      </c>
      <c r="N27" s="872"/>
      <c r="O27" s="872"/>
      <c r="P27" s="872"/>
      <c r="Q27" s="716"/>
    </row>
    <row r="28" spans="1:17" s="462" customFormat="1" ht="19.5" customHeight="1">
      <c r="A28" s="468" t="s">
        <v>242</v>
      </c>
      <c r="B28" s="537">
        <f>B29+B35+B38+B42+B43+B44+B45</f>
        <v>1620357.2</v>
      </c>
      <c r="C28" s="537">
        <f>C29+C35+C38+C42+C43+C44+C45</f>
        <v>2129165.68</v>
      </c>
      <c r="D28" s="537">
        <f>D29+D35+D38+D42+D43+D44+D45</f>
        <v>2170897.3899999997</v>
      </c>
      <c r="E28" s="469"/>
      <c r="M28" s="870">
        <f t="shared" si="0"/>
        <v>41731.7099999995</v>
      </c>
      <c r="N28" s="872"/>
      <c r="O28" s="872"/>
      <c r="P28" s="872"/>
      <c r="Q28" s="716"/>
    </row>
    <row r="29" spans="1:17" s="462" customFormat="1" ht="23.25" customHeight="1">
      <c r="A29" s="468" t="s">
        <v>128</v>
      </c>
      <c r="B29" s="537">
        <f>B30+B33+B34</f>
        <v>0</v>
      </c>
      <c r="C29" s="537">
        <f>C30+C33+C34</f>
        <v>0</v>
      </c>
      <c r="D29" s="537">
        <f>D30+D33+D34</f>
        <v>0</v>
      </c>
      <c r="E29" s="470"/>
      <c r="M29" s="871">
        <f t="shared" si="0"/>
        <v>0</v>
      </c>
      <c r="N29" s="872"/>
      <c r="O29" s="872"/>
      <c r="P29" s="872"/>
      <c r="Q29" s="716"/>
    </row>
    <row r="30" spans="1:17" s="462" customFormat="1" ht="23.25" customHeight="1">
      <c r="A30" s="471" t="s">
        <v>399</v>
      </c>
      <c r="B30" s="581">
        <f>SUM(B31:B32)</f>
        <v>0</v>
      </c>
      <c r="C30" s="581">
        <f>SUM(C31:C32)</f>
        <v>0</v>
      </c>
      <c r="D30" s="581">
        <f>SUM(D31:D32)</f>
        <v>0</v>
      </c>
      <c r="E30" s="470"/>
      <c r="M30" s="872"/>
      <c r="N30" s="872"/>
      <c r="O30" s="872"/>
      <c r="P30" s="872"/>
      <c r="Q30" s="716"/>
    </row>
    <row r="31" spans="1:17" s="462" customFormat="1" ht="23.25" customHeight="1">
      <c r="A31" s="471" t="s">
        <v>400</v>
      </c>
      <c r="B31" s="580">
        <v>0</v>
      </c>
      <c r="C31" s="580">
        <v>0</v>
      </c>
      <c r="D31" s="580">
        <v>0</v>
      </c>
      <c r="E31" s="470"/>
      <c r="M31" s="872"/>
      <c r="N31" s="872"/>
      <c r="O31" s="872"/>
      <c r="P31" s="872"/>
      <c r="Q31" s="716"/>
    </row>
    <row r="32" spans="1:17" s="462" customFormat="1" ht="23.25" customHeight="1">
      <c r="A32" s="471" t="s">
        <v>401</v>
      </c>
      <c r="B32" s="580">
        <v>0</v>
      </c>
      <c r="C32" s="580">
        <v>0</v>
      </c>
      <c r="D32" s="580">
        <v>0</v>
      </c>
      <c r="E32" s="470"/>
      <c r="M32" s="872"/>
      <c r="N32" s="872"/>
      <c r="O32" s="872"/>
      <c r="P32" s="872"/>
      <c r="Q32" s="716"/>
    </row>
    <row r="33" spans="1:17" s="462" customFormat="1" ht="23.25" customHeight="1">
      <c r="A33" s="471" t="s">
        <v>403</v>
      </c>
      <c r="B33" s="580">
        <v>0</v>
      </c>
      <c r="C33" s="580">
        <v>0</v>
      </c>
      <c r="D33" s="580">
        <v>0</v>
      </c>
      <c r="E33" s="470"/>
      <c r="M33" s="868"/>
      <c r="N33" s="868"/>
      <c r="O33" s="868"/>
      <c r="P33" s="868"/>
      <c r="Q33" s="818"/>
    </row>
    <row r="34" spans="1:17" s="462" customFormat="1" ht="23.25" customHeight="1">
      <c r="A34" s="471" t="s">
        <v>402</v>
      </c>
      <c r="B34" s="580">
        <v>0</v>
      </c>
      <c r="C34" s="580">
        <v>0</v>
      </c>
      <c r="D34" s="580">
        <v>0</v>
      </c>
      <c r="E34" s="470"/>
      <c r="M34" s="868"/>
      <c r="N34" s="868"/>
      <c r="O34" s="868"/>
      <c r="P34" s="868"/>
      <c r="Q34" s="818"/>
    </row>
    <row r="35" spans="1:17" s="462" customFormat="1" ht="19.5" customHeight="1">
      <c r="A35" s="468" t="s">
        <v>96</v>
      </c>
      <c r="B35" s="537">
        <f>SUM(B36:B37)</f>
        <v>1227.6</v>
      </c>
      <c r="C35" s="537">
        <f>SUM(C36:C37)</f>
        <v>2500</v>
      </c>
      <c r="D35" s="537">
        <f>SUM(D36:D37)</f>
        <v>2000</v>
      </c>
      <c r="E35" s="470"/>
      <c r="M35" s="871">
        <f>+D35-C35</f>
        <v>-500</v>
      </c>
      <c r="N35" s="868"/>
      <c r="O35" s="868"/>
      <c r="P35" s="868"/>
      <c r="Q35" s="818"/>
    </row>
    <row r="36" spans="1:17" s="462" customFormat="1" ht="19.5" customHeight="1">
      <c r="A36" s="471" t="s">
        <v>397</v>
      </c>
      <c r="B36" s="580">
        <v>1227.6</v>
      </c>
      <c r="C36" s="580">
        <v>2500</v>
      </c>
      <c r="D36" s="580">
        <v>2000</v>
      </c>
      <c r="E36" s="470"/>
      <c r="M36" s="868"/>
      <c r="N36" s="868"/>
      <c r="O36" s="868"/>
      <c r="P36" s="868"/>
      <c r="Q36" s="818"/>
    </row>
    <row r="37" spans="1:17" s="462" customFormat="1" ht="19.5" customHeight="1">
      <c r="A37" s="471" t="s">
        <v>398</v>
      </c>
      <c r="B37" s="580">
        <v>0</v>
      </c>
      <c r="C37" s="580">
        <v>0</v>
      </c>
      <c r="D37" s="580">
        <v>0</v>
      </c>
      <c r="E37" s="470"/>
      <c r="M37" s="868"/>
      <c r="N37" s="868"/>
      <c r="O37" s="868"/>
      <c r="P37" s="868"/>
      <c r="Q37" s="818"/>
    </row>
    <row r="38" spans="1:17" s="462" customFormat="1" ht="19.5" customHeight="1">
      <c r="A38" s="468" t="s">
        <v>129</v>
      </c>
      <c r="B38" s="537">
        <f>SUM(B39:B41)</f>
        <v>794315.3999999999</v>
      </c>
      <c r="C38" s="537">
        <f>SUM(C39:C41)</f>
        <v>749053.55</v>
      </c>
      <c r="D38" s="537">
        <f>SUM(D39:D41)</f>
        <v>1041575.01</v>
      </c>
      <c r="E38" s="470"/>
      <c r="M38" s="871">
        <f>+D38-C38</f>
        <v>292521.45999999996</v>
      </c>
      <c r="N38" s="868"/>
      <c r="O38" s="868"/>
      <c r="P38" s="868"/>
      <c r="Q38" s="818"/>
    </row>
    <row r="39" spans="1:17" s="462" customFormat="1" ht="19.5" customHeight="1">
      <c r="A39" s="471" t="s">
        <v>35</v>
      </c>
      <c r="B39" s="580">
        <v>550996.07</v>
      </c>
      <c r="C39" s="580">
        <f>600184.72-25000-42000</f>
        <v>533184.72</v>
      </c>
      <c r="D39" s="580">
        <v>550000</v>
      </c>
      <c r="E39" s="470"/>
      <c r="M39" s="868"/>
      <c r="N39" s="868"/>
      <c r="O39" s="868"/>
      <c r="P39" s="868"/>
      <c r="Q39" s="818"/>
    </row>
    <row r="40" spans="1:17" s="462" customFormat="1" ht="19.5" customHeight="1">
      <c r="A40" s="471" t="s">
        <v>243</v>
      </c>
      <c r="B40" s="580">
        <v>0</v>
      </c>
      <c r="C40" s="580">
        <v>0</v>
      </c>
      <c r="D40" s="580">
        <v>0</v>
      </c>
      <c r="E40" s="470"/>
      <c r="M40" s="868"/>
      <c r="N40" s="868"/>
      <c r="O40" s="868"/>
      <c r="P40" s="868"/>
      <c r="Q40" s="818"/>
    </row>
    <row r="41" spans="1:17" s="462" customFormat="1" ht="19.5" customHeight="1">
      <c r="A41" s="471" t="s">
        <v>244</v>
      </c>
      <c r="B41" s="580">
        <f>206279.41+8185.84+1384.61+27469.47</f>
        <v>243319.33</v>
      </c>
      <c r="C41" s="580">
        <f>219640.35-3771.52</f>
        <v>215868.83000000002</v>
      </c>
      <c r="D41" s="580">
        <v>491575.01</v>
      </c>
      <c r="E41" s="470"/>
      <c r="M41" s="868"/>
      <c r="N41" s="868"/>
      <c r="O41" s="868"/>
      <c r="P41" s="868"/>
      <c r="Q41" s="818"/>
    </row>
    <row r="42" spans="1:17" s="462" customFormat="1" ht="19.5" customHeight="1">
      <c r="A42" s="468" t="s">
        <v>130</v>
      </c>
      <c r="B42" s="579">
        <v>0</v>
      </c>
      <c r="C42" s="579">
        <v>0</v>
      </c>
      <c r="D42" s="579">
        <v>0</v>
      </c>
      <c r="E42" s="470"/>
      <c r="M42" s="868"/>
      <c r="N42" s="868"/>
      <c r="O42" s="868"/>
      <c r="P42" s="868"/>
      <c r="Q42" s="818"/>
    </row>
    <row r="43" spans="1:17" s="462" customFormat="1" ht="19.5" customHeight="1">
      <c r="A43" s="468" t="s">
        <v>131</v>
      </c>
      <c r="B43" s="579">
        <v>6017.38</v>
      </c>
      <c r="C43" s="579">
        <v>6017.38</v>
      </c>
      <c r="D43" s="579">
        <v>6017.38</v>
      </c>
      <c r="E43" s="470"/>
      <c r="M43" s="871"/>
      <c r="N43" s="868"/>
      <c r="O43" s="868"/>
      <c r="P43" s="868"/>
      <c r="Q43" s="818"/>
    </row>
    <row r="44" spans="1:17" s="462" customFormat="1" ht="19.5" customHeight="1">
      <c r="A44" s="468" t="s">
        <v>36</v>
      </c>
      <c r="B44" s="579">
        <v>38266.02</v>
      </c>
      <c r="C44" s="579">
        <v>45000</v>
      </c>
      <c r="D44" s="579">
        <v>48000</v>
      </c>
      <c r="E44" s="470"/>
      <c r="M44" s="871">
        <f>+D44-C44</f>
        <v>3000</v>
      </c>
      <c r="N44" s="868"/>
      <c r="O44" s="868"/>
      <c r="P44" s="868"/>
      <c r="Q44" s="818"/>
    </row>
    <row r="45" spans="1:17" s="462" customFormat="1" ht="19.5" customHeight="1">
      <c r="A45" s="468" t="s">
        <v>37</v>
      </c>
      <c r="B45" s="537">
        <f>SUM(B46:B47)</f>
        <v>780530.8</v>
      </c>
      <c r="C45" s="537">
        <f>SUM(C46:C47)</f>
        <v>1326594.75</v>
      </c>
      <c r="D45" s="537">
        <f>SUM(D46:D47)</f>
        <v>1073305</v>
      </c>
      <c r="E45" s="470"/>
      <c r="M45" s="871">
        <f>+D45-C45</f>
        <v>-253289.75</v>
      </c>
      <c r="N45" s="868"/>
      <c r="O45" s="868"/>
      <c r="P45" s="868"/>
      <c r="Q45" s="818"/>
    </row>
    <row r="46" spans="1:17" s="462" customFormat="1" ht="19.5" customHeight="1">
      <c r="A46" s="471" t="s">
        <v>38</v>
      </c>
      <c r="B46" s="580">
        <v>780530.8</v>
      </c>
      <c r="C46" s="580">
        <f>826594.75+600000-100000</f>
        <v>1326594.75</v>
      </c>
      <c r="D46" s="580">
        <f>1130000-56638.98-56-0.02</f>
        <v>1073305</v>
      </c>
      <c r="E46" s="470"/>
      <c r="M46" s="868"/>
      <c r="N46" s="868"/>
      <c r="O46" s="868"/>
      <c r="P46" s="868"/>
      <c r="Q46" s="818"/>
    </row>
    <row r="47" spans="1:17" s="462" customFormat="1" ht="19.5" customHeight="1">
      <c r="A47" s="471" t="s">
        <v>56</v>
      </c>
      <c r="B47" s="580">
        <v>0</v>
      </c>
      <c r="C47" s="580">
        <v>0</v>
      </c>
      <c r="D47" s="580">
        <v>0</v>
      </c>
      <c r="E47" s="470"/>
      <c r="M47" s="868"/>
      <c r="N47" s="868"/>
      <c r="O47" s="868"/>
      <c r="P47" s="868"/>
      <c r="Q47" s="818"/>
    </row>
    <row r="48" spans="1:17" s="462" customFormat="1" ht="21.75" customHeight="1">
      <c r="A48" s="474" t="s">
        <v>88</v>
      </c>
      <c r="B48" s="537">
        <f>B28+B11</f>
        <v>3058743.12</v>
      </c>
      <c r="C48" s="537">
        <f>C28+C11</f>
        <v>3468952.34</v>
      </c>
      <c r="D48" s="537">
        <f>D28+D11</f>
        <v>3407125.63</v>
      </c>
      <c r="E48" s="469"/>
      <c r="M48" s="870">
        <f>+D48-C48</f>
        <v>-61826.70999999996</v>
      </c>
      <c r="N48" s="868"/>
      <c r="O48" s="868"/>
      <c r="P48" s="868"/>
      <c r="Q48" s="818"/>
    </row>
    <row r="49" spans="1:17" s="462" customFormat="1" ht="9" customHeight="1">
      <c r="A49" s="475"/>
      <c r="B49" s="476"/>
      <c r="C49" s="476"/>
      <c r="D49" s="476"/>
      <c r="E49" s="469"/>
      <c r="M49" s="868"/>
      <c r="N49" s="868"/>
      <c r="O49" s="868"/>
      <c r="P49" s="868"/>
      <c r="Q49" s="818"/>
    </row>
    <row r="50" spans="1:17" s="462" customFormat="1" ht="12.75" hidden="1">
      <c r="A50" s="477" t="s">
        <v>57</v>
      </c>
      <c r="C50" s="472"/>
      <c r="D50" s="478"/>
      <c r="E50" s="479"/>
      <c r="M50" s="868"/>
      <c r="N50" s="868"/>
      <c r="O50" s="868"/>
      <c r="P50" s="868"/>
      <c r="Q50" s="818"/>
    </row>
    <row r="51" spans="1:17" s="462" customFormat="1" ht="12.75">
      <c r="A51" s="875" t="s">
        <v>693</v>
      </c>
      <c r="B51" s="874">
        <f>B48-PASIVO!B65</f>
        <v>0</v>
      </c>
      <c r="C51" s="874">
        <f>C48-PASIVO!C65</f>
        <v>0</v>
      </c>
      <c r="D51" s="874">
        <f>D48-PASIVO!D65</f>
        <v>0</v>
      </c>
      <c r="E51" s="874"/>
      <c r="F51" s="876"/>
      <c r="G51" s="876"/>
      <c r="H51" s="876"/>
      <c r="I51" s="876"/>
      <c r="J51" s="876"/>
      <c r="K51" s="876"/>
      <c r="L51" s="876"/>
      <c r="M51" s="877"/>
      <c r="N51" s="868"/>
      <c r="O51" s="868"/>
      <c r="P51" s="868"/>
      <c r="Q51" s="818"/>
    </row>
    <row r="52" spans="1:17" s="462" customFormat="1" ht="12.75" hidden="1">
      <c r="A52" s="473"/>
      <c r="B52" s="481"/>
      <c r="C52" s="481"/>
      <c r="D52" s="481"/>
      <c r="E52" s="481"/>
      <c r="M52" s="868"/>
      <c r="N52" s="868"/>
      <c r="O52" s="868"/>
      <c r="P52" s="868"/>
      <c r="Q52" s="818"/>
    </row>
    <row r="53" spans="1:17" s="462" customFormat="1" ht="12.75" hidden="1">
      <c r="A53" s="473"/>
      <c r="B53" s="482"/>
      <c r="C53" s="482"/>
      <c r="D53" s="481"/>
      <c r="E53" s="481"/>
      <c r="M53" s="868"/>
      <c r="N53" s="868"/>
      <c r="O53" s="868"/>
      <c r="P53" s="868"/>
      <c r="Q53" s="818"/>
    </row>
    <row r="54" spans="1:17" s="462" customFormat="1" ht="12.75" hidden="1">
      <c r="A54" s="473" t="s">
        <v>51</v>
      </c>
      <c r="B54" s="483">
        <f>+B48-PASIVO!B65</f>
        <v>0</v>
      </c>
      <c r="C54" s="483">
        <f>+C48-PASIVO!C65</f>
        <v>0</v>
      </c>
      <c r="D54" s="483">
        <f>+D48-PASIVO!D65</f>
        <v>0</v>
      </c>
      <c r="E54" s="481"/>
      <c r="M54" s="868"/>
      <c r="N54" s="868"/>
      <c r="O54" s="868"/>
      <c r="P54" s="868"/>
      <c r="Q54" s="818"/>
    </row>
    <row r="55" spans="1:17" s="462" customFormat="1" ht="12.75" hidden="1">
      <c r="A55" s="473"/>
      <c r="B55" s="482"/>
      <c r="C55" s="482"/>
      <c r="D55" s="481"/>
      <c r="E55" s="481"/>
      <c r="M55" s="868"/>
      <c r="N55" s="868"/>
      <c r="O55" s="868"/>
      <c r="P55" s="868"/>
      <c r="Q55" s="818"/>
    </row>
    <row r="56" spans="1:17" s="462" customFormat="1" ht="12.75" hidden="1">
      <c r="A56" s="484" t="s">
        <v>50</v>
      </c>
      <c r="B56" s="480">
        <f>+B28-PASIVO!B48</f>
        <v>811952.1799999999</v>
      </c>
      <c r="C56" s="480">
        <f>+C28-PASIVO!C48</f>
        <v>1471376.0500000003</v>
      </c>
      <c r="D56" s="480">
        <f>+D28-PASIVO!D48</f>
        <v>1691383.4599999997</v>
      </c>
      <c r="E56" s="481"/>
      <c r="M56" s="868"/>
      <c r="N56" s="868"/>
      <c r="O56" s="868"/>
      <c r="P56" s="868"/>
      <c r="Q56" s="818"/>
    </row>
    <row r="57" spans="1:17" s="462" customFormat="1" ht="12.75" hidden="1">
      <c r="A57" s="485" t="s">
        <v>538</v>
      </c>
      <c r="B57" s="471"/>
      <c r="C57" s="480">
        <f>+C56-B56</f>
        <v>659423.8700000003</v>
      </c>
      <c r="D57" s="486">
        <f>+D56-C56</f>
        <v>220007.40999999945</v>
      </c>
      <c r="E57" s="481"/>
      <c r="M57" s="868"/>
      <c r="N57" s="868"/>
      <c r="O57" s="868"/>
      <c r="P57" s="868"/>
      <c r="Q57" s="818"/>
    </row>
    <row r="58" spans="2:17" s="462" customFormat="1" ht="12.75" hidden="1">
      <c r="B58" s="487"/>
      <c r="C58" s="487"/>
      <c r="D58" s="488"/>
      <c r="E58" s="488"/>
      <c r="M58" s="868"/>
      <c r="N58" s="868"/>
      <c r="O58" s="868"/>
      <c r="P58" s="868"/>
      <c r="Q58" s="818"/>
    </row>
    <row r="59" spans="2:17" s="462" customFormat="1" ht="12.75" hidden="1">
      <c r="B59" s="482"/>
      <c r="C59" s="482"/>
      <c r="D59" s="489"/>
      <c r="E59" s="489"/>
      <c r="M59" s="868"/>
      <c r="N59" s="868"/>
      <c r="O59" s="868"/>
      <c r="P59" s="868"/>
      <c r="Q59" s="818"/>
    </row>
    <row r="60" spans="2:17" s="462" customFormat="1" ht="12.75" hidden="1">
      <c r="B60" s="482"/>
      <c r="C60" s="482"/>
      <c r="D60" s="481"/>
      <c r="E60" s="481"/>
      <c r="M60" s="868"/>
      <c r="N60" s="868"/>
      <c r="O60" s="868"/>
      <c r="P60" s="868"/>
      <c r="Q60" s="818"/>
    </row>
    <row r="61" spans="2:17" s="462" customFormat="1" ht="12.75">
      <c r="B61" s="481"/>
      <c r="C61" s="481"/>
      <c r="D61" s="481"/>
      <c r="E61" s="481"/>
      <c r="M61" s="868"/>
      <c r="N61" s="868"/>
      <c r="O61" s="868"/>
      <c r="P61" s="868"/>
      <c r="Q61" s="818"/>
    </row>
    <row r="62" spans="2:17" s="462" customFormat="1" ht="12.75">
      <c r="B62" s="481"/>
      <c r="C62" s="481"/>
      <c r="D62" s="481"/>
      <c r="E62" s="481">
        <f>+E48-E61</f>
        <v>0</v>
      </c>
      <c r="M62" s="868"/>
      <c r="N62" s="868"/>
      <c r="O62" s="868"/>
      <c r="P62" s="868"/>
      <c r="Q62" s="818"/>
    </row>
    <row r="63" spans="2:17" s="462" customFormat="1" ht="12.75">
      <c r="B63" s="482"/>
      <c r="C63" s="482"/>
      <c r="D63" s="481"/>
      <c r="E63" s="481"/>
      <c r="M63" s="868"/>
      <c r="N63" s="868"/>
      <c r="O63" s="868"/>
      <c r="P63" s="868"/>
      <c r="Q63" s="818"/>
    </row>
    <row r="64" spans="2:17" s="462" customFormat="1" ht="12.75">
      <c r="B64" s="482"/>
      <c r="C64" s="482"/>
      <c r="D64" s="481"/>
      <c r="E64" s="481"/>
      <c r="M64" s="868"/>
      <c r="N64" s="868"/>
      <c r="O64" s="868"/>
      <c r="P64" s="868"/>
      <c r="Q64" s="818"/>
    </row>
    <row r="65" spans="2:17" s="462" customFormat="1" ht="12.75">
      <c r="B65" s="482"/>
      <c r="C65" s="482"/>
      <c r="D65" s="481"/>
      <c r="E65" s="481"/>
      <c r="M65" s="868"/>
      <c r="N65" s="868"/>
      <c r="O65" s="868"/>
      <c r="P65" s="868"/>
      <c r="Q65" s="818"/>
    </row>
    <row r="66" spans="2:17" s="462" customFormat="1" ht="12.75">
      <c r="B66" s="487"/>
      <c r="C66" s="487"/>
      <c r="D66" s="488"/>
      <c r="E66" s="488"/>
      <c r="M66" s="868"/>
      <c r="N66" s="868"/>
      <c r="O66" s="868"/>
      <c r="P66" s="868"/>
      <c r="Q66" s="818"/>
    </row>
    <row r="67" spans="2:17" s="462" customFormat="1" ht="12.75">
      <c r="B67" s="482"/>
      <c r="C67" s="482"/>
      <c r="D67" s="489"/>
      <c r="E67" s="489"/>
      <c r="M67" s="868"/>
      <c r="N67" s="868"/>
      <c r="O67" s="868"/>
      <c r="P67" s="868"/>
      <c r="Q67" s="818"/>
    </row>
    <row r="68" spans="2:17" s="462" customFormat="1" ht="12.75">
      <c r="B68" s="482"/>
      <c r="C68" s="482"/>
      <c r="D68" s="489"/>
      <c r="E68" s="489"/>
      <c r="M68" s="868"/>
      <c r="N68" s="868"/>
      <c r="O68" s="868"/>
      <c r="P68" s="868"/>
      <c r="Q68" s="818"/>
    </row>
    <row r="69" spans="2:17" s="462" customFormat="1" ht="12.75">
      <c r="B69" s="482"/>
      <c r="C69" s="482"/>
      <c r="D69" s="489"/>
      <c r="E69" s="489"/>
      <c r="M69" s="814"/>
      <c r="N69" s="814"/>
      <c r="O69" s="814"/>
      <c r="P69" s="814"/>
      <c r="Q69" s="818"/>
    </row>
    <row r="70" spans="4:17" s="462" customFormat="1" ht="12.75">
      <c r="D70" s="478"/>
      <c r="E70" s="479"/>
      <c r="M70" s="814"/>
      <c r="N70" s="814"/>
      <c r="O70" s="814"/>
      <c r="P70" s="814"/>
      <c r="Q70" s="818"/>
    </row>
    <row r="71" spans="4:17" s="462" customFormat="1" ht="12.75">
      <c r="D71" s="478"/>
      <c r="E71" s="479"/>
      <c r="M71" s="814"/>
      <c r="N71" s="814"/>
      <c r="O71" s="814"/>
      <c r="P71" s="814"/>
      <c r="Q71" s="818"/>
    </row>
    <row r="72" spans="4:17" s="462" customFormat="1" ht="12.75">
      <c r="D72" s="478"/>
      <c r="E72" s="479"/>
      <c r="M72" s="814"/>
      <c r="N72" s="814"/>
      <c r="O72" s="814"/>
      <c r="P72" s="814"/>
      <c r="Q72" s="818"/>
    </row>
    <row r="73" spans="4:17" s="462" customFormat="1" ht="12.75">
      <c r="D73" s="478"/>
      <c r="E73" s="479"/>
      <c r="M73" s="814"/>
      <c r="N73" s="814"/>
      <c r="O73" s="814"/>
      <c r="P73" s="814"/>
      <c r="Q73" s="818"/>
    </row>
    <row r="74" spans="4:17" s="462" customFormat="1" ht="12.75">
      <c r="D74" s="478"/>
      <c r="E74" s="479"/>
      <c r="M74" s="814"/>
      <c r="N74" s="814"/>
      <c r="O74" s="814"/>
      <c r="P74" s="814"/>
      <c r="Q74" s="818"/>
    </row>
    <row r="75" spans="4:17" s="462" customFormat="1" ht="12.75">
      <c r="D75" s="478"/>
      <c r="E75" s="479"/>
      <c r="M75" s="814"/>
      <c r="N75" s="814"/>
      <c r="O75" s="814"/>
      <c r="P75" s="814"/>
      <c r="Q75" s="818"/>
    </row>
    <row r="76" spans="4:17" s="462" customFormat="1" ht="12.75">
      <c r="D76" s="478"/>
      <c r="E76" s="479"/>
      <c r="M76" s="814"/>
      <c r="N76" s="814"/>
      <c r="O76" s="814"/>
      <c r="P76" s="814"/>
      <c r="Q76" s="818"/>
    </row>
    <row r="77" spans="4:17" s="462" customFormat="1" ht="12.75">
      <c r="D77" s="478"/>
      <c r="E77" s="479"/>
      <c r="M77" s="814"/>
      <c r="N77" s="814"/>
      <c r="O77" s="814"/>
      <c r="P77" s="814"/>
      <c r="Q77" s="818"/>
    </row>
    <row r="78" spans="4:17" s="462" customFormat="1" ht="12.75">
      <c r="D78" s="478"/>
      <c r="E78" s="479"/>
      <c r="M78" s="814"/>
      <c r="N78" s="814"/>
      <c r="O78" s="814"/>
      <c r="P78" s="814"/>
      <c r="Q78" s="818"/>
    </row>
    <row r="79" spans="4:17" s="462" customFormat="1" ht="12.75">
      <c r="D79" s="478"/>
      <c r="E79" s="479"/>
      <c r="M79" s="814"/>
      <c r="N79" s="814"/>
      <c r="O79" s="814"/>
      <c r="P79" s="814"/>
      <c r="Q79" s="818"/>
    </row>
    <row r="80" spans="4:17" s="462" customFormat="1" ht="12.75">
      <c r="D80" s="478"/>
      <c r="E80" s="479"/>
      <c r="M80" s="814"/>
      <c r="N80" s="814"/>
      <c r="O80" s="814"/>
      <c r="P80" s="814"/>
      <c r="Q80" s="818"/>
    </row>
    <row r="81" spans="4:17" s="462" customFormat="1" ht="12.75">
      <c r="D81" s="478"/>
      <c r="E81" s="479"/>
      <c r="M81" s="814"/>
      <c r="N81" s="814"/>
      <c r="O81" s="814"/>
      <c r="P81" s="814"/>
      <c r="Q81" s="818"/>
    </row>
    <row r="82" spans="4:17" s="462" customFormat="1" ht="12.75">
      <c r="D82" s="478"/>
      <c r="E82" s="479"/>
      <c r="M82" s="814"/>
      <c r="N82" s="814"/>
      <c r="O82" s="814"/>
      <c r="P82" s="814"/>
      <c r="Q82" s="818"/>
    </row>
    <row r="83" spans="4:17" s="462" customFormat="1" ht="12.75">
      <c r="D83" s="478"/>
      <c r="E83" s="479"/>
      <c r="M83" s="814"/>
      <c r="N83" s="814"/>
      <c r="O83" s="814"/>
      <c r="P83" s="814"/>
      <c r="Q83" s="818"/>
    </row>
    <row r="84" spans="4:17" s="462" customFormat="1" ht="12.75">
      <c r="D84" s="478"/>
      <c r="E84" s="479"/>
      <c r="M84" s="814"/>
      <c r="N84" s="814"/>
      <c r="O84" s="814"/>
      <c r="P84" s="814"/>
      <c r="Q84" s="818"/>
    </row>
    <row r="85" spans="4:17" s="462" customFormat="1" ht="12.75">
      <c r="D85" s="478"/>
      <c r="E85" s="479"/>
      <c r="M85" s="814"/>
      <c r="N85" s="814"/>
      <c r="O85" s="814"/>
      <c r="P85" s="814"/>
      <c r="Q85" s="818"/>
    </row>
    <row r="86" spans="4:17" s="462" customFormat="1" ht="12.75">
      <c r="D86" s="478"/>
      <c r="E86" s="479"/>
      <c r="M86" s="814"/>
      <c r="N86" s="814"/>
      <c r="O86" s="814"/>
      <c r="P86" s="814"/>
      <c r="Q86" s="818"/>
    </row>
    <row r="87" spans="4:17" s="462" customFormat="1" ht="12.75">
      <c r="D87" s="478"/>
      <c r="E87" s="479"/>
      <c r="M87" s="814"/>
      <c r="N87" s="814"/>
      <c r="O87" s="814"/>
      <c r="P87" s="814"/>
      <c r="Q87" s="818"/>
    </row>
    <row r="88" spans="4:17" s="462" customFormat="1" ht="12.75">
      <c r="D88" s="478"/>
      <c r="E88" s="479"/>
      <c r="M88" s="814"/>
      <c r="N88" s="814"/>
      <c r="O88" s="814"/>
      <c r="P88" s="814"/>
      <c r="Q88" s="818"/>
    </row>
    <row r="89" spans="4:17" s="462" customFormat="1" ht="12.75">
      <c r="D89" s="478"/>
      <c r="E89" s="479"/>
      <c r="M89" s="814"/>
      <c r="N89" s="814"/>
      <c r="O89" s="814"/>
      <c r="P89" s="814"/>
      <c r="Q89" s="818"/>
    </row>
    <row r="90" spans="4:17" s="462" customFormat="1" ht="12.75">
      <c r="D90" s="478"/>
      <c r="E90" s="479"/>
      <c r="M90" s="814"/>
      <c r="N90" s="814"/>
      <c r="O90" s="814"/>
      <c r="P90" s="814"/>
      <c r="Q90" s="818"/>
    </row>
    <row r="91" spans="4:17" s="462" customFormat="1" ht="12.75">
      <c r="D91" s="478"/>
      <c r="E91" s="479"/>
      <c r="M91" s="814"/>
      <c r="N91" s="814"/>
      <c r="O91" s="814"/>
      <c r="P91" s="814"/>
      <c r="Q91" s="818"/>
    </row>
    <row r="92" spans="4:17" s="462" customFormat="1" ht="12.75">
      <c r="D92" s="478"/>
      <c r="E92" s="479"/>
      <c r="M92" s="814"/>
      <c r="N92" s="814"/>
      <c r="O92" s="814"/>
      <c r="P92" s="814"/>
      <c r="Q92" s="818"/>
    </row>
    <row r="93" spans="4:17" s="462" customFormat="1" ht="12.75">
      <c r="D93" s="478"/>
      <c r="E93" s="479"/>
      <c r="M93" s="814"/>
      <c r="N93" s="814"/>
      <c r="O93" s="814"/>
      <c r="P93" s="814"/>
      <c r="Q93" s="818"/>
    </row>
    <row r="94" spans="4:17" s="462" customFormat="1" ht="12.75">
      <c r="D94" s="478"/>
      <c r="E94" s="479"/>
      <c r="M94" s="814"/>
      <c r="N94" s="814"/>
      <c r="O94" s="814"/>
      <c r="P94" s="814"/>
      <c r="Q94" s="818"/>
    </row>
    <row r="95" spans="4:17" s="462" customFormat="1" ht="12.75">
      <c r="D95" s="478"/>
      <c r="E95" s="479"/>
      <c r="M95" s="814"/>
      <c r="N95" s="814"/>
      <c r="O95" s="814"/>
      <c r="P95" s="814"/>
      <c r="Q95" s="818"/>
    </row>
    <row r="96" spans="4:17" s="462" customFormat="1" ht="12.75">
      <c r="D96" s="478"/>
      <c r="E96" s="479"/>
      <c r="M96" s="814"/>
      <c r="N96" s="814"/>
      <c r="O96" s="814"/>
      <c r="P96" s="814"/>
      <c r="Q96" s="818"/>
    </row>
    <row r="97" spans="4:17" s="462" customFormat="1" ht="12.75">
      <c r="D97" s="478"/>
      <c r="E97" s="479"/>
      <c r="M97" s="814"/>
      <c r="N97" s="814"/>
      <c r="O97" s="814"/>
      <c r="P97" s="814"/>
      <c r="Q97" s="818"/>
    </row>
    <row r="98" spans="4:17" s="462" customFormat="1" ht="12.75">
      <c r="D98" s="478"/>
      <c r="E98" s="479"/>
      <c r="M98" s="814"/>
      <c r="N98" s="814"/>
      <c r="O98" s="814"/>
      <c r="P98" s="814"/>
      <c r="Q98" s="818"/>
    </row>
    <row r="99" spans="4:17" s="462" customFormat="1" ht="12.75">
      <c r="D99" s="478"/>
      <c r="E99" s="479"/>
      <c r="M99" s="814"/>
      <c r="N99" s="814"/>
      <c r="O99" s="814"/>
      <c r="P99" s="814"/>
      <c r="Q99" s="818"/>
    </row>
    <row r="100" spans="4:17" s="462" customFormat="1" ht="12.75">
      <c r="D100" s="478"/>
      <c r="E100" s="479"/>
      <c r="M100" s="814"/>
      <c r="N100" s="814"/>
      <c r="O100" s="814"/>
      <c r="P100" s="814"/>
      <c r="Q100" s="818"/>
    </row>
    <row r="101" spans="4:17" s="462" customFormat="1" ht="12.75">
      <c r="D101" s="478"/>
      <c r="E101" s="479"/>
      <c r="M101" s="814"/>
      <c r="N101" s="814"/>
      <c r="O101" s="814"/>
      <c r="P101" s="814"/>
      <c r="Q101" s="818"/>
    </row>
    <row r="102" spans="4:17" s="462" customFormat="1" ht="12.75">
      <c r="D102" s="478"/>
      <c r="E102" s="479"/>
      <c r="M102" s="814"/>
      <c r="N102" s="814"/>
      <c r="O102" s="814"/>
      <c r="P102" s="814"/>
      <c r="Q102" s="818"/>
    </row>
    <row r="103" spans="4:17" s="462" customFormat="1" ht="12.75">
      <c r="D103" s="478"/>
      <c r="E103" s="479"/>
      <c r="M103" s="814"/>
      <c r="N103" s="814"/>
      <c r="O103" s="814"/>
      <c r="P103" s="814"/>
      <c r="Q103" s="818"/>
    </row>
    <row r="104" spans="4:17" s="462" customFormat="1" ht="12.75">
      <c r="D104" s="478"/>
      <c r="E104" s="479"/>
      <c r="M104" s="814"/>
      <c r="N104" s="814"/>
      <c r="O104" s="814"/>
      <c r="P104" s="814"/>
      <c r="Q104" s="818"/>
    </row>
    <row r="105" spans="4:17" s="462" customFormat="1" ht="12.75">
      <c r="D105" s="478"/>
      <c r="E105" s="479"/>
      <c r="M105" s="814"/>
      <c r="N105" s="814"/>
      <c r="O105" s="814"/>
      <c r="P105" s="814"/>
      <c r="Q105" s="818"/>
    </row>
    <row r="106" spans="4:17" s="462" customFormat="1" ht="12.75">
      <c r="D106" s="478"/>
      <c r="E106" s="479"/>
      <c r="M106" s="814"/>
      <c r="N106" s="814"/>
      <c r="O106" s="814"/>
      <c r="P106" s="814"/>
      <c r="Q106" s="818"/>
    </row>
    <row r="107" spans="4:17" s="462" customFormat="1" ht="12.75">
      <c r="D107" s="478"/>
      <c r="E107" s="479"/>
      <c r="M107" s="814"/>
      <c r="N107" s="814"/>
      <c r="O107" s="814"/>
      <c r="P107" s="814"/>
      <c r="Q107" s="818"/>
    </row>
    <row r="108" spans="4:17" s="462" customFormat="1" ht="12.75">
      <c r="D108" s="478"/>
      <c r="E108" s="479"/>
      <c r="M108" s="814"/>
      <c r="N108" s="814"/>
      <c r="O108" s="814"/>
      <c r="P108" s="814"/>
      <c r="Q108" s="818"/>
    </row>
    <row r="109" spans="4:17" s="462" customFormat="1" ht="12.75">
      <c r="D109" s="478"/>
      <c r="E109" s="479"/>
      <c r="M109" s="814"/>
      <c r="N109" s="814"/>
      <c r="O109" s="814"/>
      <c r="P109" s="814"/>
      <c r="Q109" s="818"/>
    </row>
    <row r="110" spans="4:17" s="462" customFormat="1" ht="12.75">
      <c r="D110" s="478"/>
      <c r="E110" s="479"/>
      <c r="M110" s="814"/>
      <c r="N110" s="814"/>
      <c r="O110" s="814"/>
      <c r="P110" s="814"/>
      <c r="Q110" s="818"/>
    </row>
    <row r="111" spans="4:17" s="462" customFormat="1" ht="12.75">
      <c r="D111" s="478"/>
      <c r="E111" s="479"/>
      <c r="M111" s="814"/>
      <c r="N111" s="814"/>
      <c r="O111" s="814"/>
      <c r="P111" s="814"/>
      <c r="Q111" s="818"/>
    </row>
    <row r="112" spans="4:17" s="462" customFormat="1" ht="12.75">
      <c r="D112" s="478"/>
      <c r="E112" s="479"/>
      <c r="M112" s="814"/>
      <c r="N112" s="814"/>
      <c r="O112" s="814"/>
      <c r="P112" s="814"/>
      <c r="Q112" s="818"/>
    </row>
    <row r="113" spans="4:17" s="462" customFormat="1" ht="12.75">
      <c r="D113" s="478"/>
      <c r="E113" s="479"/>
      <c r="M113" s="814"/>
      <c r="N113" s="814"/>
      <c r="O113" s="814"/>
      <c r="P113" s="814"/>
      <c r="Q113" s="818"/>
    </row>
    <row r="114" spans="4:17" s="462" customFormat="1" ht="12.75">
      <c r="D114" s="478"/>
      <c r="E114" s="479"/>
      <c r="M114" s="814"/>
      <c r="N114" s="814"/>
      <c r="O114" s="814"/>
      <c r="P114" s="814"/>
      <c r="Q114" s="818"/>
    </row>
    <row r="115" spans="4:17" s="462" customFormat="1" ht="12.75">
      <c r="D115" s="478"/>
      <c r="E115" s="479"/>
      <c r="M115" s="814"/>
      <c r="N115" s="814"/>
      <c r="O115" s="814"/>
      <c r="P115" s="814"/>
      <c r="Q115" s="818"/>
    </row>
    <row r="116" spans="4:17" s="462" customFormat="1" ht="12.75">
      <c r="D116" s="478"/>
      <c r="E116" s="479"/>
      <c r="M116" s="814"/>
      <c r="N116" s="814"/>
      <c r="O116" s="814"/>
      <c r="P116" s="814"/>
      <c r="Q116" s="818"/>
    </row>
    <row r="117" spans="4:17" s="462" customFormat="1" ht="12.75">
      <c r="D117" s="478"/>
      <c r="E117" s="479"/>
      <c r="M117" s="814"/>
      <c r="N117" s="814"/>
      <c r="O117" s="814"/>
      <c r="P117" s="814"/>
      <c r="Q117" s="818"/>
    </row>
    <row r="118" spans="4:17" s="462" customFormat="1" ht="12.75">
      <c r="D118" s="478"/>
      <c r="E118" s="479"/>
      <c r="M118" s="814"/>
      <c r="N118" s="814"/>
      <c r="O118" s="814"/>
      <c r="P118" s="814"/>
      <c r="Q118" s="818"/>
    </row>
    <row r="119" spans="4:17" s="462" customFormat="1" ht="12.75">
      <c r="D119" s="478"/>
      <c r="E119" s="479"/>
      <c r="M119" s="814"/>
      <c r="N119" s="814"/>
      <c r="O119" s="814"/>
      <c r="P119" s="814"/>
      <c r="Q119" s="818"/>
    </row>
    <row r="120" spans="4:17" s="462" customFormat="1" ht="12.75">
      <c r="D120" s="478"/>
      <c r="E120" s="479"/>
      <c r="M120" s="814"/>
      <c r="N120" s="814"/>
      <c r="O120" s="814"/>
      <c r="P120" s="814"/>
      <c r="Q120" s="818"/>
    </row>
    <row r="121" spans="4:17" s="462" customFormat="1" ht="12.75">
      <c r="D121" s="478"/>
      <c r="E121" s="479"/>
      <c r="M121" s="814"/>
      <c r="N121" s="814"/>
      <c r="O121" s="814"/>
      <c r="P121" s="814"/>
      <c r="Q121" s="818"/>
    </row>
    <row r="122" spans="4:17" s="462" customFormat="1" ht="12.75">
      <c r="D122" s="478"/>
      <c r="E122" s="479"/>
      <c r="M122" s="814"/>
      <c r="N122" s="814"/>
      <c r="O122" s="814"/>
      <c r="P122" s="814"/>
      <c r="Q122" s="818"/>
    </row>
    <row r="123" spans="4:17" s="462" customFormat="1" ht="12.75">
      <c r="D123" s="478"/>
      <c r="E123" s="479"/>
      <c r="M123" s="814"/>
      <c r="N123" s="814"/>
      <c r="O123" s="814"/>
      <c r="P123" s="814"/>
      <c r="Q123" s="818"/>
    </row>
    <row r="124" spans="4:17" s="462" customFormat="1" ht="12.75">
      <c r="D124" s="478"/>
      <c r="E124" s="479"/>
      <c r="M124" s="814"/>
      <c r="N124" s="814"/>
      <c r="O124" s="814"/>
      <c r="P124" s="814"/>
      <c r="Q124" s="818"/>
    </row>
    <row r="125" spans="4:17" s="462" customFormat="1" ht="12.75">
      <c r="D125" s="478"/>
      <c r="E125" s="479"/>
      <c r="M125" s="814"/>
      <c r="N125" s="814"/>
      <c r="O125" s="814"/>
      <c r="P125" s="814"/>
      <c r="Q125" s="818"/>
    </row>
    <row r="126" spans="4:17" s="462" customFormat="1" ht="12.75">
      <c r="D126" s="478"/>
      <c r="E126" s="479"/>
      <c r="M126" s="814"/>
      <c r="N126" s="814"/>
      <c r="O126" s="814"/>
      <c r="P126" s="814"/>
      <c r="Q126" s="818"/>
    </row>
    <row r="127" spans="4:17" s="462" customFormat="1" ht="12.75">
      <c r="D127" s="478"/>
      <c r="E127" s="479"/>
      <c r="M127" s="814"/>
      <c r="N127" s="814"/>
      <c r="O127" s="814"/>
      <c r="P127" s="814"/>
      <c r="Q127" s="818"/>
    </row>
    <row r="128" spans="4:17" s="462" customFormat="1" ht="12.75">
      <c r="D128" s="478"/>
      <c r="E128" s="479"/>
      <c r="M128" s="814"/>
      <c r="N128" s="814"/>
      <c r="O128" s="814"/>
      <c r="P128" s="814"/>
      <c r="Q128" s="818"/>
    </row>
    <row r="129" spans="4:17" s="462" customFormat="1" ht="12.75">
      <c r="D129" s="478"/>
      <c r="E129" s="479"/>
      <c r="M129" s="814"/>
      <c r="N129" s="814"/>
      <c r="O129" s="814"/>
      <c r="P129" s="814"/>
      <c r="Q129" s="818"/>
    </row>
    <row r="130" spans="4:17" s="462" customFormat="1" ht="12.75">
      <c r="D130" s="478"/>
      <c r="E130" s="479"/>
      <c r="M130" s="814"/>
      <c r="N130" s="814"/>
      <c r="O130" s="814"/>
      <c r="P130" s="814"/>
      <c r="Q130" s="818"/>
    </row>
    <row r="131" spans="4:17" s="462" customFormat="1" ht="12.75">
      <c r="D131" s="478"/>
      <c r="E131" s="479"/>
      <c r="M131" s="814"/>
      <c r="N131" s="814"/>
      <c r="O131" s="814"/>
      <c r="P131" s="814"/>
      <c r="Q131" s="818"/>
    </row>
    <row r="132" spans="4:17" s="462" customFormat="1" ht="12.75">
      <c r="D132" s="478"/>
      <c r="E132" s="479"/>
      <c r="M132" s="814"/>
      <c r="N132" s="814"/>
      <c r="O132" s="814"/>
      <c r="P132" s="814"/>
      <c r="Q132" s="818"/>
    </row>
    <row r="133" spans="4:17" s="462" customFormat="1" ht="12.75">
      <c r="D133" s="478"/>
      <c r="E133" s="479"/>
      <c r="M133" s="814"/>
      <c r="N133" s="814"/>
      <c r="O133" s="814"/>
      <c r="P133" s="814"/>
      <c r="Q133" s="818"/>
    </row>
    <row r="134" spans="4:17" s="462" customFormat="1" ht="12.75">
      <c r="D134" s="478"/>
      <c r="E134" s="479"/>
      <c r="M134" s="814"/>
      <c r="N134" s="814"/>
      <c r="O134" s="814"/>
      <c r="P134" s="814"/>
      <c r="Q134" s="818"/>
    </row>
    <row r="135" spans="4:17" s="462" customFormat="1" ht="12.75">
      <c r="D135" s="478"/>
      <c r="E135" s="479"/>
      <c r="M135" s="814"/>
      <c r="N135" s="814"/>
      <c r="O135" s="814"/>
      <c r="P135" s="814"/>
      <c r="Q135" s="818"/>
    </row>
    <row r="136" spans="4:17" s="462" customFormat="1" ht="12.75">
      <c r="D136" s="478"/>
      <c r="E136" s="479"/>
      <c r="M136" s="814"/>
      <c r="N136" s="814"/>
      <c r="O136" s="814"/>
      <c r="P136" s="814"/>
      <c r="Q136" s="818"/>
    </row>
    <row r="137" spans="4:17" s="462" customFormat="1" ht="12.75">
      <c r="D137" s="478"/>
      <c r="E137" s="479"/>
      <c r="M137" s="814"/>
      <c r="N137" s="814"/>
      <c r="O137" s="814"/>
      <c r="P137" s="814"/>
      <c r="Q137" s="818"/>
    </row>
    <row r="138" spans="4:17" s="462" customFormat="1" ht="12.75">
      <c r="D138" s="478"/>
      <c r="E138" s="479"/>
      <c r="M138" s="814"/>
      <c r="N138" s="814"/>
      <c r="O138" s="814"/>
      <c r="P138" s="814"/>
      <c r="Q138" s="818"/>
    </row>
    <row r="139" spans="4:17" s="462" customFormat="1" ht="12.75">
      <c r="D139" s="478"/>
      <c r="E139" s="479"/>
      <c r="M139" s="814"/>
      <c r="N139" s="814"/>
      <c r="O139" s="814"/>
      <c r="P139" s="814"/>
      <c r="Q139" s="818"/>
    </row>
    <row r="140" spans="4:17" s="462" customFormat="1" ht="12.75">
      <c r="D140" s="478"/>
      <c r="E140" s="479"/>
      <c r="M140" s="814"/>
      <c r="N140" s="814"/>
      <c r="O140" s="814"/>
      <c r="P140" s="814"/>
      <c r="Q140" s="818"/>
    </row>
    <row r="141" spans="4:17" s="462" customFormat="1" ht="12.75">
      <c r="D141" s="478"/>
      <c r="E141" s="479"/>
      <c r="M141" s="814"/>
      <c r="N141" s="814"/>
      <c r="O141" s="814"/>
      <c r="P141" s="814"/>
      <c r="Q141" s="818"/>
    </row>
    <row r="142" spans="4:17" s="462" customFormat="1" ht="12.75">
      <c r="D142" s="478"/>
      <c r="E142" s="479"/>
      <c r="M142" s="814"/>
      <c r="N142" s="814"/>
      <c r="O142" s="814"/>
      <c r="P142" s="814"/>
      <c r="Q142" s="818"/>
    </row>
    <row r="143" spans="4:17" s="462" customFormat="1" ht="12.75">
      <c r="D143" s="478"/>
      <c r="E143" s="479"/>
      <c r="M143" s="814"/>
      <c r="N143" s="814"/>
      <c r="O143" s="814"/>
      <c r="P143" s="814"/>
      <c r="Q143" s="818"/>
    </row>
    <row r="144" spans="4:17" s="462" customFormat="1" ht="12.75">
      <c r="D144" s="478"/>
      <c r="E144" s="479"/>
      <c r="M144" s="814"/>
      <c r="N144" s="814"/>
      <c r="O144" s="814"/>
      <c r="P144" s="814"/>
      <c r="Q144" s="818"/>
    </row>
    <row r="145" spans="4:17" s="462" customFormat="1" ht="12.75">
      <c r="D145" s="478"/>
      <c r="E145" s="479"/>
      <c r="M145" s="814"/>
      <c r="N145" s="814"/>
      <c r="O145" s="814"/>
      <c r="P145" s="814"/>
      <c r="Q145" s="818"/>
    </row>
    <row r="146" spans="4:17" s="462" customFormat="1" ht="12.75">
      <c r="D146" s="478"/>
      <c r="E146" s="479"/>
      <c r="M146" s="814"/>
      <c r="N146" s="814"/>
      <c r="O146" s="814"/>
      <c r="P146" s="814"/>
      <c r="Q146" s="818"/>
    </row>
    <row r="147" spans="4:17" s="462" customFormat="1" ht="12.75">
      <c r="D147" s="478"/>
      <c r="E147" s="479"/>
      <c r="M147" s="814"/>
      <c r="N147" s="814"/>
      <c r="O147" s="814"/>
      <c r="P147" s="814"/>
      <c r="Q147" s="818"/>
    </row>
    <row r="148" spans="4:17" s="462" customFormat="1" ht="12.75">
      <c r="D148" s="478"/>
      <c r="E148" s="479"/>
      <c r="M148" s="814"/>
      <c r="N148" s="814"/>
      <c r="O148" s="814"/>
      <c r="P148" s="814"/>
      <c r="Q148" s="818"/>
    </row>
    <row r="149" spans="4:17" s="462" customFormat="1" ht="12.75">
      <c r="D149" s="478"/>
      <c r="E149" s="479"/>
      <c r="M149" s="814"/>
      <c r="N149" s="814"/>
      <c r="O149" s="814"/>
      <c r="P149" s="814"/>
      <c r="Q149" s="818"/>
    </row>
    <row r="150" spans="4:17" s="462" customFormat="1" ht="12.75">
      <c r="D150" s="478"/>
      <c r="E150" s="479"/>
      <c r="M150" s="814"/>
      <c r="N150" s="814"/>
      <c r="O150" s="814"/>
      <c r="P150" s="814"/>
      <c r="Q150" s="818"/>
    </row>
    <row r="151" spans="4:17" s="462" customFormat="1" ht="12.75">
      <c r="D151" s="478"/>
      <c r="E151" s="479"/>
      <c r="M151" s="814"/>
      <c r="N151" s="814"/>
      <c r="O151" s="814"/>
      <c r="P151" s="814"/>
      <c r="Q151" s="818"/>
    </row>
    <row r="152" spans="4:17" s="462" customFormat="1" ht="12.75">
      <c r="D152" s="478"/>
      <c r="E152" s="479"/>
      <c r="M152" s="814"/>
      <c r="N152" s="814"/>
      <c r="O152" s="814"/>
      <c r="P152" s="814"/>
      <c r="Q152" s="818"/>
    </row>
    <row r="153" spans="4:17" s="462" customFormat="1" ht="12.75">
      <c r="D153" s="478"/>
      <c r="E153" s="479"/>
      <c r="M153" s="814"/>
      <c r="N153" s="814"/>
      <c r="O153" s="814"/>
      <c r="P153" s="814"/>
      <c r="Q153" s="818"/>
    </row>
    <row r="154" spans="4:17" s="462" customFormat="1" ht="12.75">
      <c r="D154" s="478"/>
      <c r="E154" s="479"/>
      <c r="M154" s="814"/>
      <c r="N154" s="814"/>
      <c r="O154" s="814"/>
      <c r="P154" s="814"/>
      <c r="Q154" s="818"/>
    </row>
    <row r="155" spans="4:17" s="462" customFormat="1" ht="12.75">
      <c r="D155" s="478"/>
      <c r="E155" s="479"/>
      <c r="M155" s="814"/>
      <c r="N155" s="814"/>
      <c r="O155" s="814"/>
      <c r="P155" s="814"/>
      <c r="Q155" s="818"/>
    </row>
    <row r="156" spans="4:17" s="462" customFormat="1" ht="12.75">
      <c r="D156" s="478"/>
      <c r="E156" s="479"/>
      <c r="M156" s="814"/>
      <c r="N156" s="814"/>
      <c r="O156" s="814"/>
      <c r="P156" s="814"/>
      <c r="Q156" s="818"/>
    </row>
    <row r="157" spans="4:17" s="462" customFormat="1" ht="12.75">
      <c r="D157" s="478"/>
      <c r="E157" s="479"/>
      <c r="M157" s="814"/>
      <c r="N157" s="814"/>
      <c r="O157" s="814"/>
      <c r="P157" s="814"/>
      <c r="Q157" s="818"/>
    </row>
    <row r="158" spans="4:17" s="462" customFormat="1" ht="12.75">
      <c r="D158" s="478"/>
      <c r="E158" s="479"/>
      <c r="M158" s="814"/>
      <c r="N158" s="814"/>
      <c r="O158" s="814"/>
      <c r="P158" s="814"/>
      <c r="Q158" s="818"/>
    </row>
    <row r="159" spans="4:17" s="462" customFormat="1" ht="12.75">
      <c r="D159" s="478"/>
      <c r="E159" s="479"/>
      <c r="M159" s="814"/>
      <c r="N159" s="814"/>
      <c r="O159" s="814"/>
      <c r="P159" s="814"/>
      <c r="Q159" s="818"/>
    </row>
    <row r="160" spans="4:17" s="462" customFormat="1" ht="12.75">
      <c r="D160" s="478"/>
      <c r="E160" s="479"/>
      <c r="M160" s="814"/>
      <c r="N160" s="814"/>
      <c r="O160" s="814"/>
      <c r="P160" s="814"/>
      <c r="Q160" s="818"/>
    </row>
    <row r="161" spans="4:17" s="462" customFormat="1" ht="12.75">
      <c r="D161" s="478"/>
      <c r="E161" s="479"/>
      <c r="M161" s="814"/>
      <c r="N161" s="814"/>
      <c r="O161" s="814"/>
      <c r="P161" s="814"/>
      <c r="Q161" s="818"/>
    </row>
    <row r="162" spans="4:17" s="462" customFormat="1" ht="12.75">
      <c r="D162" s="478"/>
      <c r="E162" s="479"/>
      <c r="M162" s="814"/>
      <c r="N162" s="814"/>
      <c r="O162" s="814"/>
      <c r="P162" s="814"/>
      <c r="Q162" s="818"/>
    </row>
    <row r="163" spans="4:17" s="462" customFormat="1" ht="12.75">
      <c r="D163" s="478"/>
      <c r="E163" s="479"/>
      <c r="M163" s="814"/>
      <c r="N163" s="814"/>
      <c r="O163" s="814"/>
      <c r="P163" s="814"/>
      <c r="Q163" s="818"/>
    </row>
    <row r="164" spans="4:17" s="462" customFormat="1" ht="12.75">
      <c r="D164" s="478"/>
      <c r="E164" s="479"/>
      <c r="M164" s="814"/>
      <c r="N164" s="814"/>
      <c r="O164" s="814"/>
      <c r="P164" s="814"/>
      <c r="Q164" s="818"/>
    </row>
    <row r="165" spans="4:17" s="462" customFormat="1" ht="12.75">
      <c r="D165" s="478"/>
      <c r="E165" s="479"/>
      <c r="M165" s="814"/>
      <c r="N165" s="814"/>
      <c r="O165" s="814"/>
      <c r="P165" s="814"/>
      <c r="Q165" s="818"/>
    </row>
    <row r="166" spans="4:17" s="462" customFormat="1" ht="12.75">
      <c r="D166" s="478"/>
      <c r="E166" s="479"/>
      <c r="M166" s="814"/>
      <c r="N166" s="814"/>
      <c r="O166" s="814"/>
      <c r="P166" s="814"/>
      <c r="Q166" s="818"/>
    </row>
    <row r="167" spans="4:17" s="462" customFormat="1" ht="12.75">
      <c r="D167" s="478"/>
      <c r="E167" s="479"/>
      <c r="M167" s="814"/>
      <c r="N167" s="814"/>
      <c r="O167" s="814"/>
      <c r="P167" s="814"/>
      <c r="Q167" s="818"/>
    </row>
    <row r="168" spans="4:17" s="462" customFormat="1" ht="12.75">
      <c r="D168" s="478"/>
      <c r="E168" s="479"/>
      <c r="M168" s="814"/>
      <c r="N168" s="814"/>
      <c r="O168" s="814"/>
      <c r="P168" s="814"/>
      <c r="Q168" s="818"/>
    </row>
    <row r="169" spans="4:17" s="462" customFormat="1" ht="12.75">
      <c r="D169" s="478"/>
      <c r="E169" s="479"/>
      <c r="M169" s="814"/>
      <c r="N169" s="814"/>
      <c r="O169" s="814"/>
      <c r="P169" s="814"/>
      <c r="Q169" s="818"/>
    </row>
    <row r="170" spans="4:17" s="462" customFormat="1" ht="12.75">
      <c r="D170" s="478"/>
      <c r="E170" s="479"/>
      <c r="M170" s="814"/>
      <c r="N170" s="814"/>
      <c r="O170" s="814"/>
      <c r="P170" s="814"/>
      <c r="Q170" s="818"/>
    </row>
    <row r="171" spans="4:17" s="462" customFormat="1" ht="12.75">
      <c r="D171" s="478"/>
      <c r="E171" s="479"/>
      <c r="M171" s="814"/>
      <c r="N171" s="814"/>
      <c r="O171" s="814"/>
      <c r="P171" s="814"/>
      <c r="Q171" s="818"/>
    </row>
    <row r="172" spans="4:17" s="462" customFormat="1" ht="12.75">
      <c r="D172" s="478"/>
      <c r="E172" s="479"/>
      <c r="M172" s="814"/>
      <c r="N172" s="814"/>
      <c r="O172" s="814"/>
      <c r="P172" s="814"/>
      <c r="Q172" s="818"/>
    </row>
    <row r="173" spans="4:17" s="462" customFormat="1" ht="12.75">
      <c r="D173" s="478"/>
      <c r="E173" s="479"/>
      <c r="M173" s="814"/>
      <c r="N173" s="814"/>
      <c r="O173" s="814"/>
      <c r="P173" s="814"/>
      <c r="Q173" s="818"/>
    </row>
    <row r="174" spans="4:17" s="462" customFormat="1" ht="12.75">
      <c r="D174" s="478"/>
      <c r="E174" s="479"/>
      <c r="M174" s="814"/>
      <c r="N174" s="814"/>
      <c r="O174" s="814"/>
      <c r="P174" s="814"/>
      <c r="Q174" s="818"/>
    </row>
    <row r="175" spans="4:17" s="462" customFormat="1" ht="12.75">
      <c r="D175" s="478"/>
      <c r="E175" s="479"/>
      <c r="M175" s="814"/>
      <c r="N175" s="814"/>
      <c r="O175" s="814"/>
      <c r="P175" s="814"/>
      <c r="Q175" s="818"/>
    </row>
    <row r="176" spans="4:17" s="462" customFormat="1" ht="12.75">
      <c r="D176" s="478"/>
      <c r="E176" s="479"/>
      <c r="M176" s="814"/>
      <c r="N176" s="814"/>
      <c r="O176" s="814"/>
      <c r="P176" s="814"/>
      <c r="Q176" s="818"/>
    </row>
    <row r="177" spans="4:17" s="462" customFormat="1" ht="12.75">
      <c r="D177" s="478"/>
      <c r="E177" s="479"/>
      <c r="M177" s="814"/>
      <c r="N177" s="814"/>
      <c r="O177" s="814"/>
      <c r="P177" s="814"/>
      <c r="Q177" s="818"/>
    </row>
    <row r="178" spans="4:17" s="462" customFormat="1" ht="12.75">
      <c r="D178" s="478"/>
      <c r="E178" s="479"/>
      <c r="M178" s="814"/>
      <c r="N178" s="814"/>
      <c r="O178" s="814"/>
      <c r="P178" s="814"/>
      <c r="Q178" s="818"/>
    </row>
    <row r="179" spans="4:17" s="462" customFormat="1" ht="12.75">
      <c r="D179" s="478"/>
      <c r="E179" s="479"/>
      <c r="M179" s="814"/>
      <c r="N179" s="814"/>
      <c r="O179" s="814"/>
      <c r="P179" s="814"/>
      <c r="Q179" s="818"/>
    </row>
    <row r="180" spans="4:17" s="462" customFormat="1" ht="12.75">
      <c r="D180" s="478"/>
      <c r="E180" s="479"/>
      <c r="M180" s="814"/>
      <c r="N180" s="814"/>
      <c r="O180" s="814"/>
      <c r="P180" s="814"/>
      <c r="Q180" s="818"/>
    </row>
    <row r="181" spans="4:17" s="462" customFormat="1" ht="12.75">
      <c r="D181" s="478"/>
      <c r="E181" s="479"/>
      <c r="M181" s="814"/>
      <c r="N181" s="814"/>
      <c r="O181" s="814"/>
      <c r="P181" s="814"/>
      <c r="Q181" s="818"/>
    </row>
    <row r="182" spans="4:17" s="462" customFormat="1" ht="12.75">
      <c r="D182" s="478"/>
      <c r="E182" s="479"/>
      <c r="M182" s="814"/>
      <c r="N182" s="814"/>
      <c r="O182" s="814"/>
      <c r="P182" s="814"/>
      <c r="Q182" s="818"/>
    </row>
    <row r="183" spans="4:17" s="462" customFormat="1" ht="12.75">
      <c r="D183" s="478"/>
      <c r="E183" s="479"/>
      <c r="M183" s="814"/>
      <c r="N183" s="814"/>
      <c r="O183" s="814"/>
      <c r="P183" s="814"/>
      <c r="Q183" s="818"/>
    </row>
    <row r="184" spans="4:17" s="462" customFormat="1" ht="12.75">
      <c r="D184" s="478"/>
      <c r="E184" s="479"/>
      <c r="M184" s="814"/>
      <c r="N184" s="814"/>
      <c r="O184" s="814"/>
      <c r="P184" s="814"/>
      <c r="Q184" s="818"/>
    </row>
    <row r="185" spans="4:17" s="462" customFormat="1" ht="12.75">
      <c r="D185" s="478"/>
      <c r="E185" s="479"/>
      <c r="M185" s="814"/>
      <c r="N185" s="814"/>
      <c r="O185" s="814"/>
      <c r="P185" s="814"/>
      <c r="Q185" s="818"/>
    </row>
    <row r="186" spans="4:17" s="462" customFormat="1" ht="12.75">
      <c r="D186" s="478"/>
      <c r="E186" s="479"/>
      <c r="M186" s="814"/>
      <c r="N186" s="814"/>
      <c r="O186" s="814"/>
      <c r="P186" s="814"/>
      <c r="Q186" s="818"/>
    </row>
    <row r="187" spans="4:17" s="462" customFormat="1" ht="12.75">
      <c r="D187" s="478"/>
      <c r="E187" s="479"/>
      <c r="M187" s="814"/>
      <c r="N187" s="814"/>
      <c r="O187" s="814"/>
      <c r="P187" s="814"/>
      <c r="Q187" s="818"/>
    </row>
    <row r="188" spans="4:17" s="462" customFormat="1" ht="12.75">
      <c r="D188" s="478"/>
      <c r="E188" s="479"/>
      <c r="M188" s="814"/>
      <c r="N188" s="814"/>
      <c r="O188" s="814"/>
      <c r="P188" s="814"/>
      <c r="Q188" s="818"/>
    </row>
    <row r="189" spans="4:17" s="462" customFormat="1" ht="12.75">
      <c r="D189" s="478"/>
      <c r="E189" s="479"/>
      <c r="M189" s="814"/>
      <c r="N189" s="814"/>
      <c r="O189" s="814"/>
      <c r="P189" s="814"/>
      <c r="Q189" s="818"/>
    </row>
    <row r="190" spans="4:17" s="462" customFormat="1" ht="12.75">
      <c r="D190" s="478"/>
      <c r="E190" s="479"/>
      <c r="M190" s="814"/>
      <c r="N190" s="814"/>
      <c r="O190" s="814"/>
      <c r="P190" s="814"/>
      <c r="Q190" s="818"/>
    </row>
    <row r="191" spans="4:17" s="462" customFormat="1" ht="12.75">
      <c r="D191" s="478"/>
      <c r="E191" s="479"/>
      <c r="M191" s="814"/>
      <c r="N191" s="814"/>
      <c r="O191" s="814"/>
      <c r="P191" s="814"/>
      <c r="Q191" s="818"/>
    </row>
    <row r="192" spans="4:17" s="462" customFormat="1" ht="12.75">
      <c r="D192" s="478"/>
      <c r="E192" s="479"/>
      <c r="M192" s="814"/>
      <c r="N192" s="814"/>
      <c r="O192" s="814"/>
      <c r="P192" s="814"/>
      <c r="Q192" s="818"/>
    </row>
    <row r="193" spans="4:17" s="462" customFormat="1" ht="12.75">
      <c r="D193" s="478"/>
      <c r="E193" s="479"/>
      <c r="M193" s="814"/>
      <c r="N193" s="814"/>
      <c r="O193" s="814"/>
      <c r="P193" s="814"/>
      <c r="Q193" s="818"/>
    </row>
    <row r="194" spans="4:17" s="462" customFormat="1" ht="12.75">
      <c r="D194" s="478"/>
      <c r="E194" s="479"/>
      <c r="M194" s="814"/>
      <c r="N194" s="814"/>
      <c r="O194" s="814"/>
      <c r="P194" s="814"/>
      <c r="Q194" s="818"/>
    </row>
    <row r="195" spans="4:17" s="462" customFormat="1" ht="12.75">
      <c r="D195" s="478"/>
      <c r="E195" s="479"/>
      <c r="M195" s="814"/>
      <c r="N195" s="814"/>
      <c r="O195" s="814"/>
      <c r="P195" s="814"/>
      <c r="Q195" s="818"/>
    </row>
    <row r="196" spans="4:17" s="462" customFormat="1" ht="12.75">
      <c r="D196" s="478"/>
      <c r="E196" s="479"/>
      <c r="M196" s="814"/>
      <c r="N196" s="814"/>
      <c r="O196" s="814"/>
      <c r="P196" s="814"/>
      <c r="Q196" s="818"/>
    </row>
    <row r="197" spans="4:17" s="462" customFormat="1" ht="12.75">
      <c r="D197" s="478"/>
      <c r="E197" s="479"/>
      <c r="M197" s="814"/>
      <c r="N197" s="814"/>
      <c r="O197" s="814"/>
      <c r="P197" s="814"/>
      <c r="Q197" s="818"/>
    </row>
    <row r="198" spans="4:17" s="462" customFormat="1" ht="12.75">
      <c r="D198" s="478"/>
      <c r="E198" s="479"/>
      <c r="M198" s="814"/>
      <c r="N198" s="814"/>
      <c r="O198" s="814"/>
      <c r="P198" s="814"/>
      <c r="Q198" s="818"/>
    </row>
    <row r="199" spans="4:17" s="462" customFormat="1" ht="12.75">
      <c r="D199" s="478"/>
      <c r="E199" s="479"/>
      <c r="M199" s="814"/>
      <c r="N199" s="814"/>
      <c r="O199" s="814"/>
      <c r="P199" s="814"/>
      <c r="Q199" s="818"/>
    </row>
    <row r="200" spans="4:17" s="462" customFormat="1" ht="12.75">
      <c r="D200" s="478"/>
      <c r="E200" s="479"/>
      <c r="M200" s="814"/>
      <c r="N200" s="814"/>
      <c r="O200" s="814"/>
      <c r="P200" s="814"/>
      <c r="Q200" s="818"/>
    </row>
    <row r="201" spans="4:17" s="462" customFormat="1" ht="12.75">
      <c r="D201" s="478"/>
      <c r="E201" s="479"/>
      <c r="M201" s="814"/>
      <c r="N201" s="814"/>
      <c r="O201" s="814"/>
      <c r="P201" s="814"/>
      <c r="Q201" s="818"/>
    </row>
    <row r="202" spans="4:17" s="462" customFormat="1" ht="12.75">
      <c r="D202" s="478"/>
      <c r="E202" s="479"/>
      <c r="M202" s="814"/>
      <c r="N202" s="814"/>
      <c r="O202" s="814"/>
      <c r="P202" s="814"/>
      <c r="Q202" s="818"/>
    </row>
    <row r="203" spans="4:17" s="462" customFormat="1" ht="12.75">
      <c r="D203" s="478"/>
      <c r="E203" s="479"/>
      <c r="M203" s="814"/>
      <c r="N203" s="814"/>
      <c r="O203" s="814"/>
      <c r="P203" s="814"/>
      <c r="Q203" s="818"/>
    </row>
    <row r="204" spans="4:17" s="462" customFormat="1" ht="12.75">
      <c r="D204" s="478"/>
      <c r="E204" s="479"/>
      <c r="M204" s="814"/>
      <c r="N204" s="814"/>
      <c r="O204" s="814"/>
      <c r="P204" s="814"/>
      <c r="Q204" s="818"/>
    </row>
    <row r="205" spans="4:17" s="462" customFormat="1" ht="12.75">
      <c r="D205" s="478"/>
      <c r="E205" s="479"/>
      <c r="M205" s="814"/>
      <c r="N205" s="814"/>
      <c r="O205" s="814"/>
      <c r="P205" s="814"/>
      <c r="Q205" s="818"/>
    </row>
    <row r="206" spans="4:17" s="462" customFormat="1" ht="12.75">
      <c r="D206" s="478"/>
      <c r="E206" s="479"/>
      <c r="M206" s="814"/>
      <c r="N206" s="814"/>
      <c r="O206" s="814"/>
      <c r="P206" s="814"/>
      <c r="Q206" s="818"/>
    </row>
    <row r="207" spans="4:17" s="462" customFormat="1" ht="12.75">
      <c r="D207" s="478"/>
      <c r="E207" s="479"/>
      <c r="M207" s="814"/>
      <c r="N207" s="814"/>
      <c r="O207" s="814"/>
      <c r="P207" s="814"/>
      <c r="Q207" s="818"/>
    </row>
    <row r="208" spans="4:17" s="462" customFormat="1" ht="12.75">
      <c r="D208" s="478"/>
      <c r="E208" s="479"/>
      <c r="M208" s="814"/>
      <c r="N208" s="814"/>
      <c r="O208" s="814"/>
      <c r="P208" s="814"/>
      <c r="Q208" s="818"/>
    </row>
    <row r="209" spans="4:17" s="462" customFormat="1" ht="12.75">
      <c r="D209" s="478"/>
      <c r="E209" s="479"/>
      <c r="M209" s="814"/>
      <c r="N209" s="814"/>
      <c r="O209" s="814"/>
      <c r="P209" s="814"/>
      <c r="Q209" s="818"/>
    </row>
    <row r="210" spans="4:17" s="462" customFormat="1" ht="12.75">
      <c r="D210" s="478"/>
      <c r="E210" s="479"/>
      <c r="M210" s="814"/>
      <c r="N210" s="814"/>
      <c r="O210" s="814"/>
      <c r="P210" s="814"/>
      <c r="Q210" s="818"/>
    </row>
    <row r="211" spans="4:17" s="462" customFormat="1" ht="12.75">
      <c r="D211" s="478"/>
      <c r="E211" s="479"/>
      <c r="M211" s="814"/>
      <c r="N211" s="814"/>
      <c r="O211" s="814"/>
      <c r="P211" s="814"/>
      <c r="Q211" s="818"/>
    </row>
    <row r="212" spans="4:17" s="462" customFormat="1" ht="12.75">
      <c r="D212" s="478"/>
      <c r="E212" s="479"/>
      <c r="M212" s="814"/>
      <c r="N212" s="814"/>
      <c r="O212" s="814"/>
      <c r="P212" s="814"/>
      <c r="Q212" s="818"/>
    </row>
    <row r="213" spans="4:17" s="462" customFormat="1" ht="12.75">
      <c r="D213" s="478"/>
      <c r="E213" s="479"/>
      <c r="M213" s="814"/>
      <c r="N213" s="814"/>
      <c r="O213" s="814"/>
      <c r="P213" s="814"/>
      <c r="Q213" s="818"/>
    </row>
    <row r="214" spans="4:17" s="462" customFormat="1" ht="12.75">
      <c r="D214" s="478"/>
      <c r="E214" s="479"/>
      <c r="M214" s="814"/>
      <c r="N214" s="814"/>
      <c r="O214" s="814"/>
      <c r="P214" s="814"/>
      <c r="Q214" s="818"/>
    </row>
    <row r="215" spans="4:17" s="462" customFormat="1" ht="12.75">
      <c r="D215" s="478"/>
      <c r="E215" s="479"/>
      <c r="M215" s="814"/>
      <c r="N215" s="814"/>
      <c r="O215" s="814"/>
      <c r="P215" s="814"/>
      <c r="Q215" s="818"/>
    </row>
    <row r="216" spans="4:17" s="462" customFormat="1" ht="12.75">
      <c r="D216" s="478"/>
      <c r="E216" s="479"/>
      <c r="M216" s="814"/>
      <c r="N216" s="814"/>
      <c r="O216" s="814"/>
      <c r="P216" s="814"/>
      <c r="Q216" s="818"/>
    </row>
    <row r="217" spans="4:17" s="462" customFormat="1" ht="12.75">
      <c r="D217" s="478"/>
      <c r="E217" s="479"/>
      <c r="M217" s="814"/>
      <c r="N217" s="814"/>
      <c r="O217" s="814"/>
      <c r="P217" s="814"/>
      <c r="Q217" s="818"/>
    </row>
    <row r="218" spans="4:17" s="462" customFormat="1" ht="12.75">
      <c r="D218" s="478"/>
      <c r="E218" s="479"/>
      <c r="M218" s="814"/>
      <c r="N218" s="814"/>
      <c r="O218" s="814"/>
      <c r="P218" s="814"/>
      <c r="Q218" s="818"/>
    </row>
    <row r="219" spans="4:17" s="462" customFormat="1" ht="12.75">
      <c r="D219" s="478"/>
      <c r="E219" s="479"/>
      <c r="M219" s="814"/>
      <c r="N219" s="814"/>
      <c r="O219" s="814"/>
      <c r="P219" s="814"/>
      <c r="Q219" s="818"/>
    </row>
    <row r="220" spans="4:17" s="462" customFormat="1" ht="12.75">
      <c r="D220" s="478"/>
      <c r="E220" s="479"/>
      <c r="M220" s="814"/>
      <c r="N220" s="814"/>
      <c r="O220" s="814"/>
      <c r="P220" s="814"/>
      <c r="Q220" s="818"/>
    </row>
    <row r="221" spans="4:17" s="462" customFormat="1" ht="12.75">
      <c r="D221" s="478"/>
      <c r="E221" s="479"/>
      <c r="M221" s="814"/>
      <c r="N221" s="814"/>
      <c r="O221" s="814"/>
      <c r="P221" s="814"/>
      <c r="Q221" s="818"/>
    </row>
    <row r="222" spans="4:17" s="462" customFormat="1" ht="12.75">
      <c r="D222" s="478"/>
      <c r="E222" s="479"/>
      <c r="M222" s="814"/>
      <c r="N222" s="814"/>
      <c r="O222" s="814"/>
      <c r="P222" s="814"/>
      <c r="Q222" s="818"/>
    </row>
    <row r="223" spans="4:17" s="462" customFormat="1" ht="12.75">
      <c r="D223" s="478"/>
      <c r="E223" s="479"/>
      <c r="M223" s="814"/>
      <c r="N223" s="814"/>
      <c r="O223" s="814"/>
      <c r="P223" s="814"/>
      <c r="Q223" s="818"/>
    </row>
    <row r="224" spans="4:17" s="462" customFormat="1" ht="12.75">
      <c r="D224" s="478"/>
      <c r="E224" s="479"/>
      <c r="M224" s="814"/>
      <c r="N224" s="814"/>
      <c r="O224" s="814"/>
      <c r="P224" s="814"/>
      <c r="Q224" s="818"/>
    </row>
    <row r="225" spans="4:17" s="462" customFormat="1" ht="12.75">
      <c r="D225" s="478"/>
      <c r="E225" s="479"/>
      <c r="M225" s="814"/>
      <c r="N225" s="814"/>
      <c r="O225" s="814"/>
      <c r="P225" s="814"/>
      <c r="Q225" s="818"/>
    </row>
    <row r="226" spans="4:17" s="462" customFormat="1" ht="12.75">
      <c r="D226" s="478"/>
      <c r="E226" s="479"/>
      <c r="M226" s="814"/>
      <c r="N226" s="814"/>
      <c r="O226" s="814"/>
      <c r="P226" s="814"/>
      <c r="Q226" s="818"/>
    </row>
    <row r="227" spans="4:17" s="462" customFormat="1" ht="12.75">
      <c r="D227" s="478"/>
      <c r="E227" s="479"/>
      <c r="M227" s="814"/>
      <c r="N227" s="814"/>
      <c r="O227" s="814"/>
      <c r="P227" s="814"/>
      <c r="Q227" s="818"/>
    </row>
    <row r="228" spans="4:17" s="462" customFormat="1" ht="12.75">
      <c r="D228" s="478"/>
      <c r="E228" s="479"/>
      <c r="M228" s="814"/>
      <c r="N228" s="814"/>
      <c r="O228" s="814"/>
      <c r="P228" s="814"/>
      <c r="Q228" s="818"/>
    </row>
    <row r="229" spans="4:17" s="462" customFormat="1" ht="12.75">
      <c r="D229" s="478"/>
      <c r="E229" s="479"/>
      <c r="M229" s="814"/>
      <c r="N229" s="814"/>
      <c r="O229" s="814"/>
      <c r="P229" s="814"/>
      <c r="Q229" s="818"/>
    </row>
    <row r="230" spans="4:17" s="462" customFormat="1" ht="12.75">
      <c r="D230" s="478"/>
      <c r="E230" s="479"/>
      <c r="M230" s="814"/>
      <c r="N230" s="814"/>
      <c r="O230" s="814"/>
      <c r="P230" s="814"/>
      <c r="Q230" s="818"/>
    </row>
    <row r="231" spans="4:17" s="462" customFormat="1" ht="12.75">
      <c r="D231" s="478"/>
      <c r="E231" s="479"/>
      <c r="M231" s="814"/>
      <c r="N231" s="814"/>
      <c r="O231" s="814"/>
      <c r="P231" s="814"/>
      <c r="Q231" s="818"/>
    </row>
    <row r="232" spans="4:17" s="462" customFormat="1" ht="12.75">
      <c r="D232" s="478"/>
      <c r="E232" s="479"/>
      <c r="M232" s="814"/>
      <c r="N232" s="814"/>
      <c r="O232" s="814"/>
      <c r="P232" s="814"/>
      <c r="Q232" s="818"/>
    </row>
    <row r="233" spans="4:17" s="462" customFormat="1" ht="12.75">
      <c r="D233" s="478"/>
      <c r="E233" s="479"/>
      <c r="M233" s="814"/>
      <c r="N233" s="814"/>
      <c r="O233" s="814"/>
      <c r="P233" s="814"/>
      <c r="Q233" s="818"/>
    </row>
    <row r="234" spans="4:17" s="462" customFormat="1" ht="12.75">
      <c r="D234" s="478"/>
      <c r="E234" s="479"/>
      <c r="M234" s="814"/>
      <c r="N234" s="814"/>
      <c r="O234" s="814"/>
      <c r="P234" s="814"/>
      <c r="Q234" s="818"/>
    </row>
    <row r="235" spans="4:17" s="462" customFormat="1" ht="12.75">
      <c r="D235" s="478"/>
      <c r="E235" s="479"/>
      <c r="M235" s="814"/>
      <c r="N235" s="814"/>
      <c r="O235" s="814"/>
      <c r="P235" s="814"/>
      <c r="Q235" s="818"/>
    </row>
    <row r="236" spans="4:17" s="462" customFormat="1" ht="12.75">
      <c r="D236" s="478"/>
      <c r="E236" s="479"/>
      <c r="M236" s="814"/>
      <c r="N236" s="814"/>
      <c r="O236" s="814"/>
      <c r="P236" s="814"/>
      <c r="Q236" s="818"/>
    </row>
    <row r="237" spans="4:17" s="462" customFormat="1" ht="12.75">
      <c r="D237" s="478"/>
      <c r="E237" s="479"/>
      <c r="M237" s="814"/>
      <c r="N237" s="814"/>
      <c r="O237" s="814"/>
      <c r="P237" s="814"/>
      <c r="Q237" s="818"/>
    </row>
    <row r="238" spans="4:17" s="462" customFormat="1" ht="12.75">
      <c r="D238" s="478"/>
      <c r="E238" s="479"/>
      <c r="M238" s="814"/>
      <c r="N238" s="814"/>
      <c r="O238" s="814"/>
      <c r="P238" s="814"/>
      <c r="Q238" s="818"/>
    </row>
    <row r="239" spans="4:17" s="462" customFormat="1" ht="12.75">
      <c r="D239" s="478"/>
      <c r="E239" s="479"/>
      <c r="M239" s="814"/>
      <c r="N239" s="814"/>
      <c r="O239" s="814"/>
      <c r="P239" s="814"/>
      <c r="Q239" s="818"/>
    </row>
    <row r="240" spans="4:17" s="462" customFormat="1" ht="12.75">
      <c r="D240" s="478"/>
      <c r="E240" s="479"/>
      <c r="M240" s="814"/>
      <c r="N240" s="814"/>
      <c r="O240" s="814"/>
      <c r="P240" s="814"/>
      <c r="Q240" s="818"/>
    </row>
    <row r="241" spans="4:17" s="462" customFormat="1" ht="12.75">
      <c r="D241" s="478"/>
      <c r="E241" s="479"/>
      <c r="M241" s="814"/>
      <c r="N241" s="814"/>
      <c r="O241" s="814"/>
      <c r="P241" s="814"/>
      <c r="Q241" s="818"/>
    </row>
    <row r="242" spans="4:17" s="462" customFormat="1" ht="12.75">
      <c r="D242" s="478"/>
      <c r="E242" s="479"/>
      <c r="M242" s="814"/>
      <c r="N242" s="814"/>
      <c r="O242" s="814"/>
      <c r="P242" s="814"/>
      <c r="Q242" s="818"/>
    </row>
    <row r="243" spans="4:17" s="462" customFormat="1" ht="12.75">
      <c r="D243" s="478"/>
      <c r="E243" s="479"/>
      <c r="M243" s="814"/>
      <c r="N243" s="814"/>
      <c r="O243" s="814"/>
      <c r="P243" s="814"/>
      <c r="Q243" s="818"/>
    </row>
    <row r="244" spans="4:17" s="462" customFormat="1" ht="12.75">
      <c r="D244" s="478"/>
      <c r="E244" s="479"/>
      <c r="M244" s="814"/>
      <c r="N244" s="814"/>
      <c r="O244" s="814"/>
      <c r="P244" s="814"/>
      <c r="Q244" s="818"/>
    </row>
    <row r="245" spans="4:17" s="462" customFormat="1" ht="12.75">
      <c r="D245" s="478"/>
      <c r="E245" s="479"/>
      <c r="M245" s="814"/>
      <c r="N245" s="814"/>
      <c r="O245" s="814"/>
      <c r="P245" s="814"/>
      <c r="Q245" s="818"/>
    </row>
    <row r="246" spans="4:17" s="462" customFormat="1" ht="12.75">
      <c r="D246" s="478"/>
      <c r="E246" s="479"/>
      <c r="M246" s="814"/>
      <c r="N246" s="814"/>
      <c r="O246" s="814"/>
      <c r="P246" s="814"/>
      <c r="Q246" s="818"/>
    </row>
    <row r="247" spans="4:17" s="462" customFormat="1" ht="12.75">
      <c r="D247" s="478"/>
      <c r="E247" s="479"/>
      <c r="M247" s="814"/>
      <c r="N247" s="814"/>
      <c r="O247" s="814"/>
      <c r="P247" s="814"/>
      <c r="Q247" s="818"/>
    </row>
    <row r="248" spans="4:17" s="462" customFormat="1" ht="12.75">
      <c r="D248" s="478"/>
      <c r="E248" s="479"/>
      <c r="M248" s="814"/>
      <c r="N248" s="814"/>
      <c r="O248" s="814"/>
      <c r="P248" s="814"/>
      <c r="Q248" s="818"/>
    </row>
    <row r="249" spans="4:17" s="462" customFormat="1" ht="12.75">
      <c r="D249" s="478"/>
      <c r="E249" s="479"/>
      <c r="M249" s="814"/>
      <c r="N249" s="814"/>
      <c r="O249" s="814"/>
      <c r="P249" s="814"/>
      <c r="Q249" s="818"/>
    </row>
    <row r="250" spans="4:17" s="462" customFormat="1" ht="12.75">
      <c r="D250" s="478"/>
      <c r="E250" s="479"/>
      <c r="M250" s="814"/>
      <c r="N250" s="814"/>
      <c r="O250" s="814"/>
      <c r="P250" s="814"/>
      <c r="Q250" s="818"/>
    </row>
    <row r="251" spans="4:17" s="462" customFormat="1" ht="12.75">
      <c r="D251" s="478"/>
      <c r="E251" s="479"/>
      <c r="M251" s="814"/>
      <c r="N251" s="814"/>
      <c r="O251" s="814"/>
      <c r="P251" s="814"/>
      <c r="Q251" s="818"/>
    </row>
    <row r="252" spans="4:17" s="462" customFormat="1" ht="12.75">
      <c r="D252" s="478"/>
      <c r="E252" s="479"/>
      <c r="M252" s="814"/>
      <c r="N252" s="814"/>
      <c r="O252" s="814"/>
      <c r="P252" s="814"/>
      <c r="Q252" s="818"/>
    </row>
    <row r="253" spans="4:17" s="462" customFormat="1" ht="12.75">
      <c r="D253" s="478"/>
      <c r="E253" s="479"/>
      <c r="M253" s="814"/>
      <c r="N253" s="814"/>
      <c r="O253" s="814"/>
      <c r="P253" s="814"/>
      <c r="Q253" s="818"/>
    </row>
    <row r="254" spans="4:17" s="462" customFormat="1" ht="12.75">
      <c r="D254" s="478"/>
      <c r="E254" s="479"/>
      <c r="M254" s="814"/>
      <c r="N254" s="814"/>
      <c r="O254" s="814"/>
      <c r="P254" s="814"/>
      <c r="Q254" s="818"/>
    </row>
    <row r="255" spans="4:17" s="462" customFormat="1" ht="12.75">
      <c r="D255" s="478"/>
      <c r="E255" s="479"/>
      <c r="M255" s="814"/>
      <c r="N255" s="814"/>
      <c r="O255" s="814"/>
      <c r="P255" s="814"/>
      <c r="Q255" s="818"/>
    </row>
    <row r="256" spans="4:17" s="462" customFormat="1" ht="12.75">
      <c r="D256" s="478"/>
      <c r="E256" s="479"/>
      <c r="M256" s="814"/>
      <c r="N256" s="814"/>
      <c r="O256" s="814"/>
      <c r="P256" s="814"/>
      <c r="Q256" s="818"/>
    </row>
    <row r="257" spans="4:17" s="462" customFormat="1" ht="12.75">
      <c r="D257" s="478"/>
      <c r="E257" s="479"/>
      <c r="M257" s="814"/>
      <c r="N257" s="814"/>
      <c r="O257" s="814"/>
      <c r="P257" s="814"/>
      <c r="Q257" s="818"/>
    </row>
    <row r="258" spans="4:17" s="462" customFormat="1" ht="12.75">
      <c r="D258" s="478"/>
      <c r="E258" s="479"/>
      <c r="M258" s="814"/>
      <c r="N258" s="814"/>
      <c r="O258" s="814"/>
      <c r="P258" s="814"/>
      <c r="Q258" s="818"/>
    </row>
    <row r="259" spans="4:17" s="462" customFormat="1" ht="12.75">
      <c r="D259" s="478"/>
      <c r="E259" s="479"/>
      <c r="M259" s="814"/>
      <c r="N259" s="814"/>
      <c r="O259" s="814"/>
      <c r="P259" s="814"/>
      <c r="Q259" s="818"/>
    </row>
    <row r="260" spans="4:17" s="462" customFormat="1" ht="12.75">
      <c r="D260" s="478"/>
      <c r="E260" s="479"/>
      <c r="M260" s="814"/>
      <c r="N260" s="814"/>
      <c r="O260" s="814"/>
      <c r="P260" s="814"/>
      <c r="Q260" s="818"/>
    </row>
    <row r="261" spans="4:17" s="462" customFormat="1" ht="12.75">
      <c r="D261" s="478"/>
      <c r="E261" s="479"/>
      <c r="M261" s="814"/>
      <c r="N261" s="814"/>
      <c r="O261" s="814"/>
      <c r="P261" s="814"/>
      <c r="Q261" s="818"/>
    </row>
    <row r="262" spans="4:17" s="462" customFormat="1" ht="12.75">
      <c r="D262" s="478"/>
      <c r="E262" s="479"/>
      <c r="M262" s="814"/>
      <c r="N262" s="814"/>
      <c r="O262" s="814"/>
      <c r="P262" s="814"/>
      <c r="Q262" s="818"/>
    </row>
    <row r="263" spans="4:17" s="462" customFormat="1" ht="12.75">
      <c r="D263" s="478"/>
      <c r="E263" s="479"/>
      <c r="M263" s="814"/>
      <c r="N263" s="814"/>
      <c r="O263" s="814"/>
      <c r="P263" s="814"/>
      <c r="Q263" s="818"/>
    </row>
    <row r="264" spans="4:17" s="462" customFormat="1" ht="12.75">
      <c r="D264" s="478"/>
      <c r="E264" s="479"/>
      <c r="M264" s="814"/>
      <c r="N264" s="814"/>
      <c r="O264" s="814"/>
      <c r="P264" s="814"/>
      <c r="Q264" s="818"/>
    </row>
    <row r="265" spans="4:17" s="462" customFormat="1" ht="12.75">
      <c r="D265" s="478"/>
      <c r="E265" s="479"/>
      <c r="M265" s="814"/>
      <c r="N265" s="814"/>
      <c r="O265" s="814"/>
      <c r="P265" s="814"/>
      <c r="Q265" s="818"/>
    </row>
    <row r="266" spans="4:17" s="462" customFormat="1" ht="12.75">
      <c r="D266" s="478"/>
      <c r="E266" s="479"/>
      <c r="M266" s="814"/>
      <c r="N266" s="814"/>
      <c r="O266" s="814"/>
      <c r="P266" s="814"/>
      <c r="Q266" s="818"/>
    </row>
    <row r="267" spans="4:17" s="462" customFormat="1" ht="12.75">
      <c r="D267" s="478"/>
      <c r="E267" s="479"/>
      <c r="M267" s="814"/>
      <c r="N267" s="814"/>
      <c r="O267" s="814"/>
      <c r="P267" s="814"/>
      <c r="Q267" s="818"/>
    </row>
    <row r="268" spans="4:17" s="462" customFormat="1" ht="12.75">
      <c r="D268" s="478"/>
      <c r="E268" s="479"/>
      <c r="M268" s="814"/>
      <c r="N268" s="814"/>
      <c r="O268" s="814"/>
      <c r="P268" s="814"/>
      <c r="Q268" s="818"/>
    </row>
    <row r="269" spans="4:17" s="462" customFormat="1" ht="12.75">
      <c r="D269" s="478"/>
      <c r="E269" s="479"/>
      <c r="M269" s="814"/>
      <c r="N269" s="814"/>
      <c r="O269" s="814"/>
      <c r="P269" s="814"/>
      <c r="Q269" s="818"/>
    </row>
    <row r="270" spans="4:17" s="462" customFormat="1" ht="12.75">
      <c r="D270" s="478"/>
      <c r="E270" s="479"/>
      <c r="M270" s="814"/>
      <c r="N270" s="814"/>
      <c r="O270" s="814"/>
      <c r="P270" s="814"/>
      <c r="Q270" s="818"/>
    </row>
    <row r="271" spans="4:17" s="462" customFormat="1" ht="12.75">
      <c r="D271" s="478"/>
      <c r="E271" s="479"/>
      <c r="M271" s="814"/>
      <c r="N271" s="814"/>
      <c r="O271" s="814"/>
      <c r="P271" s="814"/>
      <c r="Q271" s="818"/>
    </row>
    <row r="272" spans="4:17" s="462" customFormat="1" ht="12.75">
      <c r="D272" s="478"/>
      <c r="E272" s="479"/>
      <c r="M272" s="814"/>
      <c r="N272" s="814"/>
      <c r="O272" s="814"/>
      <c r="P272" s="814"/>
      <c r="Q272" s="818"/>
    </row>
    <row r="273" spans="4:17" s="462" customFormat="1" ht="12.75">
      <c r="D273" s="478"/>
      <c r="E273" s="479"/>
      <c r="M273" s="814"/>
      <c r="N273" s="814"/>
      <c r="O273" s="814"/>
      <c r="P273" s="814"/>
      <c r="Q273" s="818"/>
    </row>
    <row r="274" spans="4:17" s="462" customFormat="1" ht="12.75">
      <c r="D274" s="478"/>
      <c r="E274" s="479"/>
      <c r="M274" s="814"/>
      <c r="N274" s="814"/>
      <c r="O274" s="814"/>
      <c r="P274" s="814"/>
      <c r="Q274" s="818"/>
    </row>
    <row r="275" spans="4:17" s="462" customFormat="1" ht="12.75">
      <c r="D275" s="478"/>
      <c r="E275" s="479"/>
      <c r="M275" s="814"/>
      <c r="N275" s="814"/>
      <c r="O275" s="814"/>
      <c r="P275" s="814"/>
      <c r="Q275" s="818"/>
    </row>
    <row r="276" spans="4:17" s="462" customFormat="1" ht="12.75">
      <c r="D276" s="478"/>
      <c r="E276" s="479"/>
      <c r="M276" s="814"/>
      <c r="N276" s="814"/>
      <c r="O276" s="814"/>
      <c r="P276" s="814"/>
      <c r="Q276" s="818"/>
    </row>
    <row r="277" spans="4:17" s="462" customFormat="1" ht="12.75">
      <c r="D277" s="478"/>
      <c r="E277" s="479"/>
      <c r="M277" s="814"/>
      <c r="N277" s="814"/>
      <c r="O277" s="814"/>
      <c r="P277" s="814"/>
      <c r="Q277" s="818"/>
    </row>
    <row r="278" spans="4:17" s="462" customFormat="1" ht="12.75">
      <c r="D278" s="478"/>
      <c r="E278" s="479"/>
      <c r="M278" s="814"/>
      <c r="N278" s="814"/>
      <c r="O278" s="814"/>
      <c r="P278" s="814"/>
      <c r="Q278" s="818"/>
    </row>
    <row r="279" spans="4:17" s="462" customFormat="1" ht="12.75">
      <c r="D279" s="478"/>
      <c r="E279" s="479"/>
      <c r="M279" s="814"/>
      <c r="N279" s="814"/>
      <c r="O279" s="814"/>
      <c r="P279" s="814"/>
      <c r="Q279" s="818"/>
    </row>
    <row r="280" spans="4:17" s="462" customFormat="1" ht="12.75">
      <c r="D280" s="478"/>
      <c r="E280" s="479"/>
      <c r="M280" s="814"/>
      <c r="N280" s="814"/>
      <c r="O280" s="814"/>
      <c r="P280" s="814"/>
      <c r="Q280" s="818"/>
    </row>
    <row r="281" spans="4:17" s="462" customFormat="1" ht="12.75">
      <c r="D281" s="478"/>
      <c r="E281" s="479"/>
      <c r="M281" s="814"/>
      <c r="N281" s="814"/>
      <c r="O281" s="814"/>
      <c r="P281" s="814"/>
      <c r="Q281" s="818"/>
    </row>
    <row r="282" spans="4:17" s="462" customFormat="1" ht="12.75">
      <c r="D282" s="478"/>
      <c r="E282" s="479"/>
      <c r="M282" s="814"/>
      <c r="N282" s="814"/>
      <c r="O282" s="814"/>
      <c r="P282" s="814"/>
      <c r="Q282" s="818"/>
    </row>
    <row r="283" spans="4:17" s="462" customFormat="1" ht="12.75">
      <c r="D283" s="478"/>
      <c r="E283" s="479"/>
      <c r="M283" s="814"/>
      <c r="N283" s="814"/>
      <c r="O283" s="814"/>
      <c r="P283" s="814"/>
      <c r="Q283" s="818"/>
    </row>
    <row r="284" spans="4:17" s="462" customFormat="1" ht="12.75">
      <c r="D284" s="478"/>
      <c r="E284" s="479"/>
      <c r="M284" s="814"/>
      <c r="N284" s="814"/>
      <c r="O284" s="814"/>
      <c r="P284" s="814"/>
      <c r="Q284" s="818"/>
    </row>
    <row r="285" spans="4:17" s="462" customFormat="1" ht="12.75">
      <c r="D285" s="478"/>
      <c r="E285" s="479"/>
      <c r="M285" s="814"/>
      <c r="N285" s="814"/>
      <c r="O285" s="814"/>
      <c r="P285" s="814"/>
      <c r="Q285" s="818"/>
    </row>
    <row r="286" spans="4:17" s="462" customFormat="1" ht="12.75">
      <c r="D286" s="478"/>
      <c r="E286" s="479"/>
      <c r="M286" s="814"/>
      <c r="N286" s="814"/>
      <c r="O286" s="814"/>
      <c r="P286" s="814"/>
      <c r="Q286" s="818"/>
    </row>
    <row r="287" spans="4:17" s="462" customFormat="1" ht="12.75">
      <c r="D287" s="478"/>
      <c r="E287" s="479"/>
      <c r="M287" s="814"/>
      <c r="N287" s="814"/>
      <c r="O287" s="814"/>
      <c r="P287" s="814"/>
      <c r="Q287" s="818"/>
    </row>
    <row r="288" spans="4:17" s="462" customFormat="1" ht="12.75">
      <c r="D288" s="478"/>
      <c r="E288" s="479"/>
      <c r="M288" s="814"/>
      <c r="N288" s="814"/>
      <c r="O288" s="814"/>
      <c r="P288" s="814"/>
      <c r="Q288" s="818"/>
    </row>
    <row r="289" spans="4:17" s="462" customFormat="1" ht="12.75">
      <c r="D289" s="478"/>
      <c r="E289" s="479"/>
      <c r="M289" s="814"/>
      <c r="N289" s="814"/>
      <c r="O289" s="814"/>
      <c r="P289" s="814"/>
      <c r="Q289" s="818"/>
    </row>
    <row r="290" spans="4:17" s="462" customFormat="1" ht="12.75">
      <c r="D290" s="478"/>
      <c r="E290" s="479"/>
      <c r="M290" s="814"/>
      <c r="N290" s="814"/>
      <c r="O290" s="814"/>
      <c r="P290" s="814"/>
      <c r="Q290" s="818"/>
    </row>
    <row r="291" spans="4:17" s="462" customFormat="1" ht="12.75">
      <c r="D291" s="478"/>
      <c r="E291" s="479"/>
      <c r="M291" s="814"/>
      <c r="N291" s="814"/>
      <c r="O291" s="814"/>
      <c r="P291" s="814"/>
      <c r="Q291" s="818"/>
    </row>
    <row r="292" spans="4:17" s="462" customFormat="1" ht="12.75">
      <c r="D292" s="478"/>
      <c r="E292" s="479"/>
      <c r="M292" s="814"/>
      <c r="N292" s="814"/>
      <c r="O292" s="814"/>
      <c r="P292" s="814"/>
      <c r="Q292" s="818"/>
    </row>
    <row r="293" spans="4:17" s="462" customFormat="1" ht="12.75">
      <c r="D293" s="478"/>
      <c r="E293" s="479"/>
      <c r="M293" s="814"/>
      <c r="N293" s="814"/>
      <c r="O293" s="814"/>
      <c r="P293" s="814"/>
      <c r="Q293" s="818"/>
    </row>
    <row r="294" spans="4:17" s="462" customFormat="1" ht="12.75">
      <c r="D294" s="478"/>
      <c r="E294" s="479"/>
      <c r="M294" s="814"/>
      <c r="N294" s="814"/>
      <c r="O294" s="814"/>
      <c r="P294" s="814"/>
      <c r="Q294" s="818"/>
    </row>
    <row r="295" spans="4:17" s="462" customFormat="1" ht="12.75">
      <c r="D295" s="478"/>
      <c r="E295" s="479"/>
      <c r="M295" s="814"/>
      <c r="N295" s="814"/>
      <c r="O295" s="814"/>
      <c r="P295" s="814"/>
      <c r="Q295" s="818"/>
    </row>
    <row r="296" spans="4:17" s="462" customFormat="1" ht="12.75">
      <c r="D296" s="478"/>
      <c r="E296" s="479"/>
      <c r="M296" s="814"/>
      <c r="N296" s="814"/>
      <c r="O296" s="814"/>
      <c r="P296" s="814"/>
      <c r="Q296" s="818"/>
    </row>
    <row r="297" spans="4:17" s="462" customFormat="1" ht="12.75">
      <c r="D297" s="478"/>
      <c r="E297" s="479"/>
      <c r="M297" s="814"/>
      <c r="N297" s="814"/>
      <c r="O297" s="814"/>
      <c r="P297" s="814"/>
      <c r="Q297" s="818"/>
    </row>
    <row r="298" spans="4:17" s="462" customFormat="1" ht="12.75">
      <c r="D298" s="478"/>
      <c r="E298" s="479"/>
      <c r="M298" s="814"/>
      <c r="N298" s="814"/>
      <c r="O298" s="814"/>
      <c r="P298" s="814"/>
      <c r="Q298" s="818"/>
    </row>
    <row r="299" spans="4:17" s="462" customFormat="1" ht="12.75">
      <c r="D299" s="478"/>
      <c r="E299" s="479"/>
      <c r="M299" s="814"/>
      <c r="N299" s="814"/>
      <c r="O299" s="814"/>
      <c r="P299" s="814"/>
      <c r="Q299" s="818"/>
    </row>
    <row r="300" spans="4:17" s="462" customFormat="1" ht="12.75">
      <c r="D300" s="478"/>
      <c r="E300" s="479"/>
      <c r="M300" s="814"/>
      <c r="N300" s="814"/>
      <c r="O300" s="814"/>
      <c r="P300" s="814"/>
      <c r="Q300" s="818"/>
    </row>
    <row r="301" spans="4:17" s="462" customFormat="1" ht="12.75">
      <c r="D301" s="478"/>
      <c r="E301" s="479"/>
      <c r="M301" s="814"/>
      <c r="N301" s="814"/>
      <c r="O301" s="814"/>
      <c r="P301" s="814"/>
      <c r="Q301" s="818"/>
    </row>
    <row r="302" spans="4:17" s="462" customFormat="1" ht="12.75">
      <c r="D302" s="478"/>
      <c r="E302" s="479"/>
      <c r="M302" s="814"/>
      <c r="N302" s="814"/>
      <c r="O302" s="814"/>
      <c r="P302" s="814"/>
      <c r="Q302" s="818"/>
    </row>
    <row r="303" spans="4:17" s="462" customFormat="1" ht="12.75">
      <c r="D303" s="478"/>
      <c r="E303" s="479"/>
      <c r="M303" s="814"/>
      <c r="N303" s="814"/>
      <c r="O303" s="814"/>
      <c r="P303" s="814"/>
      <c r="Q303" s="818"/>
    </row>
    <row r="304" spans="4:17" s="462" customFormat="1" ht="12.75">
      <c r="D304" s="478"/>
      <c r="E304" s="479"/>
      <c r="M304" s="814"/>
      <c r="N304" s="814"/>
      <c r="O304" s="814"/>
      <c r="P304" s="814"/>
      <c r="Q304" s="818"/>
    </row>
    <row r="305" spans="4:17" s="462" customFormat="1" ht="12.75">
      <c r="D305" s="478"/>
      <c r="E305" s="479"/>
      <c r="M305" s="814"/>
      <c r="N305" s="814"/>
      <c r="O305" s="814"/>
      <c r="P305" s="814"/>
      <c r="Q305" s="818"/>
    </row>
    <row r="306" spans="4:17" s="462" customFormat="1" ht="12.75">
      <c r="D306" s="478"/>
      <c r="E306" s="479"/>
      <c r="M306" s="814"/>
      <c r="N306" s="814"/>
      <c r="O306" s="814"/>
      <c r="P306" s="814"/>
      <c r="Q306" s="818"/>
    </row>
    <row r="307" spans="4:17" s="462" customFormat="1" ht="12.75">
      <c r="D307" s="478"/>
      <c r="E307" s="479"/>
      <c r="M307" s="814"/>
      <c r="N307" s="814"/>
      <c r="O307" s="814"/>
      <c r="P307" s="814"/>
      <c r="Q307" s="818"/>
    </row>
    <row r="308" spans="4:17" s="462" customFormat="1" ht="12.75">
      <c r="D308" s="478"/>
      <c r="E308" s="479"/>
      <c r="M308" s="814"/>
      <c r="N308" s="814"/>
      <c r="O308" s="814"/>
      <c r="P308" s="814"/>
      <c r="Q308" s="818"/>
    </row>
    <row r="309" spans="4:17" s="462" customFormat="1" ht="12.75">
      <c r="D309" s="478"/>
      <c r="E309" s="479"/>
      <c r="M309" s="814"/>
      <c r="N309" s="814"/>
      <c r="O309" s="814"/>
      <c r="P309" s="814"/>
      <c r="Q309" s="818"/>
    </row>
    <row r="310" spans="4:17" s="462" customFormat="1" ht="12.75">
      <c r="D310" s="478"/>
      <c r="E310" s="479"/>
      <c r="M310" s="814"/>
      <c r="N310" s="814"/>
      <c r="O310" s="814"/>
      <c r="P310" s="814"/>
      <c r="Q310" s="818"/>
    </row>
    <row r="311" spans="4:17" s="462" customFormat="1" ht="12.75">
      <c r="D311" s="478"/>
      <c r="E311" s="479"/>
      <c r="M311" s="814"/>
      <c r="N311" s="814"/>
      <c r="O311" s="814"/>
      <c r="P311" s="814"/>
      <c r="Q311" s="818"/>
    </row>
    <row r="312" spans="4:17" s="462" customFormat="1" ht="12.75">
      <c r="D312" s="478"/>
      <c r="E312" s="479"/>
      <c r="M312" s="814"/>
      <c r="N312" s="814"/>
      <c r="O312" s="814"/>
      <c r="P312" s="814"/>
      <c r="Q312" s="818"/>
    </row>
    <row r="313" spans="4:17" s="462" customFormat="1" ht="12.75">
      <c r="D313" s="478"/>
      <c r="E313" s="479"/>
      <c r="M313" s="814"/>
      <c r="N313" s="814"/>
      <c r="O313" s="814"/>
      <c r="P313" s="814"/>
      <c r="Q313" s="818"/>
    </row>
    <row r="314" spans="4:17" s="462" customFormat="1" ht="12.75">
      <c r="D314" s="478"/>
      <c r="E314" s="479"/>
      <c r="M314" s="814"/>
      <c r="N314" s="814"/>
      <c r="O314" s="814"/>
      <c r="P314" s="814"/>
      <c r="Q314" s="818"/>
    </row>
    <row r="315" spans="4:17" s="462" customFormat="1" ht="12.75">
      <c r="D315" s="478"/>
      <c r="E315" s="479"/>
      <c r="M315" s="814"/>
      <c r="N315" s="814"/>
      <c r="O315" s="814"/>
      <c r="P315" s="814"/>
      <c r="Q315" s="818"/>
    </row>
    <row r="316" spans="4:17" s="462" customFormat="1" ht="12.75">
      <c r="D316" s="478"/>
      <c r="E316" s="479"/>
      <c r="M316" s="814"/>
      <c r="N316" s="814"/>
      <c r="O316" s="814"/>
      <c r="P316" s="814"/>
      <c r="Q316" s="818"/>
    </row>
    <row r="317" spans="4:17" s="462" customFormat="1" ht="12.75">
      <c r="D317" s="478"/>
      <c r="E317" s="479"/>
      <c r="M317" s="814"/>
      <c r="N317" s="814"/>
      <c r="O317" s="814"/>
      <c r="P317" s="814"/>
      <c r="Q317" s="818"/>
    </row>
    <row r="318" spans="4:17" s="462" customFormat="1" ht="12.75">
      <c r="D318" s="478"/>
      <c r="E318" s="479"/>
      <c r="M318" s="814"/>
      <c r="N318" s="814"/>
      <c r="O318" s="814"/>
      <c r="P318" s="814"/>
      <c r="Q318" s="818"/>
    </row>
    <row r="319" spans="4:17" s="462" customFormat="1" ht="12.75">
      <c r="D319" s="478"/>
      <c r="E319" s="479"/>
      <c r="M319" s="814"/>
      <c r="N319" s="814"/>
      <c r="O319" s="814"/>
      <c r="P319" s="814"/>
      <c r="Q319" s="818"/>
    </row>
    <row r="320" spans="4:17" s="462" customFormat="1" ht="12.75">
      <c r="D320" s="478"/>
      <c r="E320" s="479"/>
      <c r="M320" s="814"/>
      <c r="N320" s="814"/>
      <c r="O320" s="814"/>
      <c r="P320" s="814"/>
      <c r="Q320" s="818"/>
    </row>
    <row r="321" spans="4:17" s="462" customFormat="1" ht="12.75">
      <c r="D321" s="478"/>
      <c r="E321" s="479"/>
      <c r="M321" s="814"/>
      <c r="N321" s="814"/>
      <c r="O321" s="814"/>
      <c r="P321" s="814"/>
      <c r="Q321" s="818"/>
    </row>
    <row r="322" spans="4:17" s="462" customFormat="1" ht="12.75">
      <c r="D322" s="478"/>
      <c r="E322" s="479"/>
      <c r="M322" s="814"/>
      <c r="N322" s="814"/>
      <c r="O322" s="814"/>
      <c r="P322" s="814"/>
      <c r="Q322" s="818"/>
    </row>
    <row r="323" spans="4:17" s="462" customFormat="1" ht="12.75">
      <c r="D323" s="478"/>
      <c r="E323" s="479"/>
      <c r="M323" s="814"/>
      <c r="N323" s="814"/>
      <c r="O323" s="814"/>
      <c r="P323" s="814"/>
      <c r="Q323" s="818"/>
    </row>
    <row r="324" spans="4:17" s="462" customFormat="1" ht="12.75">
      <c r="D324" s="478"/>
      <c r="E324" s="479"/>
      <c r="M324" s="814"/>
      <c r="N324" s="814"/>
      <c r="O324" s="814"/>
      <c r="P324" s="814"/>
      <c r="Q324" s="818"/>
    </row>
    <row r="325" spans="4:17" s="462" customFormat="1" ht="12.75">
      <c r="D325" s="478"/>
      <c r="E325" s="479"/>
      <c r="M325" s="814"/>
      <c r="N325" s="814"/>
      <c r="O325" s="814"/>
      <c r="P325" s="814"/>
      <c r="Q325" s="818"/>
    </row>
    <row r="326" spans="4:17" s="462" customFormat="1" ht="12.75">
      <c r="D326" s="478"/>
      <c r="E326" s="479"/>
      <c r="M326" s="814"/>
      <c r="N326" s="814"/>
      <c r="O326" s="814"/>
      <c r="P326" s="814"/>
      <c r="Q326" s="818"/>
    </row>
    <row r="327" spans="4:17" s="462" customFormat="1" ht="12.75">
      <c r="D327" s="478"/>
      <c r="E327" s="479"/>
      <c r="M327" s="814"/>
      <c r="N327" s="814"/>
      <c r="O327" s="814"/>
      <c r="P327" s="814"/>
      <c r="Q327" s="818"/>
    </row>
    <row r="328" spans="4:17" s="462" customFormat="1" ht="12.75">
      <c r="D328" s="478"/>
      <c r="E328" s="479"/>
      <c r="M328" s="814"/>
      <c r="N328" s="814"/>
      <c r="O328" s="814"/>
      <c r="P328" s="814"/>
      <c r="Q328" s="818"/>
    </row>
    <row r="329" spans="4:17" s="462" customFormat="1" ht="12.75">
      <c r="D329" s="478"/>
      <c r="E329" s="479"/>
      <c r="M329" s="814"/>
      <c r="N329" s="814"/>
      <c r="O329" s="814"/>
      <c r="P329" s="814"/>
      <c r="Q329" s="818"/>
    </row>
    <row r="330" spans="4:17" s="462" customFormat="1" ht="12.75">
      <c r="D330" s="478"/>
      <c r="E330" s="479"/>
      <c r="M330" s="814"/>
      <c r="N330" s="814"/>
      <c r="O330" s="814"/>
      <c r="P330" s="814"/>
      <c r="Q330" s="818"/>
    </row>
    <row r="331" spans="4:17" s="462" customFormat="1" ht="12.75">
      <c r="D331" s="478"/>
      <c r="E331" s="479"/>
      <c r="M331" s="814"/>
      <c r="N331" s="814"/>
      <c r="O331" s="814"/>
      <c r="P331" s="814"/>
      <c r="Q331" s="818"/>
    </row>
    <row r="332" spans="4:17" s="462" customFormat="1" ht="12.75">
      <c r="D332" s="478"/>
      <c r="E332" s="479"/>
      <c r="M332" s="814"/>
      <c r="N332" s="814"/>
      <c r="O332" s="814"/>
      <c r="P332" s="814"/>
      <c r="Q332" s="818"/>
    </row>
    <row r="333" spans="4:17" s="462" customFormat="1" ht="12.75">
      <c r="D333" s="478"/>
      <c r="E333" s="479"/>
      <c r="M333" s="814"/>
      <c r="N333" s="814"/>
      <c r="O333" s="814"/>
      <c r="P333" s="814"/>
      <c r="Q333" s="818"/>
    </row>
    <row r="334" spans="4:17" s="462" customFormat="1" ht="12.75">
      <c r="D334" s="478"/>
      <c r="E334" s="479"/>
      <c r="M334" s="814"/>
      <c r="N334" s="814"/>
      <c r="O334" s="814"/>
      <c r="P334" s="814"/>
      <c r="Q334" s="818"/>
    </row>
    <row r="335" spans="4:17" s="462" customFormat="1" ht="12.75">
      <c r="D335" s="478"/>
      <c r="E335" s="479"/>
      <c r="M335" s="814"/>
      <c r="N335" s="814"/>
      <c r="O335" s="814"/>
      <c r="P335" s="814"/>
      <c r="Q335" s="818"/>
    </row>
    <row r="336" spans="4:17" s="462" customFormat="1" ht="12.75">
      <c r="D336" s="478"/>
      <c r="E336" s="479"/>
      <c r="M336" s="814"/>
      <c r="N336" s="814"/>
      <c r="O336" s="814"/>
      <c r="P336" s="814"/>
      <c r="Q336" s="818"/>
    </row>
    <row r="337" spans="4:17" s="462" customFormat="1" ht="12.75">
      <c r="D337" s="478"/>
      <c r="E337" s="479"/>
      <c r="M337" s="814"/>
      <c r="N337" s="814"/>
      <c r="O337" s="814"/>
      <c r="P337" s="814"/>
      <c r="Q337" s="818"/>
    </row>
    <row r="338" spans="4:17" s="462" customFormat="1" ht="12.75">
      <c r="D338" s="478"/>
      <c r="E338" s="479"/>
      <c r="M338" s="814"/>
      <c r="N338" s="814"/>
      <c r="O338" s="814"/>
      <c r="P338" s="814"/>
      <c r="Q338" s="818"/>
    </row>
    <row r="339" spans="4:17" s="462" customFormat="1" ht="12.75">
      <c r="D339" s="478"/>
      <c r="E339" s="479"/>
      <c r="M339" s="814"/>
      <c r="N339" s="814"/>
      <c r="O339" s="814"/>
      <c r="P339" s="814"/>
      <c r="Q339" s="818"/>
    </row>
    <row r="340" spans="4:17" s="462" customFormat="1" ht="12.75">
      <c r="D340" s="478"/>
      <c r="E340" s="479"/>
      <c r="M340" s="814"/>
      <c r="N340" s="814"/>
      <c r="O340" s="814"/>
      <c r="P340" s="814"/>
      <c r="Q340" s="818"/>
    </row>
    <row r="341" spans="4:17" s="462" customFormat="1" ht="12.75">
      <c r="D341" s="478"/>
      <c r="E341" s="479"/>
      <c r="M341" s="814"/>
      <c r="N341" s="814"/>
      <c r="O341" s="814"/>
      <c r="P341" s="814"/>
      <c r="Q341" s="818"/>
    </row>
    <row r="342" spans="4:17" s="462" customFormat="1" ht="12.75">
      <c r="D342" s="478"/>
      <c r="E342" s="479"/>
      <c r="M342" s="814"/>
      <c r="N342" s="814"/>
      <c r="O342" s="814"/>
      <c r="P342" s="814"/>
      <c r="Q342" s="818"/>
    </row>
    <row r="343" spans="4:17" s="462" customFormat="1" ht="12.75">
      <c r="D343" s="478"/>
      <c r="E343" s="479"/>
      <c r="M343" s="814"/>
      <c r="N343" s="814"/>
      <c r="O343" s="814"/>
      <c r="P343" s="814"/>
      <c r="Q343" s="818"/>
    </row>
    <row r="344" spans="4:17" s="462" customFormat="1" ht="12.75">
      <c r="D344" s="478"/>
      <c r="E344" s="479"/>
      <c r="M344" s="814"/>
      <c r="N344" s="814"/>
      <c r="O344" s="814"/>
      <c r="P344" s="814"/>
      <c r="Q344" s="818"/>
    </row>
    <row r="345" spans="4:17" s="462" customFormat="1" ht="12.75">
      <c r="D345" s="478"/>
      <c r="E345" s="479"/>
      <c r="M345" s="814"/>
      <c r="N345" s="814"/>
      <c r="O345" s="814"/>
      <c r="P345" s="814"/>
      <c r="Q345" s="818"/>
    </row>
    <row r="346" spans="4:17" s="462" customFormat="1" ht="12.75">
      <c r="D346" s="478"/>
      <c r="E346" s="479"/>
      <c r="M346" s="814"/>
      <c r="N346" s="814"/>
      <c r="O346" s="814"/>
      <c r="P346" s="814"/>
      <c r="Q346" s="818"/>
    </row>
    <row r="347" spans="4:17" s="462" customFormat="1" ht="12.75">
      <c r="D347" s="478"/>
      <c r="E347" s="479"/>
      <c r="M347" s="814"/>
      <c r="N347" s="814"/>
      <c r="O347" s="814"/>
      <c r="P347" s="814"/>
      <c r="Q347" s="818"/>
    </row>
    <row r="348" spans="4:17" s="462" customFormat="1" ht="12.75">
      <c r="D348" s="478"/>
      <c r="E348" s="479"/>
      <c r="M348" s="814"/>
      <c r="N348" s="814"/>
      <c r="O348" s="814"/>
      <c r="P348" s="814"/>
      <c r="Q348" s="818"/>
    </row>
    <row r="349" spans="4:17" s="462" customFormat="1" ht="12.75">
      <c r="D349" s="478"/>
      <c r="E349" s="479"/>
      <c r="M349" s="814"/>
      <c r="N349" s="814"/>
      <c r="O349" s="814"/>
      <c r="P349" s="814"/>
      <c r="Q349" s="818"/>
    </row>
    <row r="350" spans="4:17" s="462" customFormat="1" ht="12.75">
      <c r="D350" s="478"/>
      <c r="E350" s="479"/>
      <c r="M350" s="814"/>
      <c r="N350" s="814"/>
      <c r="O350" s="814"/>
      <c r="P350" s="814"/>
      <c r="Q350" s="818"/>
    </row>
    <row r="351" spans="4:17" s="462" customFormat="1" ht="12.75">
      <c r="D351" s="478"/>
      <c r="E351" s="479"/>
      <c r="M351" s="814"/>
      <c r="N351" s="814"/>
      <c r="O351" s="814"/>
      <c r="P351" s="814"/>
      <c r="Q351" s="818"/>
    </row>
    <row r="352" spans="4:17" s="462" customFormat="1" ht="12.75">
      <c r="D352" s="478"/>
      <c r="E352" s="479"/>
      <c r="M352" s="814"/>
      <c r="N352" s="814"/>
      <c r="O352" s="814"/>
      <c r="P352" s="814"/>
      <c r="Q352" s="818"/>
    </row>
    <row r="353" spans="4:17" s="462" customFormat="1" ht="12.75">
      <c r="D353" s="478"/>
      <c r="E353" s="479"/>
      <c r="M353" s="814"/>
      <c r="N353" s="814"/>
      <c r="O353" s="814"/>
      <c r="P353" s="814"/>
      <c r="Q353" s="818"/>
    </row>
    <row r="354" spans="4:17" s="462" customFormat="1" ht="12.75">
      <c r="D354" s="478"/>
      <c r="E354" s="479"/>
      <c r="M354" s="814"/>
      <c r="N354" s="814"/>
      <c r="O354" s="814"/>
      <c r="P354" s="814"/>
      <c r="Q354" s="818"/>
    </row>
    <row r="355" spans="4:17" s="462" customFormat="1" ht="12.75">
      <c r="D355" s="478"/>
      <c r="E355" s="479"/>
      <c r="M355" s="814"/>
      <c r="N355" s="814"/>
      <c r="O355" s="814"/>
      <c r="P355" s="814"/>
      <c r="Q355" s="818"/>
    </row>
    <row r="356" spans="4:17" s="462" customFormat="1" ht="12.75">
      <c r="D356" s="478"/>
      <c r="E356" s="479"/>
      <c r="M356" s="814"/>
      <c r="N356" s="814"/>
      <c r="O356" s="814"/>
      <c r="P356" s="814"/>
      <c r="Q356" s="818"/>
    </row>
    <row r="357" spans="4:17" s="462" customFormat="1" ht="12.75">
      <c r="D357" s="478"/>
      <c r="E357" s="479"/>
      <c r="M357" s="814"/>
      <c r="N357" s="814"/>
      <c r="O357" s="814"/>
      <c r="P357" s="814"/>
      <c r="Q357" s="818"/>
    </row>
    <row r="358" spans="4:17" s="462" customFormat="1" ht="12.75">
      <c r="D358" s="478"/>
      <c r="E358" s="479"/>
      <c r="M358" s="814"/>
      <c r="N358" s="814"/>
      <c r="O358" s="814"/>
      <c r="P358" s="814"/>
      <c r="Q358" s="818"/>
    </row>
    <row r="359" spans="4:17" s="462" customFormat="1" ht="12.75">
      <c r="D359" s="478"/>
      <c r="E359" s="479"/>
      <c r="M359" s="814"/>
      <c r="N359" s="814"/>
      <c r="O359" s="814"/>
      <c r="P359" s="814"/>
      <c r="Q359" s="818"/>
    </row>
    <row r="360" spans="4:17" s="462" customFormat="1" ht="12.75">
      <c r="D360" s="478"/>
      <c r="E360" s="479"/>
      <c r="M360" s="814"/>
      <c r="N360" s="814"/>
      <c r="O360" s="814"/>
      <c r="P360" s="814"/>
      <c r="Q360" s="818"/>
    </row>
    <row r="361" spans="4:17" s="462" customFormat="1" ht="12.75">
      <c r="D361" s="478"/>
      <c r="E361" s="479"/>
      <c r="M361" s="814"/>
      <c r="N361" s="814"/>
      <c r="O361" s="814"/>
      <c r="P361" s="814"/>
      <c r="Q361" s="818"/>
    </row>
    <row r="362" spans="4:17" s="462" customFormat="1" ht="12.75">
      <c r="D362" s="478"/>
      <c r="E362" s="479"/>
      <c r="M362" s="814"/>
      <c r="N362" s="814"/>
      <c r="O362" s="814"/>
      <c r="P362" s="814"/>
      <c r="Q362" s="818"/>
    </row>
    <row r="363" spans="4:17" s="462" customFormat="1" ht="12.75">
      <c r="D363" s="478"/>
      <c r="E363" s="479"/>
      <c r="M363" s="814"/>
      <c r="N363" s="814"/>
      <c r="O363" s="814"/>
      <c r="P363" s="814"/>
      <c r="Q363" s="818"/>
    </row>
    <row r="364" spans="4:17" s="462" customFormat="1" ht="12.75">
      <c r="D364" s="478"/>
      <c r="E364" s="479"/>
      <c r="M364" s="814"/>
      <c r="N364" s="814"/>
      <c r="O364" s="814"/>
      <c r="P364" s="814"/>
      <c r="Q364" s="818"/>
    </row>
    <row r="365" spans="4:17" s="462" customFormat="1" ht="12.75">
      <c r="D365" s="478"/>
      <c r="E365" s="479"/>
      <c r="M365" s="814"/>
      <c r="N365" s="814"/>
      <c r="O365" s="814"/>
      <c r="P365" s="814"/>
      <c r="Q365" s="818"/>
    </row>
    <row r="366" spans="4:17" s="462" customFormat="1" ht="12.75">
      <c r="D366" s="478"/>
      <c r="E366" s="479"/>
      <c r="M366" s="814"/>
      <c r="N366" s="814"/>
      <c r="O366" s="814"/>
      <c r="P366" s="814"/>
      <c r="Q366" s="818"/>
    </row>
    <row r="367" spans="4:17" s="462" customFormat="1" ht="12.75">
      <c r="D367" s="478"/>
      <c r="E367" s="479"/>
      <c r="M367" s="814"/>
      <c r="N367" s="814"/>
      <c r="O367" s="814"/>
      <c r="P367" s="814"/>
      <c r="Q367" s="818"/>
    </row>
    <row r="368" spans="4:17" s="462" customFormat="1" ht="12.75">
      <c r="D368" s="478"/>
      <c r="E368" s="479"/>
      <c r="M368" s="814"/>
      <c r="N368" s="814"/>
      <c r="O368" s="814"/>
      <c r="P368" s="814"/>
      <c r="Q368" s="818"/>
    </row>
    <row r="369" spans="4:17" s="462" customFormat="1" ht="12.75">
      <c r="D369" s="478"/>
      <c r="E369" s="479"/>
      <c r="M369" s="814"/>
      <c r="N369" s="814"/>
      <c r="O369" s="814"/>
      <c r="P369" s="814"/>
      <c r="Q369" s="818"/>
    </row>
    <row r="370" spans="4:17" s="462" customFormat="1" ht="12.75">
      <c r="D370" s="478"/>
      <c r="E370" s="479"/>
      <c r="M370" s="814"/>
      <c r="N370" s="814"/>
      <c r="O370" s="814"/>
      <c r="P370" s="814"/>
      <c r="Q370" s="818"/>
    </row>
    <row r="371" spans="4:17" s="462" customFormat="1" ht="12.75">
      <c r="D371" s="478"/>
      <c r="E371" s="479"/>
      <c r="M371" s="814"/>
      <c r="N371" s="814"/>
      <c r="O371" s="814"/>
      <c r="P371" s="814"/>
      <c r="Q371" s="818"/>
    </row>
    <row r="372" spans="4:17" s="462" customFormat="1" ht="12.75">
      <c r="D372" s="478"/>
      <c r="E372" s="479"/>
      <c r="M372" s="814"/>
      <c r="N372" s="814"/>
      <c r="O372" s="814"/>
      <c r="P372" s="814"/>
      <c r="Q372" s="818"/>
    </row>
    <row r="373" spans="4:17" s="462" customFormat="1" ht="12.75">
      <c r="D373" s="478"/>
      <c r="E373" s="479"/>
      <c r="M373" s="814"/>
      <c r="N373" s="814"/>
      <c r="O373" s="814"/>
      <c r="P373" s="814"/>
      <c r="Q373" s="818"/>
    </row>
    <row r="374" spans="4:17" s="462" customFormat="1" ht="12.75">
      <c r="D374" s="478"/>
      <c r="E374" s="479"/>
      <c r="M374" s="814"/>
      <c r="N374" s="814"/>
      <c r="O374" s="814"/>
      <c r="P374" s="814"/>
      <c r="Q374" s="818"/>
    </row>
    <row r="375" spans="4:17" s="462" customFormat="1" ht="12.75">
      <c r="D375" s="478"/>
      <c r="E375" s="479"/>
      <c r="M375" s="814"/>
      <c r="N375" s="814"/>
      <c r="O375" s="814"/>
      <c r="P375" s="814"/>
      <c r="Q375" s="818"/>
    </row>
    <row r="376" spans="4:17" s="462" customFormat="1" ht="12.75">
      <c r="D376" s="478"/>
      <c r="E376" s="479"/>
      <c r="M376" s="814"/>
      <c r="N376" s="814"/>
      <c r="O376" s="814"/>
      <c r="P376" s="814"/>
      <c r="Q376" s="818"/>
    </row>
    <row r="377" spans="4:17" s="462" customFormat="1" ht="12.75">
      <c r="D377" s="478"/>
      <c r="E377" s="479"/>
      <c r="M377" s="814"/>
      <c r="N377" s="814"/>
      <c r="O377" s="814"/>
      <c r="P377" s="814"/>
      <c r="Q377" s="818"/>
    </row>
    <row r="378" spans="4:17" s="462" customFormat="1" ht="12.75">
      <c r="D378" s="478"/>
      <c r="E378" s="479"/>
      <c r="M378" s="814"/>
      <c r="N378" s="814"/>
      <c r="O378" s="814"/>
      <c r="P378" s="814"/>
      <c r="Q378" s="818"/>
    </row>
    <row r="379" spans="4:17" s="462" customFormat="1" ht="12.75">
      <c r="D379" s="478"/>
      <c r="E379" s="479"/>
      <c r="M379" s="814"/>
      <c r="N379" s="814"/>
      <c r="O379" s="814"/>
      <c r="P379" s="814"/>
      <c r="Q379" s="818"/>
    </row>
    <row r="380" spans="4:17" s="462" customFormat="1" ht="12.75">
      <c r="D380" s="478"/>
      <c r="E380" s="479"/>
      <c r="M380" s="814"/>
      <c r="N380" s="814"/>
      <c r="O380" s="814"/>
      <c r="P380" s="814"/>
      <c r="Q380" s="818"/>
    </row>
    <row r="381" spans="4:17" s="462" customFormat="1" ht="12.75">
      <c r="D381" s="478"/>
      <c r="E381" s="479"/>
      <c r="M381" s="814"/>
      <c r="N381" s="814"/>
      <c r="O381" s="814"/>
      <c r="P381" s="814"/>
      <c r="Q381" s="818"/>
    </row>
    <row r="382" spans="4:17" s="462" customFormat="1" ht="12.75">
      <c r="D382" s="478"/>
      <c r="E382" s="479"/>
      <c r="M382" s="814"/>
      <c r="N382" s="814"/>
      <c r="O382" s="814"/>
      <c r="P382" s="814"/>
      <c r="Q382" s="818"/>
    </row>
    <row r="383" spans="4:17" s="462" customFormat="1" ht="12.75">
      <c r="D383" s="478"/>
      <c r="E383" s="479"/>
      <c r="M383" s="814"/>
      <c r="N383" s="814"/>
      <c r="O383" s="814"/>
      <c r="P383" s="814"/>
      <c r="Q383" s="818"/>
    </row>
    <row r="384" spans="4:17" s="462" customFormat="1" ht="12.75">
      <c r="D384" s="478"/>
      <c r="E384" s="479"/>
      <c r="M384" s="814"/>
      <c r="N384" s="814"/>
      <c r="O384" s="814"/>
      <c r="P384" s="814"/>
      <c r="Q384" s="818"/>
    </row>
    <row r="385" spans="4:17" s="462" customFormat="1" ht="12.75">
      <c r="D385" s="478"/>
      <c r="E385" s="479"/>
      <c r="M385" s="814"/>
      <c r="N385" s="814"/>
      <c r="O385" s="814"/>
      <c r="P385" s="814"/>
      <c r="Q385" s="818"/>
    </row>
    <row r="386" spans="4:17" s="462" customFormat="1" ht="12.75">
      <c r="D386" s="478"/>
      <c r="E386" s="479"/>
      <c r="M386" s="814"/>
      <c r="N386" s="814"/>
      <c r="O386" s="814"/>
      <c r="P386" s="814"/>
      <c r="Q386" s="818"/>
    </row>
    <row r="387" spans="4:17" s="462" customFormat="1" ht="12.75">
      <c r="D387" s="478"/>
      <c r="E387" s="479"/>
      <c r="M387" s="814"/>
      <c r="N387" s="814"/>
      <c r="O387" s="814"/>
      <c r="P387" s="814"/>
      <c r="Q387" s="818"/>
    </row>
    <row r="388" spans="4:17" s="462" customFormat="1" ht="12.75">
      <c r="D388" s="478"/>
      <c r="E388" s="479"/>
      <c r="M388" s="814"/>
      <c r="N388" s="814"/>
      <c r="O388" s="814"/>
      <c r="P388" s="814"/>
      <c r="Q388" s="818"/>
    </row>
    <row r="389" spans="4:17" s="462" customFormat="1" ht="12.75">
      <c r="D389" s="478"/>
      <c r="E389" s="479"/>
      <c r="M389" s="814"/>
      <c r="N389" s="814"/>
      <c r="O389" s="814"/>
      <c r="P389" s="814"/>
      <c r="Q389" s="818"/>
    </row>
    <row r="390" spans="4:17" s="462" customFormat="1" ht="12.75">
      <c r="D390" s="478"/>
      <c r="E390" s="479"/>
      <c r="M390" s="814"/>
      <c r="N390" s="814"/>
      <c r="O390" s="814"/>
      <c r="P390" s="814"/>
      <c r="Q390" s="818"/>
    </row>
    <row r="391" spans="4:17" s="462" customFormat="1" ht="12.75">
      <c r="D391" s="478"/>
      <c r="E391" s="479"/>
      <c r="M391" s="814"/>
      <c r="N391" s="814"/>
      <c r="O391" s="814"/>
      <c r="P391" s="814"/>
      <c r="Q391" s="818"/>
    </row>
    <row r="392" spans="4:17" s="462" customFormat="1" ht="12.75">
      <c r="D392" s="478"/>
      <c r="E392" s="479"/>
      <c r="M392" s="814"/>
      <c r="N392" s="814"/>
      <c r="O392" s="814"/>
      <c r="P392" s="814"/>
      <c r="Q392" s="818"/>
    </row>
    <row r="393" spans="4:17" s="462" customFormat="1" ht="12.75">
      <c r="D393" s="478"/>
      <c r="E393" s="479"/>
      <c r="M393" s="814"/>
      <c r="N393" s="814"/>
      <c r="O393" s="814"/>
      <c r="P393" s="814"/>
      <c r="Q393" s="818"/>
    </row>
    <row r="394" spans="4:17" s="462" customFormat="1" ht="12.75">
      <c r="D394" s="478"/>
      <c r="E394" s="479"/>
      <c r="M394" s="814"/>
      <c r="N394" s="814"/>
      <c r="O394" s="814"/>
      <c r="P394" s="814"/>
      <c r="Q394" s="818"/>
    </row>
    <row r="395" spans="4:17" s="462" customFormat="1" ht="12.75">
      <c r="D395" s="478"/>
      <c r="E395" s="479"/>
      <c r="M395" s="814"/>
      <c r="N395" s="814"/>
      <c r="O395" s="814"/>
      <c r="P395" s="814"/>
      <c r="Q395" s="818"/>
    </row>
    <row r="396" spans="4:17" s="462" customFormat="1" ht="12.75">
      <c r="D396" s="478"/>
      <c r="E396" s="479"/>
      <c r="M396" s="814"/>
      <c r="N396" s="814"/>
      <c r="O396" s="814"/>
      <c r="P396" s="814"/>
      <c r="Q396" s="818"/>
    </row>
    <row r="397" spans="4:17" s="462" customFormat="1" ht="12.75">
      <c r="D397" s="478"/>
      <c r="E397" s="479"/>
      <c r="M397" s="814"/>
      <c r="N397" s="814"/>
      <c r="O397" s="814"/>
      <c r="P397" s="814"/>
      <c r="Q397" s="818"/>
    </row>
    <row r="398" spans="4:17" s="462" customFormat="1" ht="12.75">
      <c r="D398" s="478"/>
      <c r="E398" s="479"/>
      <c r="M398" s="814"/>
      <c r="N398" s="814"/>
      <c r="O398" s="814"/>
      <c r="P398" s="814"/>
      <c r="Q398" s="818"/>
    </row>
    <row r="399" spans="4:17" s="462" customFormat="1" ht="12.75">
      <c r="D399" s="478"/>
      <c r="E399" s="479"/>
      <c r="M399" s="814"/>
      <c r="N399" s="814"/>
      <c r="O399" s="814"/>
      <c r="P399" s="814"/>
      <c r="Q399" s="818"/>
    </row>
    <row r="400" spans="4:17" s="462" customFormat="1" ht="12.75">
      <c r="D400" s="478"/>
      <c r="E400" s="479"/>
      <c r="M400" s="814"/>
      <c r="N400" s="814"/>
      <c r="O400" s="814"/>
      <c r="P400" s="814"/>
      <c r="Q400" s="818"/>
    </row>
    <row r="401" spans="4:17" s="462" customFormat="1" ht="12.75">
      <c r="D401" s="478"/>
      <c r="E401" s="479"/>
      <c r="M401" s="814"/>
      <c r="N401" s="814"/>
      <c r="O401" s="814"/>
      <c r="P401" s="814"/>
      <c r="Q401" s="818"/>
    </row>
    <row r="402" spans="4:17" s="462" customFormat="1" ht="12.75">
      <c r="D402" s="478"/>
      <c r="E402" s="479"/>
      <c r="M402" s="814"/>
      <c r="N402" s="814"/>
      <c r="O402" s="814"/>
      <c r="P402" s="814"/>
      <c r="Q402" s="818"/>
    </row>
    <row r="403" spans="4:17" s="462" customFormat="1" ht="12.75">
      <c r="D403" s="478"/>
      <c r="E403" s="479"/>
      <c r="M403" s="814"/>
      <c r="N403" s="814"/>
      <c r="O403" s="814"/>
      <c r="P403" s="814"/>
      <c r="Q403" s="818"/>
    </row>
    <row r="404" spans="4:17" s="462" customFormat="1" ht="12.75">
      <c r="D404" s="478"/>
      <c r="E404" s="479"/>
      <c r="M404" s="814"/>
      <c r="N404" s="814"/>
      <c r="O404" s="814"/>
      <c r="P404" s="814"/>
      <c r="Q404" s="818"/>
    </row>
    <row r="405" spans="4:17" s="462" customFormat="1" ht="12.75">
      <c r="D405" s="478"/>
      <c r="E405" s="479"/>
      <c r="M405" s="814"/>
      <c r="N405" s="814"/>
      <c r="O405" s="814"/>
      <c r="P405" s="814"/>
      <c r="Q405" s="818"/>
    </row>
    <row r="406" spans="4:17" s="462" customFormat="1" ht="12.75">
      <c r="D406" s="478"/>
      <c r="E406" s="479"/>
      <c r="M406" s="814"/>
      <c r="N406" s="814"/>
      <c r="O406" s="814"/>
      <c r="P406" s="814"/>
      <c r="Q406" s="818"/>
    </row>
    <row r="407" spans="4:17" s="462" customFormat="1" ht="12.75">
      <c r="D407" s="478"/>
      <c r="E407" s="479"/>
      <c r="M407" s="814"/>
      <c r="N407" s="814"/>
      <c r="O407" s="814"/>
      <c r="P407" s="814"/>
      <c r="Q407" s="818"/>
    </row>
    <row r="408" spans="4:17" s="462" customFormat="1" ht="12.75">
      <c r="D408" s="478"/>
      <c r="E408" s="479"/>
      <c r="M408" s="814"/>
      <c r="N408" s="814"/>
      <c r="O408" s="814"/>
      <c r="P408" s="814"/>
      <c r="Q408" s="818"/>
    </row>
    <row r="409" spans="4:17" s="462" customFormat="1" ht="12.75">
      <c r="D409" s="478"/>
      <c r="E409" s="479"/>
      <c r="M409" s="814"/>
      <c r="N409" s="814"/>
      <c r="O409" s="814"/>
      <c r="P409" s="814"/>
      <c r="Q409" s="818"/>
    </row>
    <row r="410" spans="4:17" s="462" customFormat="1" ht="12.75">
      <c r="D410" s="478"/>
      <c r="E410" s="479"/>
      <c r="M410" s="814"/>
      <c r="N410" s="814"/>
      <c r="O410" s="814"/>
      <c r="P410" s="814"/>
      <c r="Q410" s="818"/>
    </row>
    <row r="411" spans="4:17" s="462" customFormat="1" ht="12.75">
      <c r="D411" s="478"/>
      <c r="E411" s="479"/>
      <c r="M411" s="814"/>
      <c r="N411" s="814"/>
      <c r="O411" s="814"/>
      <c r="P411" s="814"/>
      <c r="Q411" s="818"/>
    </row>
    <row r="412" spans="4:17" s="462" customFormat="1" ht="12.75">
      <c r="D412" s="478"/>
      <c r="E412" s="479"/>
      <c r="M412" s="814"/>
      <c r="N412" s="814"/>
      <c r="O412" s="814"/>
      <c r="P412" s="814"/>
      <c r="Q412" s="818"/>
    </row>
    <row r="413" spans="4:17" s="462" customFormat="1" ht="12.75">
      <c r="D413" s="478"/>
      <c r="E413" s="479"/>
      <c r="M413" s="814"/>
      <c r="N413" s="814"/>
      <c r="O413" s="814"/>
      <c r="P413" s="814"/>
      <c r="Q413" s="818"/>
    </row>
    <row r="414" spans="4:17" s="462" customFormat="1" ht="12.75">
      <c r="D414" s="478"/>
      <c r="E414" s="479"/>
      <c r="M414" s="814"/>
      <c r="N414" s="814"/>
      <c r="O414" s="814"/>
      <c r="P414" s="814"/>
      <c r="Q414" s="818"/>
    </row>
    <row r="415" spans="4:17" s="462" customFormat="1" ht="12.75">
      <c r="D415" s="478"/>
      <c r="E415" s="479"/>
      <c r="M415" s="814"/>
      <c r="N415" s="814"/>
      <c r="O415" s="814"/>
      <c r="P415" s="814"/>
      <c r="Q415" s="818"/>
    </row>
    <row r="416" spans="4:17" s="462" customFormat="1" ht="12.75">
      <c r="D416" s="478"/>
      <c r="E416" s="479"/>
      <c r="M416" s="814"/>
      <c r="N416" s="814"/>
      <c r="O416" s="814"/>
      <c r="P416" s="814"/>
      <c r="Q416" s="818"/>
    </row>
    <row r="417" spans="4:17" s="462" customFormat="1" ht="12.75">
      <c r="D417" s="478"/>
      <c r="E417" s="479"/>
      <c r="M417" s="814"/>
      <c r="N417" s="814"/>
      <c r="O417" s="814"/>
      <c r="P417" s="814"/>
      <c r="Q417" s="818"/>
    </row>
    <row r="418" spans="4:17" s="462" customFormat="1" ht="12.75">
      <c r="D418" s="478"/>
      <c r="E418" s="479"/>
      <c r="M418" s="814"/>
      <c r="N418" s="814"/>
      <c r="O418" s="814"/>
      <c r="P418" s="814"/>
      <c r="Q418" s="818"/>
    </row>
    <row r="419" spans="4:17" s="462" customFormat="1" ht="12.75">
      <c r="D419" s="478"/>
      <c r="E419" s="479"/>
      <c r="M419" s="814"/>
      <c r="N419" s="814"/>
      <c r="O419" s="814"/>
      <c r="P419" s="814"/>
      <c r="Q419" s="818"/>
    </row>
    <row r="420" spans="4:17" s="462" customFormat="1" ht="12.75">
      <c r="D420" s="478"/>
      <c r="E420" s="479"/>
      <c r="M420" s="814"/>
      <c r="N420" s="814"/>
      <c r="O420" s="814"/>
      <c r="P420" s="814"/>
      <c r="Q420" s="818"/>
    </row>
    <row r="421" spans="4:17" s="462" customFormat="1" ht="12.75">
      <c r="D421" s="478"/>
      <c r="E421" s="479"/>
      <c r="M421" s="814"/>
      <c r="N421" s="814"/>
      <c r="O421" s="814"/>
      <c r="P421" s="814"/>
      <c r="Q421" s="818"/>
    </row>
    <row r="422" spans="4:17" s="462" customFormat="1" ht="12.75">
      <c r="D422" s="478"/>
      <c r="E422" s="479"/>
      <c r="M422" s="814"/>
      <c r="N422" s="814"/>
      <c r="O422" s="814"/>
      <c r="P422" s="814"/>
      <c r="Q422" s="818"/>
    </row>
    <row r="423" spans="4:17" s="462" customFormat="1" ht="12.75">
      <c r="D423" s="478"/>
      <c r="E423" s="479"/>
      <c r="M423" s="814"/>
      <c r="N423" s="814"/>
      <c r="O423" s="814"/>
      <c r="P423" s="814"/>
      <c r="Q423" s="818"/>
    </row>
    <row r="424" spans="4:17" s="462" customFormat="1" ht="12.75">
      <c r="D424" s="478"/>
      <c r="E424" s="479"/>
      <c r="M424" s="814"/>
      <c r="N424" s="814"/>
      <c r="O424" s="814"/>
      <c r="P424" s="814"/>
      <c r="Q424" s="818"/>
    </row>
    <row r="425" spans="4:17" s="462" customFormat="1" ht="12.75">
      <c r="D425" s="478"/>
      <c r="E425" s="479"/>
      <c r="M425" s="814"/>
      <c r="N425" s="814"/>
      <c r="O425" s="814"/>
      <c r="P425" s="814"/>
      <c r="Q425" s="818"/>
    </row>
    <row r="426" spans="4:17" s="462" customFormat="1" ht="12.75">
      <c r="D426" s="478"/>
      <c r="E426" s="479"/>
      <c r="M426" s="814"/>
      <c r="N426" s="814"/>
      <c r="O426" s="814"/>
      <c r="P426" s="814"/>
      <c r="Q426" s="818"/>
    </row>
    <row r="427" spans="4:17" s="462" customFormat="1" ht="12.75">
      <c r="D427" s="478"/>
      <c r="E427" s="479"/>
      <c r="M427" s="814"/>
      <c r="N427" s="814"/>
      <c r="O427" s="814"/>
      <c r="P427" s="814"/>
      <c r="Q427" s="818"/>
    </row>
    <row r="428" spans="4:17" s="462" customFormat="1" ht="12.75">
      <c r="D428" s="478"/>
      <c r="E428" s="479"/>
      <c r="M428" s="814"/>
      <c r="N428" s="814"/>
      <c r="O428" s="814"/>
      <c r="P428" s="814"/>
      <c r="Q428" s="818"/>
    </row>
    <row r="429" spans="4:17" s="462" customFormat="1" ht="12.75">
      <c r="D429" s="478"/>
      <c r="E429" s="479"/>
      <c r="M429" s="814"/>
      <c r="N429" s="814"/>
      <c r="O429" s="814"/>
      <c r="P429" s="814"/>
      <c r="Q429" s="818"/>
    </row>
    <row r="430" spans="4:17" s="462" customFormat="1" ht="12.75">
      <c r="D430" s="478"/>
      <c r="E430" s="479"/>
      <c r="M430" s="814"/>
      <c r="N430" s="814"/>
      <c r="O430" s="814"/>
      <c r="P430" s="814"/>
      <c r="Q430" s="818"/>
    </row>
    <row r="431" spans="4:17" s="462" customFormat="1" ht="12.75">
      <c r="D431" s="478"/>
      <c r="E431" s="479"/>
      <c r="M431" s="814"/>
      <c r="N431" s="814"/>
      <c r="O431" s="814"/>
      <c r="P431" s="814"/>
      <c r="Q431" s="818"/>
    </row>
    <row r="432" spans="4:17" s="462" customFormat="1" ht="12.75">
      <c r="D432" s="478"/>
      <c r="E432" s="479"/>
      <c r="M432" s="814"/>
      <c r="N432" s="814"/>
      <c r="O432" s="814"/>
      <c r="P432" s="814"/>
      <c r="Q432" s="818"/>
    </row>
    <row r="433" spans="4:17" s="462" customFormat="1" ht="12.75">
      <c r="D433" s="478"/>
      <c r="E433" s="479"/>
      <c r="M433" s="814"/>
      <c r="N433" s="814"/>
      <c r="O433" s="814"/>
      <c r="P433" s="814"/>
      <c r="Q433" s="818"/>
    </row>
    <row r="434" spans="4:17" s="462" customFormat="1" ht="12.75">
      <c r="D434" s="478"/>
      <c r="E434" s="479"/>
      <c r="M434" s="814"/>
      <c r="N434" s="814"/>
      <c r="O434" s="814"/>
      <c r="P434" s="814"/>
      <c r="Q434" s="818"/>
    </row>
    <row r="435" spans="4:17" s="462" customFormat="1" ht="12.75">
      <c r="D435" s="478"/>
      <c r="E435" s="479"/>
      <c r="M435" s="814"/>
      <c r="N435" s="814"/>
      <c r="O435" s="814"/>
      <c r="P435" s="814"/>
      <c r="Q435" s="818"/>
    </row>
    <row r="436" spans="4:17" s="462" customFormat="1" ht="12.75">
      <c r="D436" s="478"/>
      <c r="E436" s="479"/>
      <c r="M436" s="814"/>
      <c r="N436" s="814"/>
      <c r="O436" s="814"/>
      <c r="P436" s="814"/>
      <c r="Q436" s="818"/>
    </row>
    <row r="437" spans="4:17" s="462" customFormat="1" ht="12.75">
      <c r="D437" s="478"/>
      <c r="E437" s="479"/>
      <c r="M437" s="814"/>
      <c r="N437" s="814"/>
      <c r="O437" s="814"/>
      <c r="P437" s="814"/>
      <c r="Q437" s="818"/>
    </row>
    <row r="438" spans="4:17" s="462" customFormat="1" ht="12.75">
      <c r="D438" s="478"/>
      <c r="E438" s="479"/>
      <c r="M438" s="814"/>
      <c r="N438" s="814"/>
      <c r="O438" s="814"/>
      <c r="P438" s="814"/>
      <c r="Q438" s="818"/>
    </row>
    <row r="439" spans="4:17" s="462" customFormat="1" ht="12.75">
      <c r="D439" s="478"/>
      <c r="E439" s="479"/>
      <c r="M439" s="814"/>
      <c r="N439" s="814"/>
      <c r="O439" s="814"/>
      <c r="P439" s="814"/>
      <c r="Q439" s="818"/>
    </row>
    <row r="440" spans="4:17" s="462" customFormat="1" ht="12.75">
      <c r="D440" s="478"/>
      <c r="E440" s="479"/>
      <c r="M440" s="814"/>
      <c r="N440" s="814"/>
      <c r="O440" s="814"/>
      <c r="P440" s="814"/>
      <c r="Q440" s="818"/>
    </row>
    <row r="441" spans="4:17" s="462" customFormat="1" ht="12.75">
      <c r="D441" s="478"/>
      <c r="E441" s="479"/>
      <c r="M441" s="814"/>
      <c r="N441" s="814"/>
      <c r="O441" s="814"/>
      <c r="P441" s="814"/>
      <c r="Q441" s="818"/>
    </row>
    <row r="442" spans="4:17" s="462" customFormat="1" ht="12.75">
      <c r="D442" s="478"/>
      <c r="E442" s="479"/>
      <c r="M442" s="814"/>
      <c r="N442" s="814"/>
      <c r="O442" s="814"/>
      <c r="P442" s="814"/>
      <c r="Q442" s="818"/>
    </row>
    <row r="443" spans="4:17" s="462" customFormat="1" ht="12.75">
      <c r="D443" s="478"/>
      <c r="E443" s="479"/>
      <c r="M443" s="814"/>
      <c r="N443" s="814"/>
      <c r="O443" s="814"/>
      <c r="P443" s="814"/>
      <c r="Q443" s="818"/>
    </row>
    <row r="444" spans="4:17" s="462" customFormat="1" ht="12.75">
      <c r="D444" s="478"/>
      <c r="E444" s="479"/>
      <c r="M444" s="814"/>
      <c r="N444" s="814"/>
      <c r="O444" s="814"/>
      <c r="P444" s="814"/>
      <c r="Q444" s="818"/>
    </row>
    <row r="445" spans="4:17" s="462" customFormat="1" ht="12.75">
      <c r="D445" s="478"/>
      <c r="E445" s="479"/>
      <c r="M445" s="814"/>
      <c r="N445" s="814"/>
      <c r="O445" s="814"/>
      <c r="P445" s="814"/>
      <c r="Q445" s="818"/>
    </row>
    <row r="446" spans="4:17" s="462" customFormat="1" ht="12.75">
      <c r="D446" s="478"/>
      <c r="E446" s="479"/>
      <c r="M446" s="814"/>
      <c r="N446" s="814"/>
      <c r="O446" s="814"/>
      <c r="P446" s="814"/>
      <c r="Q446" s="818"/>
    </row>
    <row r="447" spans="4:17" s="462" customFormat="1" ht="12.75">
      <c r="D447" s="478"/>
      <c r="E447" s="479"/>
      <c r="M447" s="814"/>
      <c r="N447" s="814"/>
      <c r="O447" s="814"/>
      <c r="P447" s="814"/>
      <c r="Q447" s="818"/>
    </row>
    <row r="448" spans="4:17" s="462" customFormat="1" ht="12.75">
      <c r="D448" s="478"/>
      <c r="E448" s="479"/>
      <c r="M448" s="814"/>
      <c r="N448" s="814"/>
      <c r="O448" s="814"/>
      <c r="P448" s="814"/>
      <c r="Q448" s="818"/>
    </row>
    <row r="449" spans="4:17" s="462" customFormat="1" ht="12.75">
      <c r="D449" s="478"/>
      <c r="E449" s="479"/>
      <c r="M449" s="814"/>
      <c r="N449" s="814"/>
      <c r="O449" s="814"/>
      <c r="P449" s="814"/>
      <c r="Q449" s="818"/>
    </row>
    <row r="450" spans="4:17" s="462" customFormat="1" ht="12.75">
      <c r="D450" s="478"/>
      <c r="E450" s="479"/>
      <c r="M450" s="814"/>
      <c r="N450" s="814"/>
      <c r="O450" s="814"/>
      <c r="P450" s="814"/>
      <c r="Q450" s="818"/>
    </row>
    <row r="451" spans="4:17" s="462" customFormat="1" ht="12.75">
      <c r="D451" s="478"/>
      <c r="E451" s="479"/>
      <c r="M451" s="814"/>
      <c r="N451" s="814"/>
      <c r="O451" s="814"/>
      <c r="P451" s="814"/>
      <c r="Q451" s="818"/>
    </row>
    <row r="452" spans="4:17" s="462" customFormat="1" ht="12.75">
      <c r="D452" s="478"/>
      <c r="E452" s="479"/>
      <c r="M452" s="814"/>
      <c r="N452" s="814"/>
      <c r="O452" s="814"/>
      <c r="P452" s="814"/>
      <c r="Q452" s="818"/>
    </row>
    <row r="453" spans="4:17" s="462" customFormat="1" ht="12.75">
      <c r="D453" s="478"/>
      <c r="E453" s="479"/>
      <c r="M453" s="814"/>
      <c r="N453" s="814"/>
      <c r="O453" s="814"/>
      <c r="P453" s="814"/>
      <c r="Q453" s="818"/>
    </row>
    <row r="454" spans="4:17" s="462" customFormat="1" ht="12.75">
      <c r="D454" s="478"/>
      <c r="E454" s="479"/>
      <c r="M454" s="814"/>
      <c r="N454" s="814"/>
      <c r="O454" s="814"/>
      <c r="P454" s="814"/>
      <c r="Q454" s="818"/>
    </row>
    <row r="455" spans="4:17" s="462" customFormat="1" ht="12.75">
      <c r="D455" s="478"/>
      <c r="E455" s="479"/>
      <c r="M455" s="814"/>
      <c r="N455" s="814"/>
      <c r="O455" s="814"/>
      <c r="P455" s="814"/>
      <c r="Q455" s="818"/>
    </row>
    <row r="456" spans="4:17" s="462" customFormat="1" ht="12.75">
      <c r="D456" s="478"/>
      <c r="E456" s="479"/>
      <c r="M456" s="814"/>
      <c r="N456" s="814"/>
      <c r="O456" s="814"/>
      <c r="P456" s="814"/>
      <c r="Q456" s="818"/>
    </row>
    <row r="457" spans="4:17" s="462" customFormat="1" ht="12.75">
      <c r="D457" s="478"/>
      <c r="E457" s="479"/>
      <c r="M457" s="814"/>
      <c r="N457" s="814"/>
      <c r="O457" s="814"/>
      <c r="P457" s="814"/>
      <c r="Q457" s="818"/>
    </row>
    <row r="458" spans="4:17" s="462" customFormat="1" ht="12.75">
      <c r="D458" s="478"/>
      <c r="E458" s="479"/>
      <c r="M458" s="814"/>
      <c r="N458" s="814"/>
      <c r="O458" s="814"/>
      <c r="P458" s="814"/>
      <c r="Q458" s="818"/>
    </row>
    <row r="459" spans="4:17" s="462" customFormat="1" ht="12.75">
      <c r="D459" s="478"/>
      <c r="E459" s="479"/>
      <c r="M459" s="814"/>
      <c r="N459" s="814"/>
      <c r="O459" s="814"/>
      <c r="P459" s="814"/>
      <c r="Q459" s="818"/>
    </row>
    <row r="460" spans="4:17" s="462" customFormat="1" ht="12.75">
      <c r="D460" s="478"/>
      <c r="E460" s="479"/>
      <c r="M460" s="814"/>
      <c r="N460" s="814"/>
      <c r="O460" s="814"/>
      <c r="P460" s="814"/>
      <c r="Q460" s="818"/>
    </row>
    <row r="461" spans="4:17" s="462" customFormat="1" ht="12.75">
      <c r="D461" s="478"/>
      <c r="E461" s="479"/>
      <c r="M461" s="814"/>
      <c r="N461" s="814"/>
      <c r="O461" s="814"/>
      <c r="P461" s="814"/>
      <c r="Q461" s="818"/>
    </row>
    <row r="462" spans="4:17" s="462" customFormat="1" ht="12.75">
      <c r="D462" s="478"/>
      <c r="E462" s="479"/>
      <c r="M462" s="814"/>
      <c r="N462" s="814"/>
      <c r="O462" s="814"/>
      <c r="P462" s="814"/>
      <c r="Q462" s="818"/>
    </row>
    <row r="463" spans="4:17" s="462" customFormat="1" ht="12.75">
      <c r="D463" s="478"/>
      <c r="E463" s="479"/>
      <c r="M463" s="814"/>
      <c r="N463" s="814"/>
      <c r="O463" s="814"/>
      <c r="P463" s="814"/>
      <c r="Q463" s="818"/>
    </row>
    <row r="464" spans="4:17" s="462" customFormat="1" ht="12.75">
      <c r="D464" s="478"/>
      <c r="E464" s="479"/>
      <c r="M464" s="814"/>
      <c r="N464" s="814"/>
      <c r="O464" s="814"/>
      <c r="P464" s="814"/>
      <c r="Q464" s="818"/>
    </row>
    <row r="465" spans="4:17" s="462" customFormat="1" ht="12.75">
      <c r="D465" s="478"/>
      <c r="E465" s="479"/>
      <c r="M465" s="814"/>
      <c r="N465" s="814"/>
      <c r="O465" s="814"/>
      <c r="P465" s="814"/>
      <c r="Q465" s="818"/>
    </row>
    <row r="466" spans="4:17" s="462" customFormat="1" ht="12.75">
      <c r="D466" s="478"/>
      <c r="E466" s="479"/>
      <c r="M466" s="814"/>
      <c r="N466" s="814"/>
      <c r="O466" s="814"/>
      <c r="P466" s="814"/>
      <c r="Q466" s="818"/>
    </row>
    <row r="467" spans="4:17" s="462" customFormat="1" ht="12.75">
      <c r="D467" s="478"/>
      <c r="E467" s="479"/>
      <c r="M467" s="814"/>
      <c r="N467" s="814"/>
      <c r="O467" s="814"/>
      <c r="P467" s="814"/>
      <c r="Q467" s="818"/>
    </row>
    <row r="468" spans="4:17" s="462" customFormat="1" ht="12.75">
      <c r="D468" s="478"/>
      <c r="E468" s="479"/>
      <c r="M468" s="814"/>
      <c r="N468" s="814"/>
      <c r="O468" s="814"/>
      <c r="P468" s="814"/>
      <c r="Q468" s="818"/>
    </row>
    <row r="469" spans="4:17" s="462" customFormat="1" ht="12.75">
      <c r="D469" s="478"/>
      <c r="E469" s="479"/>
      <c r="M469" s="814"/>
      <c r="N469" s="814"/>
      <c r="O469" s="814"/>
      <c r="P469" s="814"/>
      <c r="Q469" s="818"/>
    </row>
    <row r="470" spans="4:17" s="462" customFormat="1" ht="12.75">
      <c r="D470" s="478"/>
      <c r="E470" s="479"/>
      <c r="M470" s="814"/>
      <c r="N470" s="814"/>
      <c r="O470" s="814"/>
      <c r="P470" s="814"/>
      <c r="Q470" s="818"/>
    </row>
    <row r="471" spans="4:17" s="462" customFormat="1" ht="12.75">
      <c r="D471" s="478"/>
      <c r="E471" s="479"/>
      <c r="M471" s="814"/>
      <c r="N471" s="814"/>
      <c r="O471" s="814"/>
      <c r="P471" s="814"/>
      <c r="Q471" s="818"/>
    </row>
    <row r="472" spans="4:17" s="462" customFormat="1" ht="12.75">
      <c r="D472" s="478"/>
      <c r="E472" s="479"/>
      <c r="M472" s="814"/>
      <c r="N472" s="814"/>
      <c r="O472" s="814"/>
      <c r="P472" s="814"/>
      <c r="Q472" s="818"/>
    </row>
    <row r="473" spans="4:17" s="462" customFormat="1" ht="12.75">
      <c r="D473" s="478"/>
      <c r="E473" s="479"/>
      <c r="M473" s="814"/>
      <c r="N473" s="814"/>
      <c r="O473" s="814"/>
      <c r="P473" s="814"/>
      <c r="Q473" s="818"/>
    </row>
    <row r="474" spans="4:17" s="462" customFormat="1" ht="12.75">
      <c r="D474" s="478"/>
      <c r="E474" s="479"/>
      <c r="M474" s="814"/>
      <c r="N474" s="814"/>
      <c r="O474" s="814"/>
      <c r="P474" s="814"/>
      <c r="Q474" s="818"/>
    </row>
    <row r="475" spans="4:17" s="462" customFormat="1" ht="12.75">
      <c r="D475" s="478"/>
      <c r="E475" s="479"/>
      <c r="M475" s="814"/>
      <c r="N475" s="814"/>
      <c r="O475" s="814"/>
      <c r="P475" s="814"/>
      <c r="Q475" s="818"/>
    </row>
    <row r="476" spans="4:17" s="462" customFormat="1" ht="12.75">
      <c r="D476" s="478"/>
      <c r="E476" s="479"/>
      <c r="M476" s="814"/>
      <c r="N476" s="814"/>
      <c r="O476" s="814"/>
      <c r="P476" s="814"/>
      <c r="Q476" s="818"/>
    </row>
    <row r="477" spans="4:17" s="462" customFormat="1" ht="12.75">
      <c r="D477" s="478"/>
      <c r="E477" s="479"/>
      <c r="M477" s="814"/>
      <c r="N477" s="814"/>
      <c r="O477" s="814"/>
      <c r="P477" s="814"/>
      <c r="Q477" s="818"/>
    </row>
    <row r="478" spans="4:17" s="462" customFormat="1" ht="12.75">
      <c r="D478" s="478"/>
      <c r="E478" s="479"/>
      <c r="M478" s="814"/>
      <c r="N478" s="814"/>
      <c r="O478" s="814"/>
      <c r="P478" s="814"/>
      <c r="Q478" s="818"/>
    </row>
    <row r="479" spans="4:17" s="462" customFormat="1" ht="12.75">
      <c r="D479" s="478"/>
      <c r="E479" s="479"/>
      <c r="M479" s="814"/>
      <c r="N479" s="814"/>
      <c r="O479" s="814"/>
      <c r="P479" s="814"/>
      <c r="Q479" s="818"/>
    </row>
    <row r="480" spans="4:17" s="462" customFormat="1" ht="12.75">
      <c r="D480" s="478"/>
      <c r="E480" s="479"/>
      <c r="M480" s="814"/>
      <c r="N480" s="814"/>
      <c r="O480" s="814"/>
      <c r="P480" s="814"/>
      <c r="Q480" s="818"/>
    </row>
    <row r="481" spans="4:17" s="462" customFormat="1" ht="12.75">
      <c r="D481" s="478"/>
      <c r="E481" s="479"/>
      <c r="M481" s="814"/>
      <c r="N481" s="814"/>
      <c r="O481" s="814"/>
      <c r="P481" s="814"/>
      <c r="Q481" s="818"/>
    </row>
    <row r="482" spans="4:17" s="462" customFormat="1" ht="12.75">
      <c r="D482" s="478"/>
      <c r="E482" s="479"/>
      <c r="M482" s="814"/>
      <c r="N482" s="814"/>
      <c r="O482" s="814"/>
      <c r="P482" s="814"/>
      <c r="Q482" s="818"/>
    </row>
    <row r="483" spans="4:17" s="462" customFormat="1" ht="12.75">
      <c r="D483" s="478"/>
      <c r="E483" s="479"/>
      <c r="M483" s="814"/>
      <c r="N483" s="814"/>
      <c r="O483" s="814"/>
      <c r="P483" s="814"/>
      <c r="Q483" s="818"/>
    </row>
    <row r="484" spans="4:17" s="462" customFormat="1" ht="12.75">
      <c r="D484" s="478"/>
      <c r="E484" s="479"/>
      <c r="M484" s="814"/>
      <c r="N484" s="814"/>
      <c r="O484" s="814"/>
      <c r="P484" s="814"/>
      <c r="Q484" s="818"/>
    </row>
    <row r="485" spans="4:17" s="462" customFormat="1" ht="12.75">
      <c r="D485" s="478"/>
      <c r="E485" s="479"/>
      <c r="M485" s="814"/>
      <c r="N485" s="814"/>
      <c r="O485" s="814"/>
      <c r="P485" s="814"/>
      <c r="Q485" s="818"/>
    </row>
    <row r="486" spans="4:17" s="462" customFormat="1" ht="12.75">
      <c r="D486" s="478"/>
      <c r="E486" s="479"/>
      <c r="M486" s="814"/>
      <c r="N486" s="814"/>
      <c r="O486" s="814"/>
      <c r="P486" s="814"/>
      <c r="Q486" s="818"/>
    </row>
    <row r="487" spans="4:17" s="462" customFormat="1" ht="12.75">
      <c r="D487" s="478"/>
      <c r="E487" s="479"/>
      <c r="M487" s="814"/>
      <c r="N487" s="814"/>
      <c r="O487" s="814"/>
      <c r="P487" s="814"/>
      <c r="Q487" s="818"/>
    </row>
    <row r="488" spans="4:17" s="462" customFormat="1" ht="12.75">
      <c r="D488" s="478"/>
      <c r="E488" s="479"/>
      <c r="M488" s="814"/>
      <c r="N488" s="814"/>
      <c r="O488" s="814"/>
      <c r="P488" s="814"/>
      <c r="Q488" s="818"/>
    </row>
    <row r="489" spans="4:17" s="462" customFormat="1" ht="12.75">
      <c r="D489" s="478"/>
      <c r="E489" s="479"/>
      <c r="M489" s="814"/>
      <c r="N489" s="814"/>
      <c r="O489" s="814"/>
      <c r="P489" s="814"/>
      <c r="Q489" s="818"/>
    </row>
    <row r="490" spans="4:17" s="462" customFormat="1" ht="12.75">
      <c r="D490" s="478"/>
      <c r="E490" s="479"/>
      <c r="M490" s="814"/>
      <c r="N490" s="814"/>
      <c r="O490" s="814"/>
      <c r="P490" s="814"/>
      <c r="Q490" s="818"/>
    </row>
    <row r="491" spans="4:17" s="462" customFormat="1" ht="12.75">
      <c r="D491" s="478"/>
      <c r="E491" s="479"/>
      <c r="M491" s="814"/>
      <c r="N491" s="814"/>
      <c r="O491" s="814"/>
      <c r="P491" s="814"/>
      <c r="Q491" s="818"/>
    </row>
    <row r="492" spans="4:17" s="462" customFormat="1" ht="12.75">
      <c r="D492" s="478"/>
      <c r="E492" s="479"/>
      <c r="M492" s="814"/>
      <c r="N492" s="814"/>
      <c r="O492" s="814"/>
      <c r="P492" s="814"/>
      <c r="Q492" s="818"/>
    </row>
    <row r="493" spans="4:17" s="462" customFormat="1" ht="12.75">
      <c r="D493" s="478"/>
      <c r="E493" s="479"/>
      <c r="M493" s="814"/>
      <c r="N493" s="814"/>
      <c r="O493" s="814"/>
      <c r="P493" s="814"/>
      <c r="Q493" s="818"/>
    </row>
    <row r="494" spans="4:17" s="462" customFormat="1" ht="12.75">
      <c r="D494" s="478"/>
      <c r="E494" s="479"/>
      <c r="M494" s="814"/>
      <c r="N494" s="814"/>
      <c r="O494" s="814"/>
      <c r="P494" s="814"/>
      <c r="Q494" s="818"/>
    </row>
    <row r="495" spans="4:17" s="462" customFormat="1" ht="12.75">
      <c r="D495" s="478"/>
      <c r="E495" s="479"/>
      <c r="M495" s="814"/>
      <c r="N495" s="814"/>
      <c r="O495" s="814"/>
      <c r="P495" s="814"/>
      <c r="Q495" s="818"/>
    </row>
    <row r="496" spans="4:17" s="462" customFormat="1" ht="12.75">
      <c r="D496" s="478"/>
      <c r="E496" s="479"/>
      <c r="M496" s="814"/>
      <c r="N496" s="814"/>
      <c r="O496" s="814"/>
      <c r="P496" s="814"/>
      <c r="Q496" s="818"/>
    </row>
    <row r="497" spans="4:17" s="462" customFormat="1" ht="12.75">
      <c r="D497" s="478"/>
      <c r="E497" s="479"/>
      <c r="M497" s="814"/>
      <c r="N497" s="814"/>
      <c r="O497" s="814"/>
      <c r="P497" s="814"/>
      <c r="Q497" s="818"/>
    </row>
    <row r="498" spans="4:17" s="462" customFormat="1" ht="12.75">
      <c r="D498" s="478"/>
      <c r="E498" s="479"/>
      <c r="M498" s="814"/>
      <c r="N498" s="814"/>
      <c r="O498" s="814"/>
      <c r="P498" s="814"/>
      <c r="Q498" s="818"/>
    </row>
    <row r="499" spans="4:17" s="462" customFormat="1" ht="12.75">
      <c r="D499" s="478"/>
      <c r="E499" s="479"/>
      <c r="M499" s="814"/>
      <c r="N499" s="814"/>
      <c r="O499" s="814"/>
      <c r="P499" s="814"/>
      <c r="Q499" s="818"/>
    </row>
    <row r="500" spans="4:17" s="462" customFormat="1" ht="12.75">
      <c r="D500" s="478"/>
      <c r="E500" s="479"/>
      <c r="M500" s="814"/>
      <c r="N500" s="814"/>
      <c r="O500" s="814"/>
      <c r="P500" s="814"/>
      <c r="Q500" s="818"/>
    </row>
    <row r="501" spans="4:17" s="462" customFormat="1" ht="12.75">
      <c r="D501" s="478"/>
      <c r="E501" s="479"/>
      <c r="M501" s="814"/>
      <c r="N501" s="814"/>
      <c r="O501" s="814"/>
      <c r="P501" s="814"/>
      <c r="Q501" s="818"/>
    </row>
    <row r="502" spans="4:17" s="462" customFormat="1" ht="12.75">
      <c r="D502" s="478"/>
      <c r="E502" s="479"/>
      <c r="M502" s="814"/>
      <c r="N502" s="814"/>
      <c r="O502" s="814"/>
      <c r="P502" s="814"/>
      <c r="Q502" s="818"/>
    </row>
    <row r="503" spans="4:17" s="462" customFormat="1" ht="12.75">
      <c r="D503" s="478"/>
      <c r="E503" s="479"/>
      <c r="M503" s="814"/>
      <c r="N503" s="814"/>
      <c r="O503" s="814"/>
      <c r="P503" s="814"/>
      <c r="Q503" s="818"/>
    </row>
    <row r="504" spans="4:17" s="462" customFormat="1" ht="12.75">
      <c r="D504" s="478"/>
      <c r="E504" s="479"/>
      <c r="M504" s="814"/>
      <c r="N504" s="814"/>
      <c r="O504" s="814"/>
      <c r="P504" s="814"/>
      <c r="Q504" s="818"/>
    </row>
    <row r="505" spans="4:17" s="462" customFormat="1" ht="12.75">
      <c r="D505" s="478"/>
      <c r="E505" s="479"/>
      <c r="M505" s="814"/>
      <c r="N505" s="814"/>
      <c r="O505" s="814"/>
      <c r="P505" s="814"/>
      <c r="Q505" s="818"/>
    </row>
    <row r="506" spans="4:17" s="462" customFormat="1" ht="12.75">
      <c r="D506" s="478"/>
      <c r="E506" s="479"/>
      <c r="M506" s="814"/>
      <c r="N506" s="814"/>
      <c r="O506" s="814"/>
      <c r="P506" s="814"/>
      <c r="Q506" s="818"/>
    </row>
    <row r="507" spans="4:17" s="462" customFormat="1" ht="12.75">
      <c r="D507" s="478"/>
      <c r="E507" s="479"/>
      <c r="M507" s="814"/>
      <c r="N507" s="814"/>
      <c r="O507" s="814"/>
      <c r="P507" s="814"/>
      <c r="Q507" s="818"/>
    </row>
    <row r="508" spans="4:17" s="462" customFormat="1" ht="12.75">
      <c r="D508" s="478"/>
      <c r="E508" s="479"/>
      <c r="M508" s="814"/>
      <c r="N508" s="814"/>
      <c r="O508" s="814"/>
      <c r="P508" s="814"/>
      <c r="Q508" s="818"/>
    </row>
    <row r="509" spans="4:17" s="462" customFormat="1" ht="12.75">
      <c r="D509" s="478"/>
      <c r="E509" s="479"/>
      <c r="M509" s="814"/>
      <c r="N509" s="814"/>
      <c r="O509" s="814"/>
      <c r="P509" s="814"/>
      <c r="Q509" s="818"/>
    </row>
    <row r="510" spans="4:17" s="462" customFormat="1" ht="12.75">
      <c r="D510" s="478"/>
      <c r="E510" s="479"/>
      <c r="M510" s="814"/>
      <c r="N510" s="814"/>
      <c r="O510" s="814"/>
      <c r="P510" s="814"/>
      <c r="Q510" s="818"/>
    </row>
    <row r="511" spans="4:17" s="462" customFormat="1" ht="12.75">
      <c r="D511" s="478"/>
      <c r="E511" s="479"/>
      <c r="M511" s="814"/>
      <c r="N511" s="814"/>
      <c r="O511" s="814"/>
      <c r="P511" s="814"/>
      <c r="Q511" s="818"/>
    </row>
    <row r="512" spans="4:17" s="462" customFormat="1" ht="12.75">
      <c r="D512" s="478"/>
      <c r="E512" s="479"/>
      <c r="M512" s="814"/>
      <c r="N512" s="814"/>
      <c r="O512" s="814"/>
      <c r="P512" s="814"/>
      <c r="Q512" s="818"/>
    </row>
    <row r="513" spans="4:17" s="462" customFormat="1" ht="12.75">
      <c r="D513" s="478"/>
      <c r="E513" s="479"/>
      <c r="M513" s="814"/>
      <c r="N513" s="814"/>
      <c r="O513" s="814"/>
      <c r="P513" s="814"/>
      <c r="Q513" s="818"/>
    </row>
    <row r="514" spans="4:17" s="462" customFormat="1" ht="12.75">
      <c r="D514" s="478"/>
      <c r="E514" s="479"/>
      <c r="M514" s="814"/>
      <c r="N514" s="814"/>
      <c r="O514" s="814"/>
      <c r="P514" s="814"/>
      <c r="Q514" s="818"/>
    </row>
    <row r="515" spans="4:17" s="462" customFormat="1" ht="12.75">
      <c r="D515" s="478"/>
      <c r="E515" s="479"/>
      <c r="M515" s="814"/>
      <c r="N515" s="814"/>
      <c r="O515" s="814"/>
      <c r="P515" s="814"/>
      <c r="Q515" s="818"/>
    </row>
    <row r="516" spans="4:17" s="462" customFormat="1" ht="12.75">
      <c r="D516" s="478"/>
      <c r="E516" s="479"/>
      <c r="M516" s="814"/>
      <c r="N516" s="814"/>
      <c r="O516" s="814"/>
      <c r="P516" s="814"/>
      <c r="Q516" s="818"/>
    </row>
    <row r="517" spans="4:17" s="462" customFormat="1" ht="12.75">
      <c r="D517" s="478"/>
      <c r="E517" s="479"/>
      <c r="M517" s="814"/>
      <c r="N517" s="814"/>
      <c r="O517" s="814"/>
      <c r="P517" s="814"/>
      <c r="Q517" s="818"/>
    </row>
    <row r="518" spans="4:17" s="462" customFormat="1" ht="12.75">
      <c r="D518" s="478"/>
      <c r="E518" s="479"/>
      <c r="M518" s="814"/>
      <c r="N518" s="814"/>
      <c r="O518" s="814"/>
      <c r="P518" s="814"/>
      <c r="Q518" s="818"/>
    </row>
    <row r="519" spans="4:17" s="462" customFormat="1" ht="12.75">
      <c r="D519" s="478"/>
      <c r="E519" s="479"/>
      <c r="M519" s="814"/>
      <c r="N519" s="814"/>
      <c r="O519" s="814"/>
      <c r="P519" s="814"/>
      <c r="Q519" s="818"/>
    </row>
    <row r="520" spans="4:17" s="462" customFormat="1" ht="12.75">
      <c r="D520" s="478"/>
      <c r="E520" s="479"/>
      <c r="M520" s="814"/>
      <c r="N520" s="814"/>
      <c r="O520" s="814"/>
      <c r="P520" s="814"/>
      <c r="Q520" s="818"/>
    </row>
    <row r="521" spans="4:17" s="462" customFormat="1" ht="12.75">
      <c r="D521" s="478"/>
      <c r="E521" s="479"/>
      <c r="M521" s="814"/>
      <c r="N521" s="814"/>
      <c r="O521" s="814"/>
      <c r="P521" s="814"/>
      <c r="Q521" s="818"/>
    </row>
    <row r="522" spans="4:17" s="462" customFormat="1" ht="12.75">
      <c r="D522" s="478"/>
      <c r="E522" s="479"/>
      <c r="M522" s="814"/>
      <c r="N522" s="814"/>
      <c r="O522" s="814"/>
      <c r="P522" s="814"/>
      <c r="Q522" s="818"/>
    </row>
    <row r="523" spans="4:17" s="462" customFormat="1" ht="12.75">
      <c r="D523" s="478"/>
      <c r="E523" s="479"/>
      <c r="M523" s="814"/>
      <c r="N523" s="814"/>
      <c r="O523" s="814"/>
      <c r="P523" s="814"/>
      <c r="Q523" s="818"/>
    </row>
    <row r="524" spans="4:17" s="462" customFormat="1" ht="12.75">
      <c r="D524" s="478"/>
      <c r="E524" s="479"/>
      <c r="M524" s="814"/>
      <c r="N524" s="814"/>
      <c r="O524" s="814"/>
      <c r="P524" s="814"/>
      <c r="Q524" s="818"/>
    </row>
    <row r="525" spans="4:17" s="462" customFormat="1" ht="12.75">
      <c r="D525" s="478"/>
      <c r="E525" s="479"/>
      <c r="M525" s="814"/>
      <c r="N525" s="814"/>
      <c r="O525" s="814"/>
      <c r="P525" s="814"/>
      <c r="Q525" s="818"/>
    </row>
    <row r="526" spans="4:17" s="462" customFormat="1" ht="12.75">
      <c r="D526" s="478"/>
      <c r="E526" s="479"/>
      <c r="M526" s="814"/>
      <c r="N526" s="814"/>
      <c r="O526" s="814"/>
      <c r="P526" s="814"/>
      <c r="Q526" s="818"/>
    </row>
    <row r="527" spans="4:17" s="462" customFormat="1" ht="12.75">
      <c r="D527" s="478"/>
      <c r="E527" s="479"/>
      <c r="M527" s="814"/>
      <c r="N527" s="814"/>
      <c r="O527" s="814"/>
      <c r="P527" s="814"/>
      <c r="Q527" s="818"/>
    </row>
    <row r="528" spans="4:17" s="462" customFormat="1" ht="12.75">
      <c r="D528" s="478"/>
      <c r="E528" s="479"/>
      <c r="M528" s="814"/>
      <c r="N528" s="814"/>
      <c r="O528" s="814"/>
      <c r="P528" s="814"/>
      <c r="Q528" s="818"/>
    </row>
    <row r="529" spans="4:17" s="462" customFormat="1" ht="12.75">
      <c r="D529" s="478"/>
      <c r="E529" s="479"/>
      <c r="M529" s="814"/>
      <c r="N529" s="814"/>
      <c r="O529" s="814"/>
      <c r="P529" s="814"/>
      <c r="Q529" s="818"/>
    </row>
    <row r="530" spans="4:17" s="462" customFormat="1" ht="12.75">
      <c r="D530" s="478"/>
      <c r="E530" s="479"/>
      <c r="M530" s="814"/>
      <c r="N530" s="814"/>
      <c r="O530" s="814"/>
      <c r="P530" s="814"/>
      <c r="Q530" s="818"/>
    </row>
    <row r="531" spans="4:17" s="462" customFormat="1" ht="12.75">
      <c r="D531" s="478"/>
      <c r="E531" s="479"/>
      <c r="M531" s="814"/>
      <c r="N531" s="814"/>
      <c r="O531" s="814"/>
      <c r="P531" s="814"/>
      <c r="Q531" s="818"/>
    </row>
    <row r="532" spans="4:17" s="462" customFormat="1" ht="12.75">
      <c r="D532" s="478"/>
      <c r="E532" s="479"/>
      <c r="M532" s="814"/>
      <c r="N532" s="814"/>
      <c r="O532" s="814"/>
      <c r="P532" s="814"/>
      <c r="Q532" s="818"/>
    </row>
    <row r="533" spans="4:17" s="462" customFormat="1" ht="12.75">
      <c r="D533" s="478"/>
      <c r="E533" s="479"/>
      <c r="M533" s="814"/>
      <c r="N533" s="814"/>
      <c r="O533" s="814"/>
      <c r="P533" s="814"/>
      <c r="Q533" s="818"/>
    </row>
    <row r="534" spans="4:17" s="462" customFormat="1" ht="12.75">
      <c r="D534" s="478"/>
      <c r="E534" s="479"/>
      <c r="M534" s="814"/>
      <c r="N534" s="814"/>
      <c r="O534" s="814"/>
      <c r="P534" s="814"/>
      <c r="Q534" s="818"/>
    </row>
    <row r="535" spans="4:17" s="462" customFormat="1" ht="12.75">
      <c r="D535" s="478"/>
      <c r="E535" s="479"/>
      <c r="M535" s="814"/>
      <c r="N535" s="814"/>
      <c r="O535" s="814"/>
      <c r="P535" s="814"/>
      <c r="Q535" s="818"/>
    </row>
    <row r="536" spans="4:17" s="462" customFormat="1" ht="12.75">
      <c r="D536" s="478"/>
      <c r="E536" s="479"/>
      <c r="M536" s="814"/>
      <c r="N536" s="814"/>
      <c r="O536" s="814"/>
      <c r="P536" s="814"/>
      <c r="Q536" s="818"/>
    </row>
    <row r="537" spans="4:17" s="462" customFormat="1" ht="12.75">
      <c r="D537" s="478"/>
      <c r="E537" s="479"/>
      <c r="M537" s="814"/>
      <c r="N537" s="814"/>
      <c r="O537" s="814"/>
      <c r="P537" s="814"/>
      <c r="Q537" s="818"/>
    </row>
    <row r="538" spans="4:17" s="462" customFormat="1" ht="12.75">
      <c r="D538" s="478"/>
      <c r="E538" s="479"/>
      <c r="M538" s="814"/>
      <c r="N538" s="814"/>
      <c r="O538" s="814"/>
      <c r="P538" s="814"/>
      <c r="Q538" s="818"/>
    </row>
    <row r="539" spans="4:17" s="462" customFormat="1" ht="12.75">
      <c r="D539" s="478"/>
      <c r="E539" s="479"/>
      <c r="M539" s="814"/>
      <c r="N539" s="814"/>
      <c r="O539" s="814"/>
      <c r="P539" s="814"/>
      <c r="Q539" s="818"/>
    </row>
    <row r="540" spans="4:17" s="462" customFormat="1" ht="12.75">
      <c r="D540" s="478"/>
      <c r="E540" s="479"/>
      <c r="M540" s="814"/>
      <c r="N540" s="814"/>
      <c r="O540" s="814"/>
      <c r="P540" s="814"/>
      <c r="Q540" s="818"/>
    </row>
    <row r="541" spans="4:17" s="462" customFormat="1" ht="12.75">
      <c r="D541" s="478"/>
      <c r="E541" s="479"/>
      <c r="M541" s="814"/>
      <c r="N541" s="814"/>
      <c r="O541" s="814"/>
      <c r="P541" s="814"/>
      <c r="Q541" s="818"/>
    </row>
    <row r="542" spans="4:17" s="462" customFormat="1" ht="12.75">
      <c r="D542" s="478"/>
      <c r="E542" s="479"/>
      <c r="M542" s="814"/>
      <c r="N542" s="814"/>
      <c r="O542" s="814"/>
      <c r="P542" s="814"/>
      <c r="Q542" s="818"/>
    </row>
    <row r="543" spans="4:17" s="462" customFormat="1" ht="12.75">
      <c r="D543" s="478"/>
      <c r="E543" s="479"/>
      <c r="M543" s="814"/>
      <c r="N543" s="814"/>
      <c r="O543" s="814"/>
      <c r="P543" s="814"/>
      <c r="Q543" s="818"/>
    </row>
    <row r="544" spans="4:17" s="462" customFormat="1" ht="12.75">
      <c r="D544" s="478"/>
      <c r="E544" s="479"/>
      <c r="M544" s="814"/>
      <c r="N544" s="814"/>
      <c r="O544" s="814"/>
      <c r="P544" s="814"/>
      <c r="Q544" s="818"/>
    </row>
    <row r="545" spans="4:17" s="462" customFormat="1" ht="12.75">
      <c r="D545" s="478"/>
      <c r="E545" s="479"/>
      <c r="M545" s="814"/>
      <c r="N545" s="814"/>
      <c r="O545" s="814"/>
      <c r="P545" s="814"/>
      <c r="Q545" s="818"/>
    </row>
    <row r="546" spans="4:17" s="462" customFormat="1" ht="12.75">
      <c r="D546" s="478"/>
      <c r="E546" s="479"/>
      <c r="M546" s="814"/>
      <c r="N546" s="814"/>
      <c r="O546" s="814"/>
      <c r="P546" s="814"/>
      <c r="Q546" s="818"/>
    </row>
    <row r="547" spans="4:17" s="462" customFormat="1" ht="12.75">
      <c r="D547" s="478"/>
      <c r="E547" s="479"/>
      <c r="M547" s="814"/>
      <c r="N547" s="814"/>
      <c r="O547" s="814"/>
      <c r="P547" s="814"/>
      <c r="Q547" s="818"/>
    </row>
    <row r="548" spans="4:17" s="462" customFormat="1" ht="12.75">
      <c r="D548" s="478"/>
      <c r="E548" s="479"/>
      <c r="M548" s="814"/>
      <c r="N548" s="814"/>
      <c r="O548" s="814"/>
      <c r="P548" s="814"/>
      <c r="Q548" s="818"/>
    </row>
    <row r="549" spans="4:17" s="462" customFormat="1" ht="12.75">
      <c r="D549" s="478"/>
      <c r="E549" s="479"/>
      <c r="M549" s="814"/>
      <c r="N549" s="814"/>
      <c r="O549" s="814"/>
      <c r="P549" s="814"/>
      <c r="Q549" s="818"/>
    </row>
    <row r="550" spans="4:17" s="462" customFormat="1" ht="12.75">
      <c r="D550" s="478"/>
      <c r="E550" s="479"/>
      <c r="M550" s="814"/>
      <c r="N550" s="814"/>
      <c r="O550" s="814"/>
      <c r="P550" s="814"/>
      <c r="Q550" s="818"/>
    </row>
    <row r="551" spans="1:17" s="462" customFormat="1" ht="12.75">
      <c r="A551" s="490"/>
      <c r="B551" s="490"/>
      <c r="C551" s="490"/>
      <c r="D551" s="491"/>
      <c r="E551" s="492"/>
      <c r="M551" s="814"/>
      <c r="N551" s="814"/>
      <c r="O551" s="814"/>
      <c r="P551" s="814"/>
      <c r="Q551" s="818"/>
    </row>
    <row r="552" spans="1:17" s="462" customFormat="1" ht="12.75">
      <c r="A552" s="490"/>
      <c r="B552" s="490"/>
      <c r="C552" s="490"/>
      <c r="D552" s="491"/>
      <c r="E552" s="492"/>
      <c r="M552" s="814"/>
      <c r="N552" s="814"/>
      <c r="O552" s="814"/>
      <c r="P552" s="814"/>
      <c r="Q552" s="818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L569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4.28125" style="490" customWidth="1"/>
    <col min="2" max="2" width="18.140625" style="490" customWidth="1"/>
    <col min="3" max="3" width="17.421875" style="490" customWidth="1"/>
    <col min="4" max="4" width="18.140625" style="490" customWidth="1"/>
    <col min="5" max="5" width="3.421875" style="493" customWidth="1"/>
    <col min="6" max="6" width="10.28125" style="813" customWidth="1"/>
    <col min="7" max="7" width="11.7109375" style="490" bestFit="1" customWidth="1"/>
    <col min="8" max="9" width="10.7109375" style="490" bestFit="1" customWidth="1"/>
    <col min="10" max="16384" width="10.7109375" style="490" customWidth="1"/>
  </cols>
  <sheetData>
    <row r="1" spans="1:3" ht="12.75">
      <c r="A1" s="403"/>
      <c r="B1" s="762" t="s">
        <v>481</v>
      </c>
      <c r="C1" s="403"/>
    </row>
    <row r="2" spans="1:3" ht="12.75">
      <c r="A2" s="403"/>
      <c r="B2" s="763" t="s">
        <v>482</v>
      </c>
      <c r="C2" s="403"/>
    </row>
    <row r="3" spans="1:3" ht="12.75">
      <c r="A3" s="403"/>
      <c r="B3" s="403"/>
      <c r="C3" s="403"/>
    </row>
    <row r="4" spans="1:3" ht="12.75">
      <c r="A4" s="759" t="s">
        <v>319</v>
      </c>
      <c r="B4" s="764">
        <v>42339</v>
      </c>
      <c r="C4" s="403"/>
    </row>
    <row r="5" spans="1:3" ht="12.75">
      <c r="A5" s="759" t="s">
        <v>480</v>
      </c>
      <c r="B5" s="765" t="s">
        <v>483</v>
      </c>
      <c r="C5" s="403"/>
    </row>
    <row r="7" spans="1:6" s="462" customFormat="1" ht="49.5" customHeight="1">
      <c r="A7" s="967" t="s">
        <v>91</v>
      </c>
      <c r="B7" s="968"/>
      <c r="C7" s="969"/>
      <c r="D7" s="461">
        <f>CPYG!D7</f>
        <v>2016</v>
      </c>
      <c r="E7" s="494"/>
      <c r="F7" s="814"/>
    </row>
    <row r="8" spans="1:6" s="462" customFormat="1" ht="25.5" customHeight="1">
      <c r="A8" s="975" t="str">
        <f>CPYG!A8</f>
        <v>EMPRESA PÚBLICA:  INSTITUCIÓN FERIAL DE TENERIFE, S.A.</v>
      </c>
      <c r="B8" s="976"/>
      <c r="C8" s="976"/>
      <c r="D8" s="461" t="s">
        <v>93</v>
      </c>
      <c r="E8" s="405"/>
      <c r="F8" s="814"/>
    </row>
    <row r="9" spans="1:12" s="462" customFormat="1" ht="24.75" customHeight="1">
      <c r="A9" s="974" t="s">
        <v>484</v>
      </c>
      <c r="B9" s="974"/>
      <c r="C9" s="974"/>
      <c r="D9" s="974"/>
      <c r="E9" s="463"/>
      <c r="F9" s="878"/>
      <c r="G9" s="879"/>
      <c r="H9" s="879"/>
      <c r="I9" s="879"/>
      <c r="J9" s="879"/>
      <c r="K9" s="879"/>
      <c r="L9" s="879"/>
    </row>
    <row r="10" spans="1:12" s="462" customFormat="1" ht="40.5" customHeight="1">
      <c r="A10" s="464" t="s">
        <v>452</v>
      </c>
      <c r="B10" s="228" t="s">
        <v>595</v>
      </c>
      <c r="C10" s="495" t="s">
        <v>486</v>
      </c>
      <c r="D10" s="495" t="s">
        <v>596</v>
      </c>
      <c r="E10" s="496"/>
      <c r="F10" s="880" t="s">
        <v>258</v>
      </c>
      <c r="G10" s="879"/>
      <c r="H10" s="879"/>
      <c r="I10" s="879"/>
      <c r="J10" s="879"/>
      <c r="K10" s="879"/>
      <c r="L10" s="879"/>
    </row>
    <row r="11" spans="1:12" s="462" customFormat="1" ht="22.5" customHeight="1">
      <c r="A11" s="497" t="s">
        <v>132</v>
      </c>
      <c r="B11" s="537">
        <f>B12+B28+B32</f>
        <v>2065672.040000001</v>
      </c>
      <c r="C11" s="537">
        <f>C12+C28+C32</f>
        <v>2619496.6500000013</v>
      </c>
      <c r="D11" s="537">
        <f>D12+D28+D32</f>
        <v>2728945.6900000023</v>
      </c>
      <c r="E11" s="469"/>
      <c r="F11" s="881">
        <f>+D11-C11</f>
        <v>109449.04000000097</v>
      </c>
      <c r="G11" s="879"/>
      <c r="H11" s="879"/>
      <c r="I11" s="879"/>
      <c r="J11" s="879"/>
      <c r="K11" s="879"/>
      <c r="L11" s="879"/>
    </row>
    <row r="12" spans="1:12" s="462" customFormat="1" ht="19.5" customHeight="1">
      <c r="A12" s="498" t="s">
        <v>133</v>
      </c>
      <c r="B12" s="574">
        <f>+B13+B16+B17+B20+B21+B24+B25+B26+B27</f>
        <v>753862.2400000009</v>
      </c>
      <c r="C12" s="574">
        <f>+C13+C16+C17+C20+C21+C24+C25+C26+C27</f>
        <v>1296740.8300000015</v>
      </c>
      <c r="D12" s="574">
        <f>+D13+D16+D17+D20+D21+D24+D25+D26+D27</f>
        <v>1438433.600000002</v>
      </c>
      <c r="E12" s="488"/>
      <c r="F12" s="873">
        <f>+D12-C12</f>
        <v>141692.77000000048</v>
      </c>
      <c r="G12" s="879"/>
      <c r="H12" s="879"/>
      <c r="I12" s="879"/>
      <c r="J12" s="879"/>
      <c r="K12" s="879"/>
      <c r="L12" s="879"/>
    </row>
    <row r="13" spans="1:12" s="462" customFormat="1" ht="19.5" customHeight="1">
      <c r="A13" s="498" t="s">
        <v>134</v>
      </c>
      <c r="B13" s="575">
        <f>SUM(B14:B15)</f>
        <v>660000</v>
      </c>
      <c r="C13" s="575">
        <f>SUM(C14:C15)</f>
        <v>660000</v>
      </c>
      <c r="D13" s="575">
        <f>SUM(D14:D15)</f>
        <v>660000</v>
      </c>
      <c r="E13" s="481"/>
      <c r="F13" s="873"/>
      <c r="G13" s="879"/>
      <c r="H13" s="879"/>
      <c r="I13" s="879"/>
      <c r="J13" s="879"/>
      <c r="K13" s="879"/>
      <c r="L13" s="879"/>
    </row>
    <row r="14" spans="1:12" s="462" customFormat="1" ht="19.5" customHeight="1">
      <c r="A14" s="499" t="s">
        <v>815</v>
      </c>
      <c r="B14" s="569">
        <v>660000</v>
      </c>
      <c r="C14" s="569">
        <v>660000</v>
      </c>
      <c r="D14" s="569">
        <v>660000</v>
      </c>
      <c r="E14" s="481"/>
      <c r="F14" s="878"/>
      <c r="G14" s="879"/>
      <c r="H14" s="879"/>
      <c r="I14" s="879"/>
      <c r="J14" s="879"/>
      <c r="K14" s="879"/>
      <c r="L14" s="879"/>
    </row>
    <row r="15" spans="1:12" s="462" customFormat="1" ht="19.5" customHeight="1">
      <c r="A15" s="499" t="s">
        <v>816</v>
      </c>
      <c r="B15" s="569">
        <v>0</v>
      </c>
      <c r="C15" s="569">
        <v>0</v>
      </c>
      <c r="D15" s="569">
        <v>0</v>
      </c>
      <c r="E15" s="481"/>
      <c r="F15" s="878"/>
      <c r="G15" s="879"/>
      <c r="H15" s="879"/>
      <c r="I15" s="879"/>
      <c r="J15" s="879"/>
      <c r="K15" s="879"/>
      <c r="L15" s="879"/>
    </row>
    <row r="16" spans="1:12" s="462" customFormat="1" ht="19.5" customHeight="1">
      <c r="A16" s="498" t="s">
        <v>94</v>
      </c>
      <c r="B16" s="569">
        <v>0</v>
      </c>
      <c r="C16" s="569">
        <v>0</v>
      </c>
      <c r="D16" s="569">
        <v>0</v>
      </c>
      <c r="E16" s="481"/>
      <c r="F16" s="873"/>
      <c r="G16" s="879"/>
      <c r="H16" s="879"/>
      <c r="I16" s="879"/>
      <c r="J16" s="879"/>
      <c r="K16" s="879"/>
      <c r="L16" s="879"/>
    </row>
    <row r="17" spans="1:12" s="462" customFormat="1" ht="19.5" customHeight="1">
      <c r="A17" s="498" t="s">
        <v>135</v>
      </c>
      <c r="B17" s="575">
        <f>SUM(B18:B19)</f>
        <v>809406.53</v>
      </c>
      <c r="C17" s="575">
        <f>SUM(C18:C19)</f>
        <v>730692.1000000001</v>
      </c>
      <c r="D17" s="575">
        <f>SUM(D18:D19)</f>
        <v>707282.31</v>
      </c>
      <c r="E17" s="481"/>
      <c r="F17" s="873">
        <f>+D17-C17</f>
        <v>-23409.790000000037</v>
      </c>
      <c r="G17" s="879"/>
      <c r="H17" s="879"/>
      <c r="I17" s="879"/>
      <c r="J17" s="879"/>
      <c r="K17" s="879"/>
      <c r="L17" s="879"/>
    </row>
    <row r="18" spans="1:12" s="462" customFormat="1" ht="19.5" customHeight="1">
      <c r="A18" s="499" t="s">
        <v>817</v>
      </c>
      <c r="B18" s="569">
        <v>20515.5</v>
      </c>
      <c r="C18" s="569">
        <v>20515.5</v>
      </c>
      <c r="D18" s="569">
        <v>20515.5</v>
      </c>
      <c r="E18" s="481"/>
      <c r="F18" s="873"/>
      <c r="G18" s="879"/>
      <c r="H18" s="879"/>
      <c r="I18" s="879"/>
      <c r="J18" s="879"/>
      <c r="K18" s="879"/>
      <c r="L18" s="879"/>
    </row>
    <row r="19" spans="1:12" s="462" customFormat="1" ht="19.5" customHeight="1">
      <c r="A19" s="499" t="s">
        <v>818</v>
      </c>
      <c r="B19" s="569">
        <v>788891.03</v>
      </c>
      <c r="C19" s="569">
        <f>728828.92-18652.32</f>
        <v>710176.6000000001</v>
      </c>
      <c r="D19" s="569">
        <v>686766.81</v>
      </c>
      <c r="E19" s="481"/>
      <c r="F19" s="873"/>
      <c r="G19" s="879"/>
      <c r="H19" s="879"/>
      <c r="I19" s="882"/>
      <c r="J19" s="882"/>
      <c r="K19" s="879"/>
      <c r="L19" s="879"/>
    </row>
    <row r="20" spans="1:12" s="462" customFormat="1" ht="19.5" customHeight="1">
      <c r="A20" s="771" t="s">
        <v>819</v>
      </c>
      <c r="B20" s="569">
        <v>0</v>
      </c>
      <c r="C20" s="569">
        <v>0</v>
      </c>
      <c r="D20" s="569">
        <v>0</v>
      </c>
      <c r="E20" s="481"/>
      <c r="F20" s="878"/>
      <c r="G20" s="883"/>
      <c r="H20" s="879"/>
      <c r="I20" s="879"/>
      <c r="J20" s="879"/>
      <c r="K20" s="879"/>
      <c r="L20" s="879"/>
    </row>
    <row r="21" spans="1:12" s="462" customFormat="1" ht="19.5" customHeight="1">
      <c r="A21" s="498" t="s">
        <v>95</v>
      </c>
      <c r="B21" s="575">
        <f>SUM(B22:B23)</f>
        <v>-1066358.98</v>
      </c>
      <c r="C21" s="575">
        <f>SUM(C22:C23)</f>
        <v>-715544.2899999991</v>
      </c>
      <c r="D21" s="575">
        <f>SUM(D22:D23)</f>
        <v>-93951.26999999868</v>
      </c>
      <c r="E21" s="481"/>
      <c r="F21" s="873">
        <f>+D21-C21</f>
        <v>621593.0200000005</v>
      </c>
      <c r="G21" s="879"/>
      <c r="H21" s="879"/>
      <c r="I21" s="879"/>
      <c r="J21" s="879"/>
      <c r="K21" s="879"/>
      <c r="L21" s="879"/>
    </row>
    <row r="22" spans="1:12" s="462" customFormat="1" ht="19.5" customHeight="1">
      <c r="A22" s="499" t="s">
        <v>820</v>
      </c>
      <c r="B22" s="569">
        <v>0</v>
      </c>
      <c r="C22" s="569">
        <v>0</v>
      </c>
      <c r="D22" s="569">
        <v>0</v>
      </c>
      <c r="E22" s="481"/>
      <c r="F22" s="878"/>
      <c r="G22" s="879"/>
      <c r="H22" s="879"/>
      <c r="I22" s="879"/>
      <c r="J22" s="879"/>
      <c r="K22" s="879"/>
      <c r="L22" s="879"/>
    </row>
    <row r="23" spans="1:12" s="462" customFormat="1" ht="19.5" customHeight="1">
      <c r="A23" s="499" t="s">
        <v>136</v>
      </c>
      <c r="B23" s="569">
        <v>-1066358.98</v>
      </c>
      <c r="C23" s="570">
        <f>+B23+B24+B25</f>
        <v>-715544.2899999991</v>
      </c>
      <c r="D23" s="570">
        <f>+C23+C24+C25</f>
        <v>-93951.26999999868</v>
      </c>
      <c r="E23" s="481"/>
      <c r="F23" s="878"/>
      <c r="G23" s="879"/>
      <c r="H23" s="879"/>
      <c r="I23" s="879"/>
      <c r="J23" s="882"/>
      <c r="K23" s="882"/>
      <c r="L23" s="879"/>
    </row>
    <row r="24" spans="1:12" s="462" customFormat="1" ht="19.5" customHeight="1">
      <c r="A24" s="498" t="s">
        <v>823</v>
      </c>
      <c r="B24" s="570">
        <v>839123</v>
      </c>
      <c r="C24" s="570">
        <v>1128340.54</v>
      </c>
      <c r="D24" s="570">
        <f>+'Transf. y subv.'!E48</f>
        <v>664018.8900000001</v>
      </c>
      <c r="E24" s="481"/>
      <c r="F24" s="873">
        <f>+D24-C24</f>
        <v>-464321.6499999999</v>
      </c>
      <c r="G24" s="879"/>
      <c r="H24" s="879"/>
      <c r="I24" s="882">
        <f>+D24+D25</f>
        <v>165102.5600000004</v>
      </c>
      <c r="J24" s="882">
        <f>+I24+D23</f>
        <v>71151.29000000173</v>
      </c>
      <c r="K24" s="882">
        <f>+J24-F17</f>
        <v>94561.08000000176</v>
      </c>
      <c r="L24" s="879"/>
    </row>
    <row r="25" spans="1:12" s="462" customFormat="1" ht="19.5" customHeight="1">
      <c r="A25" s="498" t="s">
        <v>0</v>
      </c>
      <c r="B25" s="571">
        <f>CPYG!B111</f>
        <v>-488308.3099999991</v>
      </c>
      <c r="C25" s="572">
        <f>CPYG!C111</f>
        <v>-506747.5199999996</v>
      </c>
      <c r="D25" s="572">
        <f>CPYG!D111</f>
        <v>-498916.3299999997</v>
      </c>
      <c r="E25" s="500"/>
      <c r="F25" s="873">
        <f>+D25-C25</f>
        <v>7831.189999999886</v>
      </c>
      <c r="G25" s="879"/>
      <c r="H25" s="879"/>
      <c r="I25" s="879"/>
      <c r="J25" s="882"/>
      <c r="K25" s="879"/>
      <c r="L25" s="879"/>
    </row>
    <row r="26" spans="1:12" s="462" customFormat="1" ht="19.5" customHeight="1">
      <c r="A26" s="498" t="s">
        <v>1</v>
      </c>
      <c r="B26" s="569">
        <v>0</v>
      </c>
      <c r="C26" s="569">
        <v>0</v>
      </c>
      <c r="D26" s="569">
        <v>0</v>
      </c>
      <c r="E26" s="481"/>
      <c r="F26" s="873">
        <f>+D26-C26</f>
        <v>0</v>
      </c>
      <c r="G26" s="879"/>
      <c r="H26" s="879"/>
      <c r="I26" s="879"/>
      <c r="J26" s="879"/>
      <c r="K26" s="879"/>
      <c r="L26" s="879"/>
    </row>
    <row r="27" spans="1:12" s="462" customFormat="1" ht="19.5" customHeight="1">
      <c r="A27" s="498" t="s">
        <v>4</v>
      </c>
      <c r="B27" s="569">
        <v>0</v>
      </c>
      <c r="C27" s="569">
        <v>0</v>
      </c>
      <c r="D27" s="569">
        <v>0</v>
      </c>
      <c r="E27" s="481"/>
      <c r="F27" s="873"/>
      <c r="G27" s="879"/>
      <c r="H27" s="879"/>
      <c r="I27" s="879"/>
      <c r="J27" s="879"/>
      <c r="K27" s="879"/>
      <c r="L27" s="879"/>
    </row>
    <row r="28" spans="1:12" s="462" customFormat="1" ht="19.5" customHeight="1">
      <c r="A28" s="498" t="s">
        <v>5</v>
      </c>
      <c r="B28" s="574">
        <f>SUM(B29:B31)</f>
        <v>0</v>
      </c>
      <c r="C28" s="574">
        <f>SUM(C29:C31)</f>
        <v>0</v>
      </c>
      <c r="D28" s="574">
        <f>SUM(D29:D31)</f>
        <v>0</v>
      </c>
      <c r="E28" s="488"/>
      <c r="F28" s="873"/>
      <c r="G28" s="879"/>
      <c r="H28" s="879"/>
      <c r="I28" s="879"/>
      <c r="J28" s="879"/>
      <c r="K28" s="879"/>
      <c r="L28" s="879"/>
    </row>
    <row r="29" spans="1:12" s="462" customFormat="1" ht="19.5" customHeight="1">
      <c r="A29" s="498" t="s">
        <v>6</v>
      </c>
      <c r="B29" s="569">
        <v>0</v>
      </c>
      <c r="C29" s="569">
        <v>0</v>
      </c>
      <c r="D29" s="569">
        <v>0</v>
      </c>
      <c r="E29" s="481"/>
      <c r="F29" s="878"/>
      <c r="G29" s="879"/>
      <c r="H29" s="879"/>
      <c r="I29" s="879"/>
      <c r="J29" s="879"/>
      <c r="K29" s="879"/>
      <c r="L29" s="879"/>
    </row>
    <row r="30" spans="1:12" s="462" customFormat="1" ht="19.5" customHeight="1">
      <c r="A30" s="498" t="s">
        <v>11</v>
      </c>
      <c r="B30" s="569">
        <v>0</v>
      </c>
      <c r="C30" s="569">
        <v>0</v>
      </c>
      <c r="D30" s="569">
        <v>0</v>
      </c>
      <c r="E30" s="481"/>
      <c r="F30" s="884"/>
      <c r="G30" s="885"/>
      <c r="H30" s="885"/>
      <c r="I30" s="885"/>
      <c r="J30" s="886"/>
      <c r="K30" s="879"/>
      <c r="L30" s="879"/>
    </row>
    <row r="31" spans="1:12" s="462" customFormat="1" ht="19.5" customHeight="1">
      <c r="A31" s="498" t="s">
        <v>12</v>
      </c>
      <c r="B31" s="569">
        <v>0</v>
      </c>
      <c r="C31" s="570">
        <v>0</v>
      </c>
      <c r="D31" s="570">
        <v>0</v>
      </c>
      <c r="E31" s="481"/>
      <c r="F31" s="878"/>
      <c r="G31" s="879"/>
      <c r="H31" s="879"/>
      <c r="I31" s="879"/>
      <c r="J31" s="879"/>
      <c r="K31" s="879"/>
      <c r="L31" s="879"/>
    </row>
    <row r="32" spans="1:12" s="462" customFormat="1" ht="19.5" customHeight="1">
      <c r="A32" s="498" t="s">
        <v>13</v>
      </c>
      <c r="B32" s="569">
        <v>1311809.8</v>
      </c>
      <c r="C32" s="570">
        <f>+B32+'Transf. y subv.'!D12-CPYG!C63</f>
        <v>1322755.82</v>
      </c>
      <c r="D32" s="570">
        <f>+C32-CPYG!D63</f>
        <v>1290512.09</v>
      </c>
      <c r="E32" s="481"/>
      <c r="F32" s="873">
        <f>+D32-C32</f>
        <v>-32243.72999999998</v>
      </c>
      <c r="G32" s="882"/>
      <c r="H32" s="879"/>
      <c r="I32" s="879"/>
      <c r="J32" s="879"/>
      <c r="K32" s="879"/>
      <c r="L32" s="879"/>
    </row>
    <row r="33" spans="1:12" s="462" customFormat="1" ht="19.5" customHeight="1">
      <c r="A33" s="497" t="s">
        <v>137</v>
      </c>
      <c r="B33" s="574">
        <f>B34+B38+B43+B44+B45+B46+B9+B47</f>
        <v>184666.06</v>
      </c>
      <c r="C33" s="574">
        <f>C34+C38+C43+C44+C45+C46+C9+C47</f>
        <v>191666.06</v>
      </c>
      <c r="D33" s="574">
        <f>D34+D38+D43+D44+D45+D46+D9+D47</f>
        <v>198666.01</v>
      </c>
      <c r="E33" s="488"/>
      <c r="F33" s="881">
        <f>+D33-C33</f>
        <v>6999.950000000012</v>
      </c>
      <c r="G33" s="882"/>
      <c r="H33" s="882"/>
      <c r="I33" s="882"/>
      <c r="J33" s="879"/>
      <c r="K33" s="879"/>
      <c r="L33" s="879"/>
    </row>
    <row r="34" spans="1:12" s="462" customFormat="1" ht="19.5" customHeight="1">
      <c r="A34" s="468" t="s">
        <v>14</v>
      </c>
      <c r="B34" s="576">
        <f>SUM(B35:B37)</f>
        <v>182661.05</v>
      </c>
      <c r="C34" s="576">
        <f>SUM(C35:C37)</f>
        <v>189661.05</v>
      </c>
      <c r="D34" s="576">
        <f>SUM(D35:D37)</f>
        <v>196661</v>
      </c>
      <c r="E34" s="481"/>
      <c r="F34" s="873">
        <f>+D34-C34</f>
        <v>6999.950000000012</v>
      </c>
      <c r="G34" s="879"/>
      <c r="H34" s="879"/>
      <c r="I34" s="879"/>
      <c r="J34" s="879"/>
      <c r="K34" s="879"/>
      <c r="L34" s="879"/>
    </row>
    <row r="35" spans="1:12" s="462" customFormat="1" ht="19.5" customHeight="1">
      <c r="A35" s="471" t="s">
        <v>455</v>
      </c>
      <c r="B35" s="570">
        <v>182661.05</v>
      </c>
      <c r="C35" s="570">
        <v>189661.05</v>
      </c>
      <c r="D35" s="570">
        <v>196661</v>
      </c>
      <c r="E35" s="481"/>
      <c r="F35" s="873"/>
      <c r="G35" s="879"/>
      <c r="H35" s="879"/>
      <c r="I35" s="879"/>
      <c r="J35" s="879"/>
      <c r="K35" s="879"/>
      <c r="L35" s="879"/>
    </row>
    <row r="36" spans="1:12" s="462" customFormat="1" ht="28.5" customHeight="1">
      <c r="A36" s="501" t="s">
        <v>456</v>
      </c>
      <c r="B36" s="570">
        <v>0</v>
      </c>
      <c r="C36" s="570">
        <v>0</v>
      </c>
      <c r="D36" s="570">
        <v>0</v>
      </c>
      <c r="E36" s="481"/>
      <c r="F36" s="878"/>
      <c r="G36" s="879"/>
      <c r="H36" s="879"/>
      <c r="I36" s="879"/>
      <c r="J36" s="879"/>
      <c r="K36" s="879"/>
      <c r="L36" s="879"/>
    </row>
    <row r="37" spans="1:12" s="462" customFormat="1" ht="19.5" customHeight="1">
      <c r="A37" s="471" t="s">
        <v>457</v>
      </c>
      <c r="B37" s="573">
        <v>0</v>
      </c>
      <c r="C37" s="573">
        <v>0</v>
      </c>
      <c r="D37" s="573">
        <v>0</v>
      </c>
      <c r="E37" s="488"/>
      <c r="F37" s="878"/>
      <c r="G37" s="879"/>
      <c r="H37" s="879"/>
      <c r="I37" s="879"/>
      <c r="J37" s="879"/>
      <c r="K37" s="879"/>
      <c r="L37" s="879"/>
    </row>
    <row r="38" spans="1:12" s="462" customFormat="1" ht="19.5" customHeight="1">
      <c r="A38" s="468" t="s">
        <v>15</v>
      </c>
      <c r="B38" s="576">
        <f>SUM(B39:B42)</f>
        <v>2005.01</v>
      </c>
      <c r="C38" s="576">
        <f>SUM(C39:C42)</f>
        <v>2005.01</v>
      </c>
      <c r="D38" s="576">
        <f>SUM(D39:D42)</f>
        <v>2005.01</v>
      </c>
      <c r="E38" s="481"/>
      <c r="F38" s="873">
        <f>+D38-C38</f>
        <v>0</v>
      </c>
      <c r="G38" s="879"/>
      <c r="H38" s="879"/>
      <c r="I38" s="879"/>
      <c r="J38" s="879"/>
      <c r="K38" s="879"/>
      <c r="L38" s="879"/>
    </row>
    <row r="39" spans="1:12" s="462" customFormat="1" ht="19.5" customHeight="1">
      <c r="A39" s="471" t="s">
        <v>17</v>
      </c>
      <c r="B39" s="573">
        <v>0</v>
      </c>
      <c r="C39" s="573">
        <v>0</v>
      </c>
      <c r="D39" s="573">
        <v>0</v>
      </c>
      <c r="E39" s="488"/>
      <c r="F39" s="878"/>
      <c r="G39" s="879"/>
      <c r="H39" s="879"/>
      <c r="I39" s="879"/>
      <c r="J39" s="879"/>
      <c r="K39" s="879"/>
      <c r="L39" s="879"/>
    </row>
    <row r="40" spans="1:12" s="462" customFormat="1" ht="19.5" customHeight="1">
      <c r="A40" s="471" t="s">
        <v>28</v>
      </c>
      <c r="B40" s="570">
        <v>0</v>
      </c>
      <c r="C40" s="570">
        <v>0</v>
      </c>
      <c r="D40" s="570">
        <v>0</v>
      </c>
      <c r="E40" s="481"/>
      <c r="F40" s="878"/>
      <c r="G40" s="879"/>
      <c r="H40" s="879"/>
      <c r="I40" s="879"/>
      <c r="J40" s="879"/>
      <c r="K40" s="879"/>
      <c r="L40" s="879"/>
    </row>
    <row r="41" spans="1:12" s="462" customFormat="1" ht="19.5" customHeight="1">
      <c r="A41" s="471" t="s">
        <v>18</v>
      </c>
      <c r="B41" s="570">
        <v>0</v>
      </c>
      <c r="C41" s="570">
        <v>0</v>
      </c>
      <c r="D41" s="570">
        <v>0</v>
      </c>
      <c r="E41" s="481"/>
      <c r="F41" s="878"/>
      <c r="G41" s="879"/>
      <c r="H41" s="881">
        <f>+F33+F48</f>
        <v>-171275.75</v>
      </c>
      <c r="I41" s="879"/>
      <c r="J41" s="879"/>
      <c r="K41" s="879"/>
      <c r="L41" s="879"/>
    </row>
    <row r="42" spans="1:12" s="462" customFormat="1" ht="19.5" customHeight="1">
      <c r="A42" s="471" t="s">
        <v>458</v>
      </c>
      <c r="B42" s="570">
        <v>2005.01</v>
      </c>
      <c r="C42" s="570">
        <v>2005.01</v>
      </c>
      <c r="D42" s="570">
        <v>2005.01</v>
      </c>
      <c r="E42" s="481"/>
      <c r="F42" s="878"/>
      <c r="G42" s="879"/>
      <c r="H42" s="879"/>
      <c r="I42" s="879"/>
      <c r="J42" s="879"/>
      <c r="K42" s="879"/>
      <c r="L42" s="879"/>
    </row>
    <row r="43" spans="1:12" s="462" customFormat="1" ht="19.5" customHeight="1">
      <c r="A43" s="770" t="s">
        <v>19</v>
      </c>
      <c r="B43" s="573">
        <v>0</v>
      </c>
      <c r="C43" s="573">
        <v>0</v>
      </c>
      <c r="D43" s="573">
        <v>0</v>
      </c>
      <c r="E43" s="481"/>
      <c r="F43" s="873">
        <f aca="true" t="shared" si="0" ref="F43:F50">+D43-C43</f>
        <v>0</v>
      </c>
      <c r="G43" s="879"/>
      <c r="H43" s="879"/>
      <c r="I43" s="879"/>
      <c r="J43" s="879"/>
      <c r="K43" s="879"/>
      <c r="L43" s="879"/>
    </row>
    <row r="44" spans="1:12" s="462" customFormat="1" ht="19.5" customHeight="1">
      <c r="A44" s="468" t="s">
        <v>20</v>
      </c>
      <c r="B44" s="573">
        <v>0</v>
      </c>
      <c r="C44" s="573">
        <v>0</v>
      </c>
      <c r="D44" s="573">
        <v>0</v>
      </c>
      <c r="E44" s="481"/>
      <c r="F44" s="873">
        <f t="shared" si="0"/>
        <v>0</v>
      </c>
      <c r="G44" s="879"/>
      <c r="H44" s="879"/>
      <c r="I44" s="879"/>
      <c r="J44" s="879"/>
      <c r="K44" s="879"/>
      <c r="L44" s="879"/>
    </row>
    <row r="45" spans="1:12" s="462" customFormat="1" ht="19.5" customHeight="1">
      <c r="A45" s="468" t="s">
        <v>21</v>
      </c>
      <c r="B45" s="573">
        <v>0</v>
      </c>
      <c r="C45" s="573">
        <v>0</v>
      </c>
      <c r="D45" s="573">
        <v>0</v>
      </c>
      <c r="E45" s="488"/>
      <c r="F45" s="873">
        <f t="shared" si="0"/>
        <v>0</v>
      </c>
      <c r="G45" s="879"/>
      <c r="H45" s="879"/>
      <c r="I45" s="879"/>
      <c r="J45" s="879"/>
      <c r="K45" s="879"/>
      <c r="L45" s="879"/>
    </row>
    <row r="46" spans="1:12" s="462" customFormat="1" ht="19.5" customHeight="1">
      <c r="A46" s="468" t="s">
        <v>459</v>
      </c>
      <c r="B46" s="573">
        <v>0</v>
      </c>
      <c r="C46" s="573">
        <v>0</v>
      </c>
      <c r="D46" s="573">
        <v>0</v>
      </c>
      <c r="E46" s="488"/>
      <c r="F46" s="873">
        <f t="shared" si="0"/>
        <v>0</v>
      </c>
      <c r="G46" s="879"/>
      <c r="H46" s="879"/>
      <c r="I46" s="879"/>
      <c r="J46" s="879"/>
      <c r="K46" s="879"/>
      <c r="L46" s="879"/>
    </row>
    <row r="47" spans="1:12" s="462" customFormat="1" ht="19.5" customHeight="1">
      <c r="A47" s="468" t="s">
        <v>460</v>
      </c>
      <c r="B47" s="573">
        <v>0</v>
      </c>
      <c r="C47" s="573">
        <v>0</v>
      </c>
      <c r="D47" s="573">
        <v>0</v>
      </c>
      <c r="E47" s="488"/>
      <c r="F47" s="873">
        <f t="shared" si="0"/>
        <v>0</v>
      </c>
      <c r="G47" s="879"/>
      <c r="H47" s="879"/>
      <c r="I47" s="879"/>
      <c r="J47" s="879"/>
      <c r="K47" s="879"/>
      <c r="L47" s="879"/>
    </row>
    <row r="48" spans="1:12" s="462" customFormat="1" ht="19.5" customHeight="1">
      <c r="A48" s="497" t="s">
        <v>89</v>
      </c>
      <c r="B48" s="576">
        <f>+B49+B50+B54+B59+B60+B63+B64</f>
        <v>808405.02</v>
      </c>
      <c r="C48" s="576">
        <f>+C49+C50+C54+C59+C60+C63+C64</f>
        <v>657789.63</v>
      </c>
      <c r="D48" s="576">
        <f>+D49+D50+D54+D59+D60+D63+D64</f>
        <v>479513.93</v>
      </c>
      <c r="E48" s="488"/>
      <c r="F48" s="881">
        <f>+D48-C48</f>
        <v>-178275.7</v>
      </c>
      <c r="G48" s="879"/>
      <c r="H48" s="879"/>
      <c r="I48" s="879"/>
      <c r="J48" s="879"/>
      <c r="K48" s="879"/>
      <c r="L48" s="879"/>
    </row>
    <row r="49" spans="1:12" s="462" customFormat="1" ht="30" customHeight="1">
      <c r="A49" s="502" t="s">
        <v>25</v>
      </c>
      <c r="B49" s="573">
        <v>0</v>
      </c>
      <c r="C49" s="573">
        <v>0</v>
      </c>
      <c r="D49" s="573">
        <v>0</v>
      </c>
      <c r="E49" s="488"/>
      <c r="F49" s="873">
        <f t="shared" si="0"/>
        <v>0</v>
      </c>
      <c r="G49" s="879"/>
      <c r="H49" s="879"/>
      <c r="I49" s="879"/>
      <c r="J49" s="879"/>
      <c r="K49" s="879"/>
      <c r="L49" s="879"/>
    </row>
    <row r="50" spans="1:12" s="462" customFormat="1" ht="19.5" customHeight="1">
      <c r="A50" s="468" t="s">
        <v>26</v>
      </c>
      <c r="B50" s="576">
        <f>+B51+B52+B53</f>
        <v>0</v>
      </c>
      <c r="C50" s="576">
        <f>+C51+C52+C53</f>
        <v>0</v>
      </c>
      <c r="D50" s="576">
        <f>+D51+D52+D53</f>
        <v>0</v>
      </c>
      <c r="E50" s="488"/>
      <c r="F50" s="873">
        <f t="shared" si="0"/>
        <v>0</v>
      </c>
      <c r="G50" s="879"/>
      <c r="H50" s="879"/>
      <c r="I50" s="879"/>
      <c r="J50" s="879"/>
      <c r="K50" s="879"/>
      <c r="L50" s="879"/>
    </row>
    <row r="51" spans="1:12" s="462" customFormat="1" ht="19.5" customHeight="1">
      <c r="A51" s="471" t="s">
        <v>455</v>
      </c>
      <c r="B51" s="573">
        <v>0</v>
      </c>
      <c r="C51" s="573">
        <v>0</v>
      </c>
      <c r="D51" s="573">
        <v>0</v>
      </c>
      <c r="E51" s="488"/>
      <c r="F51" s="873"/>
      <c r="G51" s="879"/>
      <c r="H51" s="879"/>
      <c r="I51" s="879"/>
      <c r="J51" s="879"/>
      <c r="K51" s="879"/>
      <c r="L51" s="879"/>
    </row>
    <row r="52" spans="1:12" s="462" customFormat="1" ht="28.5" customHeight="1">
      <c r="A52" s="501" t="s">
        <v>456</v>
      </c>
      <c r="B52" s="573">
        <v>0</v>
      </c>
      <c r="C52" s="573">
        <v>0</v>
      </c>
      <c r="D52" s="573">
        <v>0</v>
      </c>
      <c r="E52" s="488"/>
      <c r="F52" s="873"/>
      <c r="G52" s="879"/>
      <c r="H52" s="879"/>
      <c r="I52" s="879"/>
      <c r="J52" s="879"/>
      <c r="K52" s="879"/>
      <c r="L52" s="879"/>
    </row>
    <row r="53" spans="1:12" s="462" customFormat="1" ht="19.5" customHeight="1">
      <c r="A53" s="471" t="s">
        <v>457</v>
      </c>
      <c r="B53" s="573">
        <v>0</v>
      </c>
      <c r="C53" s="573">
        <v>0</v>
      </c>
      <c r="D53" s="573">
        <v>0</v>
      </c>
      <c r="E53" s="488"/>
      <c r="F53" s="873"/>
      <c r="G53" s="879"/>
      <c r="H53" s="879"/>
      <c r="I53" s="879"/>
      <c r="J53" s="879"/>
      <c r="K53" s="879"/>
      <c r="L53" s="879"/>
    </row>
    <row r="54" spans="1:12" s="462" customFormat="1" ht="19.5" customHeight="1">
      <c r="A54" s="468" t="s">
        <v>27</v>
      </c>
      <c r="B54" s="576">
        <f>SUM(B55:B58)</f>
        <v>254</v>
      </c>
      <c r="C54" s="576">
        <f>SUM(C55:C58)</f>
        <v>196.34</v>
      </c>
      <c r="D54" s="576">
        <f>SUM(D55:D58)</f>
        <v>203.56</v>
      </c>
      <c r="E54" s="481"/>
      <c r="F54" s="873">
        <f>+D54-C54</f>
        <v>7.219999999999999</v>
      </c>
      <c r="G54" s="879" t="s">
        <v>362</v>
      </c>
      <c r="H54" s="879"/>
      <c r="I54" s="879"/>
      <c r="J54" s="879"/>
      <c r="K54" s="879"/>
      <c r="L54" s="879"/>
    </row>
    <row r="55" spans="1:12" s="462" customFormat="1" ht="19.5" customHeight="1">
      <c r="A55" s="471" t="s">
        <v>17</v>
      </c>
      <c r="B55" s="570">
        <v>0</v>
      </c>
      <c r="C55" s="570">
        <v>0</v>
      </c>
      <c r="D55" s="570">
        <v>0</v>
      </c>
      <c r="E55" s="481"/>
      <c r="F55" s="878"/>
      <c r="G55" s="879"/>
      <c r="H55" s="879"/>
      <c r="I55" s="879"/>
      <c r="J55" s="879"/>
      <c r="K55" s="879"/>
      <c r="L55" s="879"/>
    </row>
    <row r="56" spans="1:12" s="462" customFormat="1" ht="19.5" customHeight="1">
      <c r="A56" s="471" t="s">
        <v>28</v>
      </c>
      <c r="B56" s="570">
        <v>254</v>
      </c>
      <c r="C56" s="570">
        <v>196.34</v>
      </c>
      <c r="D56" s="570">
        <v>203.56</v>
      </c>
      <c r="F56" s="878"/>
      <c r="G56" s="879"/>
      <c r="H56" s="879"/>
      <c r="I56" s="879"/>
      <c r="J56" s="879"/>
      <c r="K56" s="879"/>
      <c r="L56" s="879"/>
    </row>
    <row r="57" spans="1:12" s="462" customFormat="1" ht="19.5" customHeight="1">
      <c r="A57" s="471" t="s">
        <v>18</v>
      </c>
      <c r="B57" s="573">
        <v>0</v>
      </c>
      <c r="C57" s="573">
        <v>0</v>
      </c>
      <c r="D57" s="573">
        <v>0</v>
      </c>
      <c r="E57" s="488"/>
      <c r="F57" s="878"/>
      <c r="G57" s="879"/>
      <c r="H57" s="879"/>
      <c r="I57" s="879"/>
      <c r="J57" s="879"/>
      <c r="K57" s="879"/>
      <c r="L57" s="879"/>
    </row>
    <row r="58" spans="1:12" s="462" customFormat="1" ht="19.5" customHeight="1">
      <c r="A58" s="471" t="s">
        <v>461</v>
      </c>
      <c r="B58" s="573">
        <v>0</v>
      </c>
      <c r="C58" s="573">
        <v>0</v>
      </c>
      <c r="D58" s="573">
        <v>0</v>
      </c>
      <c r="E58" s="488"/>
      <c r="F58" s="878"/>
      <c r="G58" s="879"/>
      <c r="H58" s="879"/>
      <c r="I58" s="879"/>
      <c r="J58" s="879"/>
      <c r="K58" s="879"/>
      <c r="L58" s="879"/>
    </row>
    <row r="59" spans="1:12" s="462" customFormat="1" ht="19.5" customHeight="1">
      <c r="A59" s="770" t="s">
        <v>29</v>
      </c>
      <c r="B59" s="573">
        <v>0</v>
      </c>
      <c r="C59" s="573">
        <v>0</v>
      </c>
      <c r="D59" s="573">
        <v>0</v>
      </c>
      <c r="E59" s="488"/>
      <c r="F59" s="873">
        <f>+D59-C59</f>
        <v>0</v>
      </c>
      <c r="G59" s="879"/>
      <c r="H59" s="879"/>
      <c r="I59" s="879"/>
      <c r="J59" s="879"/>
      <c r="K59" s="879"/>
      <c r="L59" s="879"/>
    </row>
    <row r="60" spans="1:12" s="462" customFormat="1" ht="19.5" customHeight="1">
      <c r="A60" s="468" t="s">
        <v>30</v>
      </c>
      <c r="B60" s="576">
        <f>SUM(B61:B62)</f>
        <v>668319.7100000001</v>
      </c>
      <c r="C60" s="576">
        <f>SUM(C61:C62)</f>
        <v>523737.04</v>
      </c>
      <c r="D60" s="576">
        <f>SUM(D61:D62)</f>
        <v>344310.37</v>
      </c>
      <c r="E60" s="481"/>
      <c r="F60" s="873">
        <f>+D60-C60</f>
        <v>-179426.66999999998</v>
      </c>
      <c r="G60" s="879"/>
      <c r="H60" s="879"/>
      <c r="I60" s="879"/>
      <c r="J60" s="879"/>
      <c r="K60" s="879"/>
      <c r="L60" s="879"/>
    </row>
    <row r="61" spans="1:12" s="462" customFormat="1" ht="19.5" customHeight="1">
      <c r="A61" s="471" t="s">
        <v>31</v>
      </c>
      <c r="B61" s="570">
        <v>15640.75</v>
      </c>
      <c r="C61" s="570">
        <v>11589.36</v>
      </c>
      <c r="D61" s="570">
        <v>8160</v>
      </c>
      <c r="E61" s="481"/>
      <c r="F61" s="873"/>
      <c r="G61" s="879"/>
      <c r="H61" s="879"/>
      <c r="I61" s="879"/>
      <c r="J61" s="879"/>
      <c r="K61" s="879"/>
      <c r="L61" s="879"/>
    </row>
    <row r="62" spans="1:12" s="462" customFormat="1" ht="19.5" customHeight="1">
      <c r="A62" s="471" t="s">
        <v>462</v>
      </c>
      <c r="B62" s="570">
        <f>530981.24+2934.04+102604.92+16158.76</f>
        <v>652678.9600000001</v>
      </c>
      <c r="C62" s="570">
        <v>512147.68</v>
      </c>
      <c r="D62" s="570">
        <v>336150.37</v>
      </c>
      <c r="E62" s="481"/>
      <c r="F62" s="873"/>
      <c r="G62" s="879"/>
      <c r="H62" s="879"/>
      <c r="I62" s="879"/>
      <c r="J62" s="879"/>
      <c r="K62" s="879"/>
      <c r="L62" s="879"/>
    </row>
    <row r="63" spans="1:12" s="462" customFormat="1" ht="19.5" customHeight="1">
      <c r="A63" s="468" t="s">
        <v>52</v>
      </c>
      <c r="B63" s="573">
        <v>139831.31</v>
      </c>
      <c r="C63" s="573">
        <v>133856.25</v>
      </c>
      <c r="D63" s="573">
        <v>135000</v>
      </c>
      <c r="E63" s="488"/>
      <c r="F63" s="873">
        <f>+D63-C63</f>
        <v>1143.75</v>
      </c>
      <c r="G63" s="879"/>
      <c r="H63" s="879"/>
      <c r="I63" s="879"/>
      <c r="J63" s="879"/>
      <c r="K63" s="879"/>
      <c r="L63" s="879"/>
    </row>
    <row r="64" spans="1:12" s="462" customFormat="1" ht="19.5" customHeight="1">
      <c r="A64" s="468" t="s">
        <v>463</v>
      </c>
      <c r="B64" s="573">
        <v>0</v>
      </c>
      <c r="C64" s="573">
        <v>0</v>
      </c>
      <c r="D64" s="573">
        <v>0</v>
      </c>
      <c r="E64" s="488"/>
      <c r="F64" s="873">
        <f>+D64-C64</f>
        <v>0</v>
      </c>
      <c r="G64" s="879"/>
      <c r="H64" s="879"/>
      <c r="I64" s="879"/>
      <c r="J64" s="879"/>
      <c r="K64" s="879"/>
      <c r="L64" s="879"/>
    </row>
    <row r="65" spans="1:12" s="462" customFormat="1" ht="30" customHeight="1">
      <c r="A65" s="474" t="s">
        <v>90</v>
      </c>
      <c r="B65" s="577">
        <f>B48+B33+B11</f>
        <v>3058743.120000001</v>
      </c>
      <c r="C65" s="577">
        <f>C48+C33+C11</f>
        <v>3468952.3400000012</v>
      </c>
      <c r="D65" s="577">
        <f>D48+D33+D11</f>
        <v>3407125.630000002</v>
      </c>
      <c r="E65" s="469"/>
      <c r="F65" s="873">
        <f>+D65-C65</f>
        <v>-61826.70999999903</v>
      </c>
      <c r="G65" s="879"/>
      <c r="H65" s="879"/>
      <c r="I65" s="879"/>
      <c r="J65" s="879"/>
      <c r="K65" s="879"/>
      <c r="L65" s="879"/>
    </row>
    <row r="66" spans="2:12" s="462" customFormat="1" ht="12.75">
      <c r="B66" s="472"/>
      <c r="C66" s="472"/>
      <c r="D66" s="472"/>
      <c r="E66" s="503"/>
      <c r="F66" s="878"/>
      <c r="G66" s="879"/>
      <c r="H66" s="879"/>
      <c r="I66" s="879"/>
      <c r="J66" s="879"/>
      <c r="K66" s="879"/>
      <c r="L66" s="879"/>
    </row>
    <row r="67" spans="2:12" s="462" customFormat="1" ht="12.75">
      <c r="B67" s="472"/>
      <c r="C67" s="472"/>
      <c r="D67" s="472"/>
      <c r="E67" s="503"/>
      <c r="F67" s="878"/>
      <c r="G67" s="879"/>
      <c r="H67" s="879"/>
      <c r="I67" s="879"/>
      <c r="J67" s="879"/>
      <c r="K67" s="879"/>
      <c r="L67" s="879"/>
    </row>
    <row r="68" spans="1:6" s="462" customFormat="1" ht="12.75" hidden="1">
      <c r="A68" s="477" t="s">
        <v>32</v>
      </c>
      <c r="B68" s="472"/>
      <c r="C68" s="472"/>
      <c r="D68" s="472"/>
      <c r="E68" s="503"/>
      <c r="F68" s="814"/>
    </row>
    <row r="69" spans="5:6" s="462" customFormat="1" ht="12.75">
      <c r="E69" s="473"/>
      <c r="F69" s="814"/>
    </row>
    <row r="70" spans="2:6" s="462" customFormat="1" ht="12.75">
      <c r="B70" s="472"/>
      <c r="C70" s="472"/>
      <c r="D70" s="472"/>
      <c r="E70" s="503"/>
      <c r="F70" s="814"/>
    </row>
    <row r="71" spans="2:6" s="462" customFormat="1" ht="12.75" hidden="1">
      <c r="B71" s="472"/>
      <c r="C71" s="472"/>
      <c r="D71" s="472"/>
      <c r="E71" s="503"/>
      <c r="F71" s="814"/>
    </row>
    <row r="72" spans="1:6" s="462" customFormat="1" ht="12.75" hidden="1">
      <c r="A72" s="462" t="s">
        <v>53</v>
      </c>
      <c r="B72" s="472">
        <f>+ACTIVO!B48</f>
        <v>3058743.12</v>
      </c>
      <c r="C72" s="472">
        <f>+ACTIVO!C48</f>
        <v>3468952.34</v>
      </c>
      <c r="D72" s="472">
        <f>+ACTIVO!D48</f>
        <v>3407125.63</v>
      </c>
      <c r="E72" s="503"/>
      <c r="F72" s="814"/>
    </row>
    <row r="73" spans="1:6" s="462" customFormat="1" ht="12.75" hidden="1">
      <c r="A73" s="473" t="s">
        <v>51</v>
      </c>
      <c r="B73" s="483">
        <f>+B65-B72</f>
        <v>0</v>
      </c>
      <c r="C73" s="483">
        <f>+C65-C72</f>
        <v>0</v>
      </c>
      <c r="D73" s="483">
        <f>+D65-D72</f>
        <v>0</v>
      </c>
      <c r="E73" s="481"/>
      <c r="F73" s="814"/>
    </row>
    <row r="74" spans="5:6" s="462" customFormat="1" ht="12.75" hidden="1">
      <c r="E74" s="473"/>
      <c r="F74" s="814"/>
    </row>
    <row r="75" spans="4:6" s="462" customFormat="1" ht="12.75" hidden="1">
      <c r="D75" s="472"/>
      <c r="E75" s="503"/>
      <c r="F75" s="814"/>
    </row>
    <row r="76" spans="5:6" s="462" customFormat="1" ht="12.75">
      <c r="E76" s="473"/>
      <c r="F76" s="814"/>
    </row>
    <row r="77" spans="5:6" s="462" customFormat="1" ht="12.75">
      <c r="E77" s="473"/>
      <c r="F77" s="814"/>
    </row>
    <row r="78" spans="5:6" s="462" customFormat="1" ht="12.75">
      <c r="E78" s="473"/>
      <c r="F78" s="814"/>
    </row>
    <row r="79" spans="5:6" s="462" customFormat="1" ht="12.75">
      <c r="E79" s="473"/>
      <c r="F79" s="814"/>
    </row>
    <row r="80" spans="5:6" s="462" customFormat="1" ht="12.75">
      <c r="E80" s="473"/>
      <c r="F80" s="814"/>
    </row>
    <row r="81" spans="5:6" s="462" customFormat="1" ht="12.75">
      <c r="E81" s="473"/>
      <c r="F81" s="814"/>
    </row>
    <row r="82" spans="5:6" s="462" customFormat="1" ht="12.75">
      <c r="E82" s="473"/>
      <c r="F82" s="814"/>
    </row>
    <row r="83" spans="5:6" s="462" customFormat="1" ht="12.75">
      <c r="E83" s="473"/>
      <c r="F83" s="814"/>
    </row>
    <row r="84" spans="5:6" s="462" customFormat="1" ht="12.75">
      <c r="E84" s="473"/>
      <c r="F84" s="814"/>
    </row>
    <row r="85" spans="5:6" s="462" customFormat="1" ht="12.75">
      <c r="E85" s="473"/>
      <c r="F85" s="814"/>
    </row>
    <row r="86" spans="5:6" s="462" customFormat="1" ht="12.75">
      <c r="E86" s="473"/>
      <c r="F86" s="814"/>
    </row>
    <row r="87" spans="5:6" s="462" customFormat="1" ht="12.75">
      <c r="E87" s="473"/>
      <c r="F87" s="814"/>
    </row>
    <row r="88" spans="5:6" s="462" customFormat="1" ht="12.75">
      <c r="E88" s="473"/>
      <c r="F88" s="814"/>
    </row>
    <row r="89" spans="5:6" s="462" customFormat="1" ht="12.75">
      <c r="E89" s="473"/>
      <c r="F89" s="814"/>
    </row>
    <row r="90" spans="5:6" s="462" customFormat="1" ht="12.75">
      <c r="E90" s="473"/>
      <c r="F90" s="814"/>
    </row>
    <row r="91" spans="5:6" s="462" customFormat="1" ht="12.75">
      <c r="E91" s="473"/>
      <c r="F91" s="814"/>
    </row>
    <row r="92" spans="5:6" s="462" customFormat="1" ht="12.75">
      <c r="E92" s="473"/>
      <c r="F92" s="814"/>
    </row>
    <row r="93" spans="5:6" s="462" customFormat="1" ht="12.75">
      <c r="E93" s="473"/>
      <c r="F93" s="814"/>
    </row>
    <row r="94" spans="5:6" s="462" customFormat="1" ht="12.75">
      <c r="E94" s="473"/>
      <c r="F94" s="814"/>
    </row>
    <row r="95" spans="5:6" s="462" customFormat="1" ht="12.75">
      <c r="E95" s="473"/>
      <c r="F95" s="814"/>
    </row>
    <row r="96" spans="5:6" s="462" customFormat="1" ht="12.75">
      <c r="E96" s="473"/>
      <c r="F96" s="814"/>
    </row>
    <row r="97" spans="5:6" s="462" customFormat="1" ht="12.75">
      <c r="E97" s="473"/>
      <c r="F97" s="814"/>
    </row>
    <row r="98" spans="5:6" s="462" customFormat="1" ht="12.75">
      <c r="E98" s="473"/>
      <c r="F98" s="814"/>
    </row>
    <row r="99" spans="5:6" s="462" customFormat="1" ht="12.75">
      <c r="E99" s="473"/>
      <c r="F99" s="814"/>
    </row>
    <row r="100" spans="5:6" s="462" customFormat="1" ht="12.75">
      <c r="E100" s="473"/>
      <c r="F100" s="814"/>
    </row>
    <row r="101" spans="5:6" s="462" customFormat="1" ht="12.75">
      <c r="E101" s="473"/>
      <c r="F101" s="814"/>
    </row>
    <row r="102" spans="5:6" s="462" customFormat="1" ht="12.75">
      <c r="E102" s="473"/>
      <c r="F102" s="814"/>
    </row>
    <row r="103" spans="5:6" s="462" customFormat="1" ht="12.75">
      <c r="E103" s="473"/>
      <c r="F103" s="814"/>
    </row>
    <row r="104" spans="5:6" s="462" customFormat="1" ht="12.75">
      <c r="E104" s="473"/>
      <c r="F104" s="814"/>
    </row>
    <row r="105" spans="5:6" s="462" customFormat="1" ht="12.75">
      <c r="E105" s="473"/>
      <c r="F105" s="814"/>
    </row>
    <row r="106" spans="5:6" s="462" customFormat="1" ht="12.75">
      <c r="E106" s="473"/>
      <c r="F106" s="814"/>
    </row>
    <row r="107" spans="5:6" s="462" customFormat="1" ht="12.75">
      <c r="E107" s="473"/>
      <c r="F107" s="814"/>
    </row>
    <row r="108" spans="5:6" s="462" customFormat="1" ht="12.75">
      <c r="E108" s="473"/>
      <c r="F108" s="814"/>
    </row>
    <row r="109" spans="5:6" s="462" customFormat="1" ht="12.75">
      <c r="E109" s="473"/>
      <c r="F109" s="814"/>
    </row>
    <row r="110" spans="5:6" s="462" customFormat="1" ht="12.75">
      <c r="E110" s="473"/>
      <c r="F110" s="814"/>
    </row>
    <row r="111" spans="5:6" s="462" customFormat="1" ht="12.75">
      <c r="E111" s="473"/>
      <c r="F111" s="814"/>
    </row>
    <row r="112" spans="5:6" s="462" customFormat="1" ht="12.75">
      <c r="E112" s="473"/>
      <c r="F112" s="814"/>
    </row>
    <row r="113" spans="5:6" s="462" customFormat="1" ht="12.75">
      <c r="E113" s="473"/>
      <c r="F113" s="814"/>
    </row>
    <row r="114" spans="5:6" s="462" customFormat="1" ht="12.75">
      <c r="E114" s="473"/>
      <c r="F114" s="814"/>
    </row>
    <row r="115" spans="5:6" s="462" customFormat="1" ht="12.75">
      <c r="E115" s="473"/>
      <c r="F115" s="814"/>
    </row>
    <row r="116" spans="5:6" s="462" customFormat="1" ht="12.75">
      <c r="E116" s="473"/>
      <c r="F116" s="814"/>
    </row>
    <row r="117" spans="5:6" s="462" customFormat="1" ht="12.75">
      <c r="E117" s="473"/>
      <c r="F117" s="814"/>
    </row>
    <row r="118" spans="5:6" s="462" customFormat="1" ht="12.75">
      <c r="E118" s="473"/>
      <c r="F118" s="814"/>
    </row>
    <row r="119" spans="5:6" s="462" customFormat="1" ht="12.75">
      <c r="E119" s="473"/>
      <c r="F119" s="814"/>
    </row>
    <row r="120" spans="5:6" s="462" customFormat="1" ht="12.75">
      <c r="E120" s="473"/>
      <c r="F120" s="814"/>
    </row>
    <row r="121" spans="5:6" s="462" customFormat="1" ht="12.75">
      <c r="E121" s="473"/>
      <c r="F121" s="814"/>
    </row>
    <row r="122" spans="5:6" s="462" customFormat="1" ht="12.75">
      <c r="E122" s="473"/>
      <c r="F122" s="814"/>
    </row>
    <row r="123" spans="5:6" s="462" customFormat="1" ht="12.75">
      <c r="E123" s="473"/>
      <c r="F123" s="814"/>
    </row>
    <row r="124" spans="5:6" s="462" customFormat="1" ht="12.75">
      <c r="E124" s="473"/>
      <c r="F124" s="814"/>
    </row>
    <row r="125" spans="5:6" s="462" customFormat="1" ht="12.75">
      <c r="E125" s="473"/>
      <c r="F125" s="814"/>
    </row>
    <row r="126" spans="5:6" s="462" customFormat="1" ht="12.75">
      <c r="E126" s="473"/>
      <c r="F126" s="814"/>
    </row>
    <row r="127" spans="5:6" s="462" customFormat="1" ht="12.75">
      <c r="E127" s="473"/>
      <c r="F127" s="814"/>
    </row>
    <row r="128" spans="5:6" s="462" customFormat="1" ht="12.75">
      <c r="E128" s="473"/>
      <c r="F128" s="814"/>
    </row>
    <row r="129" spans="5:6" s="462" customFormat="1" ht="12.75">
      <c r="E129" s="473"/>
      <c r="F129" s="814"/>
    </row>
    <row r="130" spans="5:6" s="462" customFormat="1" ht="12.75">
      <c r="E130" s="473"/>
      <c r="F130" s="814"/>
    </row>
    <row r="131" spans="5:6" s="462" customFormat="1" ht="12.75">
      <c r="E131" s="473"/>
      <c r="F131" s="814"/>
    </row>
    <row r="132" spans="5:6" s="462" customFormat="1" ht="12.75">
      <c r="E132" s="473"/>
      <c r="F132" s="814"/>
    </row>
    <row r="133" spans="5:6" s="462" customFormat="1" ht="12.75">
      <c r="E133" s="473"/>
      <c r="F133" s="814"/>
    </row>
    <row r="134" spans="5:6" s="462" customFormat="1" ht="12.75">
      <c r="E134" s="473"/>
      <c r="F134" s="814"/>
    </row>
    <row r="135" spans="5:6" s="462" customFormat="1" ht="12.75">
      <c r="E135" s="473"/>
      <c r="F135" s="814"/>
    </row>
    <row r="136" spans="5:6" s="462" customFormat="1" ht="12.75">
      <c r="E136" s="473"/>
      <c r="F136" s="814"/>
    </row>
    <row r="137" spans="5:6" s="462" customFormat="1" ht="12.75">
      <c r="E137" s="473"/>
      <c r="F137" s="814"/>
    </row>
    <row r="138" spans="5:6" s="462" customFormat="1" ht="12.75">
      <c r="E138" s="473"/>
      <c r="F138" s="814"/>
    </row>
    <row r="139" spans="5:6" s="462" customFormat="1" ht="12.75">
      <c r="E139" s="473"/>
      <c r="F139" s="814"/>
    </row>
    <row r="140" spans="5:6" s="462" customFormat="1" ht="12.75">
      <c r="E140" s="473"/>
      <c r="F140" s="814"/>
    </row>
    <row r="141" spans="5:6" s="462" customFormat="1" ht="12.75">
      <c r="E141" s="473"/>
      <c r="F141" s="814"/>
    </row>
    <row r="142" spans="5:6" s="462" customFormat="1" ht="12.75">
      <c r="E142" s="473"/>
      <c r="F142" s="814"/>
    </row>
    <row r="143" spans="5:6" s="462" customFormat="1" ht="12.75">
      <c r="E143" s="473"/>
      <c r="F143" s="814"/>
    </row>
    <row r="144" spans="5:6" s="462" customFormat="1" ht="12.75">
      <c r="E144" s="473"/>
      <c r="F144" s="814"/>
    </row>
    <row r="145" spans="5:6" s="462" customFormat="1" ht="12.75">
      <c r="E145" s="473"/>
      <c r="F145" s="814"/>
    </row>
    <row r="146" spans="5:6" s="462" customFormat="1" ht="12.75">
      <c r="E146" s="473"/>
      <c r="F146" s="814"/>
    </row>
    <row r="147" spans="5:6" s="462" customFormat="1" ht="12.75">
      <c r="E147" s="473"/>
      <c r="F147" s="814"/>
    </row>
    <row r="148" spans="5:6" s="462" customFormat="1" ht="12.75">
      <c r="E148" s="473"/>
      <c r="F148" s="814"/>
    </row>
    <row r="149" spans="5:6" s="462" customFormat="1" ht="12.75">
      <c r="E149" s="473"/>
      <c r="F149" s="814"/>
    </row>
    <row r="150" spans="5:6" s="462" customFormat="1" ht="12.75">
      <c r="E150" s="473"/>
      <c r="F150" s="814"/>
    </row>
    <row r="151" spans="5:6" s="462" customFormat="1" ht="12.75">
      <c r="E151" s="473"/>
      <c r="F151" s="814"/>
    </row>
    <row r="152" spans="5:6" s="462" customFormat="1" ht="12.75">
      <c r="E152" s="473"/>
      <c r="F152" s="814"/>
    </row>
    <row r="153" spans="5:6" s="462" customFormat="1" ht="12.75">
      <c r="E153" s="473"/>
      <c r="F153" s="814"/>
    </row>
    <row r="154" spans="5:6" s="462" customFormat="1" ht="12.75">
      <c r="E154" s="473"/>
      <c r="F154" s="814"/>
    </row>
    <row r="155" spans="5:6" s="462" customFormat="1" ht="12.75">
      <c r="E155" s="473"/>
      <c r="F155" s="814"/>
    </row>
    <row r="156" spans="5:6" s="462" customFormat="1" ht="12.75">
      <c r="E156" s="473"/>
      <c r="F156" s="814"/>
    </row>
    <row r="157" spans="5:6" s="462" customFormat="1" ht="12.75">
      <c r="E157" s="473"/>
      <c r="F157" s="814"/>
    </row>
    <row r="158" spans="5:6" s="462" customFormat="1" ht="12.75">
      <c r="E158" s="473"/>
      <c r="F158" s="814"/>
    </row>
    <row r="159" spans="5:6" s="462" customFormat="1" ht="12.75">
      <c r="E159" s="473"/>
      <c r="F159" s="814"/>
    </row>
    <row r="160" spans="5:6" s="462" customFormat="1" ht="12.75">
      <c r="E160" s="473"/>
      <c r="F160" s="814"/>
    </row>
    <row r="161" spans="5:6" s="462" customFormat="1" ht="12.75">
      <c r="E161" s="473"/>
      <c r="F161" s="814"/>
    </row>
    <row r="162" spans="5:6" s="462" customFormat="1" ht="12.75">
      <c r="E162" s="473"/>
      <c r="F162" s="814"/>
    </row>
    <row r="163" spans="5:6" s="462" customFormat="1" ht="12.75">
      <c r="E163" s="473"/>
      <c r="F163" s="814"/>
    </row>
    <row r="164" spans="5:6" s="462" customFormat="1" ht="12.75">
      <c r="E164" s="473"/>
      <c r="F164" s="814"/>
    </row>
    <row r="165" spans="5:6" s="462" customFormat="1" ht="12.75">
      <c r="E165" s="473"/>
      <c r="F165" s="814"/>
    </row>
    <row r="166" spans="5:6" s="462" customFormat="1" ht="12.75">
      <c r="E166" s="473"/>
      <c r="F166" s="814"/>
    </row>
    <row r="167" spans="5:6" s="462" customFormat="1" ht="12.75">
      <c r="E167" s="473"/>
      <c r="F167" s="814"/>
    </row>
    <row r="168" spans="5:6" s="462" customFormat="1" ht="12.75">
      <c r="E168" s="473"/>
      <c r="F168" s="814"/>
    </row>
    <row r="169" spans="5:6" s="462" customFormat="1" ht="12.75">
      <c r="E169" s="473"/>
      <c r="F169" s="814"/>
    </row>
    <row r="170" spans="5:6" s="462" customFormat="1" ht="12.75">
      <c r="E170" s="473"/>
      <c r="F170" s="814"/>
    </row>
    <row r="171" spans="5:6" s="462" customFormat="1" ht="12.75">
      <c r="E171" s="473"/>
      <c r="F171" s="814"/>
    </row>
    <row r="172" spans="5:6" s="462" customFormat="1" ht="12.75">
      <c r="E172" s="473"/>
      <c r="F172" s="814"/>
    </row>
    <row r="173" spans="5:6" s="462" customFormat="1" ht="12.75">
      <c r="E173" s="473"/>
      <c r="F173" s="814"/>
    </row>
    <row r="174" spans="5:6" s="462" customFormat="1" ht="12.75">
      <c r="E174" s="473"/>
      <c r="F174" s="814"/>
    </row>
    <row r="175" spans="5:6" s="462" customFormat="1" ht="12.75">
      <c r="E175" s="473"/>
      <c r="F175" s="814"/>
    </row>
    <row r="176" spans="5:6" s="462" customFormat="1" ht="12.75">
      <c r="E176" s="473"/>
      <c r="F176" s="814"/>
    </row>
    <row r="177" spans="5:6" s="462" customFormat="1" ht="12.75">
      <c r="E177" s="473"/>
      <c r="F177" s="814"/>
    </row>
    <row r="178" spans="5:6" s="462" customFormat="1" ht="12.75">
      <c r="E178" s="473"/>
      <c r="F178" s="814"/>
    </row>
    <row r="179" spans="5:6" s="462" customFormat="1" ht="12.75">
      <c r="E179" s="473"/>
      <c r="F179" s="814"/>
    </row>
    <row r="180" spans="5:6" s="462" customFormat="1" ht="12.75">
      <c r="E180" s="473"/>
      <c r="F180" s="814"/>
    </row>
    <row r="181" spans="5:6" s="462" customFormat="1" ht="12.75">
      <c r="E181" s="473"/>
      <c r="F181" s="814"/>
    </row>
    <row r="182" spans="5:6" s="462" customFormat="1" ht="12.75">
      <c r="E182" s="473"/>
      <c r="F182" s="814"/>
    </row>
    <row r="183" spans="5:6" s="462" customFormat="1" ht="12.75">
      <c r="E183" s="473"/>
      <c r="F183" s="814"/>
    </row>
    <row r="184" spans="5:6" s="462" customFormat="1" ht="12.75">
      <c r="E184" s="473"/>
      <c r="F184" s="814"/>
    </row>
    <row r="185" spans="5:6" s="462" customFormat="1" ht="12.75">
      <c r="E185" s="473"/>
      <c r="F185" s="814"/>
    </row>
    <row r="186" spans="5:6" s="462" customFormat="1" ht="12.75">
      <c r="E186" s="473"/>
      <c r="F186" s="814"/>
    </row>
    <row r="187" spans="5:6" s="462" customFormat="1" ht="12.75">
      <c r="E187" s="473"/>
      <c r="F187" s="814"/>
    </row>
    <row r="188" spans="5:6" s="462" customFormat="1" ht="12.75">
      <c r="E188" s="473"/>
      <c r="F188" s="814"/>
    </row>
    <row r="189" spans="5:6" s="462" customFormat="1" ht="12.75">
      <c r="E189" s="473"/>
      <c r="F189" s="814"/>
    </row>
    <row r="190" spans="5:6" s="462" customFormat="1" ht="12.75">
      <c r="E190" s="473"/>
      <c r="F190" s="814"/>
    </row>
    <row r="191" spans="5:6" s="462" customFormat="1" ht="12.75">
      <c r="E191" s="473"/>
      <c r="F191" s="814"/>
    </row>
    <row r="192" spans="5:6" s="462" customFormat="1" ht="12.75">
      <c r="E192" s="473"/>
      <c r="F192" s="814"/>
    </row>
    <row r="193" spans="5:6" s="462" customFormat="1" ht="12.75">
      <c r="E193" s="473"/>
      <c r="F193" s="814"/>
    </row>
    <row r="194" spans="5:6" s="462" customFormat="1" ht="12.75">
      <c r="E194" s="473"/>
      <c r="F194" s="814"/>
    </row>
    <row r="195" spans="5:6" s="462" customFormat="1" ht="12.75">
      <c r="E195" s="473"/>
      <c r="F195" s="814"/>
    </row>
    <row r="196" spans="5:6" s="462" customFormat="1" ht="12.75">
      <c r="E196" s="473"/>
      <c r="F196" s="814"/>
    </row>
    <row r="197" spans="5:6" s="462" customFormat="1" ht="12.75">
      <c r="E197" s="473"/>
      <c r="F197" s="814"/>
    </row>
    <row r="198" spans="5:6" s="462" customFormat="1" ht="12.75">
      <c r="E198" s="473"/>
      <c r="F198" s="814"/>
    </row>
    <row r="199" spans="5:6" s="462" customFormat="1" ht="12.75">
      <c r="E199" s="473"/>
      <c r="F199" s="814"/>
    </row>
    <row r="200" spans="5:6" s="462" customFormat="1" ht="12.75">
      <c r="E200" s="473"/>
      <c r="F200" s="814"/>
    </row>
    <row r="201" spans="5:6" s="462" customFormat="1" ht="12.75">
      <c r="E201" s="473"/>
      <c r="F201" s="814"/>
    </row>
    <row r="202" spans="5:6" s="462" customFormat="1" ht="12.75">
      <c r="E202" s="473"/>
      <c r="F202" s="814"/>
    </row>
    <row r="203" spans="5:6" s="462" customFormat="1" ht="12.75">
      <c r="E203" s="473"/>
      <c r="F203" s="814"/>
    </row>
    <row r="204" spans="5:6" s="462" customFormat="1" ht="12.75">
      <c r="E204" s="473"/>
      <c r="F204" s="814"/>
    </row>
    <row r="205" spans="5:6" s="462" customFormat="1" ht="12.75">
      <c r="E205" s="473"/>
      <c r="F205" s="814"/>
    </row>
    <row r="206" spans="5:6" s="462" customFormat="1" ht="12.75">
      <c r="E206" s="473"/>
      <c r="F206" s="814"/>
    </row>
    <row r="207" spans="5:6" s="462" customFormat="1" ht="12.75">
      <c r="E207" s="473"/>
      <c r="F207" s="814"/>
    </row>
    <row r="208" spans="5:6" s="462" customFormat="1" ht="12.75">
      <c r="E208" s="473"/>
      <c r="F208" s="814"/>
    </row>
    <row r="209" spans="5:6" s="462" customFormat="1" ht="12.75">
      <c r="E209" s="473"/>
      <c r="F209" s="814"/>
    </row>
    <row r="210" spans="5:6" s="462" customFormat="1" ht="12.75">
      <c r="E210" s="473"/>
      <c r="F210" s="814"/>
    </row>
    <row r="211" spans="5:6" s="462" customFormat="1" ht="12.75">
      <c r="E211" s="473"/>
      <c r="F211" s="814"/>
    </row>
    <row r="212" spans="5:6" s="462" customFormat="1" ht="12.75">
      <c r="E212" s="473"/>
      <c r="F212" s="814"/>
    </row>
    <row r="213" spans="5:6" s="462" customFormat="1" ht="12.75">
      <c r="E213" s="473"/>
      <c r="F213" s="814"/>
    </row>
    <row r="214" spans="5:6" s="462" customFormat="1" ht="12.75">
      <c r="E214" s="473"/>
      <c r="F214" s="814"/>
    </row>
    <row r="215" spans="5:6" s="462" customFormat="1" ht="12.75">
      <c r="E215" s="473"/>
      <c r="F215" s="814"/>
    </row>
    <row r="216" spans="5:6" s="462" customFormat="1" ht="12.75">
      <c r="E216" s="473"/>
      <c r="F216" s="814"/>
    </row>
    <row r="217" spans="5:6" s="462" customFormat="1" ht="12.75">
      <c r="E217" s="473"/>
      <c r="F217" s="814"/>
    </row>
    <row r="218" spans="5:6" s="462" customFormat="1" ht="12.75">
      <c r="E218" s="473"/>
      <c r="F218" s="814"/>
    </row>
    <row r="219" spans="5:6" s="462" customFormat="1" ht="12.75">
      <c r="E219" s="473"/>
      <c r="F219" s="814"/>
    </row>
    <row r="220" spans="5:6" s="462" customFormat="1" ht="12.75">
      <c r="E220" s="473"/>
      <c r="F220" s="814"/>
    </row>
    <row r="221" spans="5:6" s="462" customFormat="1" ht="12.75">
      <c r="E221" s="473"/>
      <c r="F221" s="814"/>
    </row>
    <row r="222" spans="5:6" s="462" customFormat="1" ht="12.75">
      <c r="E222" s="473"/>
      <c r="F222" s="814"/>
    </row>
    <row r="223" spans="5:6" s="462" customFormat="1" ht="12.75">
      <c r="E223" s="473"/>
      <c r="F223" s="814"/>
    </row>
    <row r="224" spans="5:6" s="462" customFormat="1" ht="12.75">
      <c r="E224" s="473"/>
      <c r="F224" s="814"/>
    </row>
    <row r="225" spans="5:6" s="462" customFormat="1" ht="12.75">
      <c r="E225" s="473"/>
      <c r="F225" s="814"/>
    </row>
    <row r="226" spans="5:6" s="462" customFormat="1" ht="12.75">
      <c r="E226" s="473"/>
      <c r="F226" s="814"/>
    </row>
    <row r="227" spans="5:6" s="462" customFormat="1" ht="12.75">
      <c r="E227" s="473"/>
      <c r="F227" s="814"/>
    </row>
    <row r="228" spans="5:6" s="462" customFormat="1" ht="12.75">
      <c r="E228" s="473"/>
      <c r="F228" s="814"/>
    </row>
    <row r="229" spans="5:6" s="462" customFormat="1" ht="12.75">
      <c r="E229" s="473"/>
      <c r="F229" s="814"/>
    </row>
    <row r="230" spans="5:6" s="462" customFormat="1" ht="12.75">
      <c r="E230" s="473"/>
      <c r="F230" s="814"/>
    </row>
    <row r="231" spans="5:6" s="462" customFormat="1" ht="12.75">
      <c r="E231" s="473"/>
      <c r="F231" s="814"/>
    </row>
    <row r="232" spans="5:6" s="462" customFormat="1" ht="12.75">
      <c r="E232" s="473"/>
      <c r="F232" s="814"/>
    </row>
    <row r="233" spans="5:6" s="462" customFormat="1" ht="12.75">
      <c r="E233" s="473"/>
      <c r="F233" s="814"/>
    </row>
    <row r="234" spans="5:6" s="462" customFormat="1" ht="12.75">
      <c r="E234" s="473"/>
      <c r="F234" s="814"/>
    </row>
    <row r="235" spans="5:6" s="462" customFormat="1" ht="12.75">
      <c r="E235" s="473"/>
      <c r="F235" s="814"/>
    </row>
    <row r="236" spans="5:6" s="462" customFormat="1" ht="12.75">
      <c r="E236" s="473"/>
      <c r="F236" s="814"/>
    </row>
    <row r="237" spans="5:6" s="462" customFormat="1" ht="12.75">
      <c r="E237" s="473"/>
      <c r="F237" s="814"/>
    </row>
    <row r="238" spans="5:6" s="462" customFormat="1" ht="12.75">
      <c r="E238" s="473"/>
      <c r="F238" s="814"/>
    </row>
    <row r="239" spans="5:6" s="462" customFormat="1" ht="12.75">
      <c r="E239" s="473"/>
      <c r="F239" s="814"/>
    </row>
    <row r="240" spans="5:6" s="462" customFormat="1" ht="12.75">
      <c r="E240" s="473"/>
      <c r="F240" s="814"/>
    </row>
    <row r="241" spans="5:6" s="462" customFormat="1" ht="12.75">
      <c r="E241" s="473"/>
      <c r="F241" s="814"/>
    </row>
    <row r="242" spans="5:6" s="462" customFormat="1" ht="12.75">
      <c r="E242" s="473"/>
      <c r="F242" s="814"/>
    </row>
    <row r="243" spans="5:6" s="462" customFormat="1" ht="12.75">
      <c r="E243" s="473"/>
      <c r="F243" s="814"/>
    </row>
    <row r="244" spans="5:6" s="462" customFormat="1" ht="12.75">
      <c r="E244" s="473"/>
      <c r="F244" s="814"/>
    </row>
    <row r="245" spans="5:6" s="462" customFormat="1" ht="12.75">
      <c r="E245" s="473"/>
      <c r="F245" s="814"/>
    </row>
    <row r="246" spans="5:6" s="462" customFormat="1" ht="12.75">
      <c r="E246" s="473"/>
      <c r="F246" s="814"/>
    </row>
    <row r="247" spans="5:6" s="462" customFormat="1" ht="12.75">
      <c r="E247" s="473"/>
      <c r="F247" s="814"/>
    </row>
    <row r="248" spans="5:6" s="462" customFormat="1" ht="12.75">
      <c r="E248" s="473"/>
      <c r="F248" s="814"/>
    </row>
    <row r="249" spans="5:6" s="462" customFormat="1" ht="12.75">
      <c r="E249" s="473"/>
      <c r="F249" s="814"/>
    </row>
    <row r="250" spans="5:6" s="462" customFormat="1" ht="12.75">
      <c r="E250" s="473"/>
      <c r="F250" s="814"/>
    </row>
    <row r="251" spans="5:6" s="462" customFormat="1" ht="12.75">
      <c r="E251" s="473"/>
      <c r="F251" s="814"/>
    </row>
    <row r="252" spans="5:6" s="462" customFormat="1" ht="12.75">
      <c r="E252" s="473"/>
      <c r="F252" s="814"/>
    </row>
    <row r="253" spans="5:6" s="462" customFormat="1" ht="12.75">
      <c r="E253" s="473"/>
      <c r="F253" s="814"/>
    </row>
    <row r="254" spans="5:6" s="462" customFormat="1" ht="12.75">
      <c r="E254" s="473"/>
      <c r="F254" s="814"/>
    </row>
    <row r="255" spans="5:6" s="462" customFormat="1" ht="12.75">
      <c r="E255" s="473"/>
      <c r="F255" s="814"/>
    </row>
    <row r="256" spans="5:6" s="462" customFormat="1" ht="12.75">
      <c r="E256" s="473"/>
      <c r="F256" s="814"/>
    </row>
    <row r="257" spans="5:6" s="462" customFormat="1" ht="12.75">
      <c r="E257" s="473"/>
      <c r="F257" s="814"/>
    </row>
    <row r="258" spans="5:6" s="462" customFormat="1" ht="12.75">
      <c r="E258" s="473"/>
      <c r="F258" s="814"/>
    </row>
    <row r="259" spans="5:6" s="462" customFormat="1" ht="12.75">
      <c r="E259" s="473"/>
      <c r="F259" s="814"/>
    </row>
    <row r="260" spans="5:6" s="462" customFormat="1" ht="12.75">
      <c r="E260" s="473"/>
      <c r="F260" s="814"/>
    </row>
    <row r="261" spans="5:6" s="462" customFormat="1" ht="12.75">
      <c r="E261" s="473"/>
      <c r="F261" s="814"/>
    </row>
    <row r="262" spans="5:6" s="462" customFormat="1" ht="12.75">
      <c r="E262" s="473"/>
      <c r="F262" s="814"/>
    </row>
    <row r="263" spans="5:6" s="462" customFormat="1" ht="12.75">
      <c r="E263" s="473"/>
      <c r="F263" s="814"/>
    </row>
    <row r="264" spans="5:6" s="462" customFormat="1" ht="12.75">
      <c r="E264" s="473"/>
      <c r="F264" s="814"/>
    </row>
    <row r="265" spans="5:6" s="462" customFormat="1" ht="12.75">
      <c r="E265" s="473"/>
      <c r="F265" s="814"/>
    </row>
    <row r="266" spans="5:6" s="462" customFormat="1" ht="12.75">
      <c r="E266" s="473"/>
      <c r="F266" s="814"/>
    </row>
    <row r="267" spans="5:6" s="462" customFormat="1" ht="12.75">
      <c r="E267" s="473"/>
      <c r="F267" s="814"/>
    </row>
    <row r="268" spans="5:6" s="462" customFormat="1" ht="12.75">
      <c r="E268" s="473"/>
      <c r="F268" s="814"/>
    </row>
    <row r="269" spans="5:6" s="462" customFormat="1" ht="12.75">
      <c r="E269" s="473"/>
      <c r="F269" s="814"/>
    </row>
    <row r="270" spans="5:6" s="462" customFormat="1" ht="12.75">
      <c r="E270" s="473"/>
      <c r="F270" s="814"/>
    </row>
    <row r="271" spans="5:6" s="462" customFormat="1" ht="12.75">
      <c r="E271" s="473"/>
      <c r="F271" s="814"/>
    </row>
    <row r="272" spans="5:6" s="462" customFormat="1" ht="12.75">
      <c r="E272" s="473"/>
      <c r="F272" s="814"/>
    </row>
    <row r="273" spans="5:6" s="462" customFormat="1" ht="12.75">
      <c r="E273" s="473"/>
      <c r="F273" s="814"/>
    </row>
    <row r="274" spans="5:6" s="462" customFormat="1" ht="12.75">
      <c r="E274" s="473"/>
      <c r="F274" s="814"/>
    </row>
    <row r="275" spans="5:6" s="462" customFormat="1" ht="12.75">
      <c r="E275" s="473"/>
      <c r="F275" s="814"/>
    </row>
    <row r="276" spans="5:6" s="462" customFormat="1" ht="12.75">
      <c r="E276" s="473"/>
      <c r="F276" s="814"/>
    </row>
    <row r="277" spans="5:6" s="462" customFormat="1" ht="12.75">
      <c r="E277" s="473"/>
      <c r="F277" s="814"/>
    </row>
    <row r="278" spans="5:6" s="462" customFormat="1" ht="12.75">
      <c r="E278" s="473"/>
      <c r="F278" s="814"/>
    </row>
    <row r="279" spans="5:6" s="462" customFormat="1" ht="12.75">
      <c r="E279" s="473"/>
      <c r="F279" s="814"/>
    </row>
    <row r="280" spans="5:6" s="462" customFormat="1" ht="12.75">
      <c r="E280" s="473"/>
      <c r="F280" s="814"/>
    </row>
    <row r="281" spans="5:6" s="462" customFormat="1" ht="12.75">
      <c r="E281" s="473"/>
      <c r="F281" s="814"/>
    </row>
    <row r="282" spans="5:6" s="462" customFormat="1" ht="12.75">
      <c r="E282" s="473"/>
      <c r="F282" s="814"/>
    </row>
    <row r="283" spans="5:6" s="462" customFormat="1" ht="12.75">
      <c r="E283" s="473"/>
      <c r="F283" s="814"/>
    </row>
    <row r="284" spans="5:6" s="462" customFormat="1" ht="12.75">
      <c r="E284" s="473"/>
      <c r="F284" s="814"/>
    </row>
    <row r="285" spans="5:6" s="462" customFormat="1" ht="12.75">
      <c r="E285" s="473"/>
      <c r="F285" s="814"/>
    </row>
    <row r="286" spans="5:6" s="462" customFormat="1" ht="12.75">
      <c r="E286" s="473"/>
      <c r="F286" s="814"/>
    </row>
    <row r="287" spans="5:6" s="462" customFormat="1" ht="12.75">
      <c r="E287" s="473"/>
      <c r="F287" s="814"/>
    </row>
    <row r="288" spans="5:6" s="462" customFormat="1" ht="12.75">
      <c r="E288" s="473"/>
      <c r="F288" s="814"/>
    </row>
    <row r="289" spans="5:6" s="462" customFormat="1" ht="12.75">
      <c r="E289" s="473"/>
      <c r="F289" s="814"/>
    </row>
    <row r="290" spans="5:6" s="462" customFormat="1" ht="12.75">
      <c r="E290" s="473"/>
      <c r="F290" s="814"/>
    </row>
    <row r="291" spans="5:6" s="462" customFormat="1" ht="12.75">
      <c r="E291" s="473"/>
      <c r="F291" s="814"/>
    </row>
    <row r="292" spans="5:6" s="462" customFormat="1" ht="12.75">
      <c r="E292" s="473"/>
      <c r="F292" s="814"/>
    </row>
    <row r="293" spans="5:6" s="462" customFormat="1" ht="12.75">
      <c r="E293" s="473"/>
      <c r="F293" s="814"/>
    </row>
    <row r="294" spans="5:6" s="462" customFormat="1" ht="12.75">
      <c r="E294" s="473"/>
      <c r="F294" s="814"/>
    </row>
    <row r="295" spans="5:6" s="462" customFormat="1" ht="12.75">
      <c r="E295" s="473"/>
      <c r="F295" s="814"/>
    </row>
    <row r="296" spans="5:6" s="462" customFormat="1" ht="12.75">
      <c r="E296" s="473"/>
      <c r="F296" s="814"/>
    </row>
    <row r="297" spans="5:6" s="462" customFormat="1" ht="12.75">
      <c r="E297" s="473"/>
      <c r="F297" s="814"/>
    </row>
    <row r="298" spans="5:6" s="462" customFormat="1" ht="12.75">
      <c r="E298" s="473"/>
      <c r="F298" s="814"/>
    </row>
    <row r="299" spans="5:6" s="462" customFormat="1" ht="12.75">
      <c r="E299" s="473"/>
      <c r="F299" s="814"/>
    </row>
    <row r="300" spans="5:6" s="462" customFormat="1" ht="12.75">
      <c r="E300" s="473"/>
      <c r="F300" s="814"/>
    </row>
    <row r="301" spans="5:6" s="462" customFormat="1" ht="12.75">
      <c r="E301" s="473"/>
      <c r="F301" s="814"/>
    </row>
    <row r="302" spans="5:6" s="462" customFormat="1" ht="12.75">
      <c r="E302" s="473"/>
      <c r="F302" s="814"/>
    </row>
    <row r="303" spans="5:6" s="462" customFormat="1" ht="12.75">
      <c r="E303" s="473"/>
      <c r="F303" s="814"/>
    </row>
    <row r="304" spans="5:6" s="462" customFormat="1" ht="12.75">
      <c r="E304" s="473"/>
      <c r="F304" s="814"/>
    </row>
    <row r="305" spans="5:6" s="462" customFormat="1" ht="12.75">
      <c r="E305" s="473"/>
      <c r="F305" s="814"/>
    </row>
    <row r="306" spans="5:6" s="462" customFormat="1" ht="12.75">
      <c r="E306" s="473"/>
      <c r="F306" s="814"/>
    </row>
    <row r="307" spans="5:6" s="462" customFormat="1" ht="12.75">
      <c r="E307" s="473"/>
      <c r="F307" s="814"/>
    </row>
    <row r="308" spans="5:6" s="462" customFormat="1" ht="12.75">
      <c r="E308" s="473"/>
      <c r="F308" s="814"/>
    </row>
    <row r="309" spans="5:6" s="462" customFormat="1" ht="12.75">
      <c r="E309" s="473"/>
      <c r="F309" s="814"/>
    </row>
    <row r="310" spans="5:6" s="462" customFormat="1" ht="12.75">
      <c r="E310" s="473"/>
      <c r="F310" s="814"/>
    </row>
    <row r="311" spans="5:6" s="462" customFormat="1" ht="12.75">
      <c r="E311" s="473"/>
      <c r="F311" s="814"/>
    </row>
    <row r="312" spans="5:6" s="462" customFormat="1" ht="12.75">
      <c r="E312" s="473"/>
      <c r="F312" s="814"/>
    </row>
    <row r="313" spans="5:6" s="462" customFormat="1" ht="12.75">
      <c r="E313" s="473"/>
      <c r="F313" s="814"/>
    </row>
    <row r="314" spans="5:6" s="462" customFormat="1" ht="12.75">
      <c r="E314" s="473"/>
      <c r="F314" s="814"/>
    </row>
    <row r="315" spans="5:6" s="462" customFormat="1" ht="12.75">
      <c r="E315" s="473"/>
      <c r="F315" s="814"/>
    </row>
    <row r="316" spans="5:6" s="462" customFormat="1" ht="12.75">
      <c r="E316" s="473"/>
      <c r="F316" s="814"/>
    </row>
    <row r="317" spans="5:6" s="462" customFormat="1" ht="12.75">
      <c r="E317" s="473"/>
      <c r="F317" s="814"/>
    </row>
    <row r="318" spans="5:6" s="462" customFormat="1" ht="12.75">
      <c r="E318" s="473"/>
      <c r="F318" s="814"/>
    </row>
    <row r="319" spans="5:6" s="462" customFormat="1" ht="12.75">
      <c r="E319" s="473"/>
      <c r="F319" s="814"/>
    </row>
    <row r="320" spans="5:6" s="462" customFormat="1" ht="12.75">
      <c r="E320" s="473"/>
      <c r="F320" s="814"/>
    </row>
    <row r="321" spans="5:6" s="462" customFormat="1" ht="12.75">
      <c r="E321" s="473"/>
      <c r="F321" s="814"/>
    </row>
    <row r="322" spans="5:6" s="462" customFormat="1" ht="12.75">
      <c r="E322" s="473"/>
      <c r="F322" s="814"/>
    </row>
    <row r="323" spans="5:6" s="462" customFormat="1" ht="12.75">
      <c r="E323" s="473"/>
      <c r="F323" s="814"/>
    </row>
    <row r="324" spans="5:6" s="462" customFormat="1" ht="12.75">
      <c r="E324" s="473"/>
      <c r="F324" s="814"/>
    </row>
    <row r="325" spans="5:6" s="462" customFormat="1" ht="12.75">
      <c r="E325" s="473"/>
      <c r="F325" s="814"/>
    </row>
    <row r="326" spans="5:6" s="462" customFormat="1" ht="12.75">
      <c r="E326" s="473"/>
      <c r="F326" s="814"/>
    </row>
    <row r="327" spans="5:6" s="462" customFormat="1" ht="12.75">
      <c r="E327" s="473"/>
      <c r="F327" s="814"/>
    </row>
    <row r="328" spans="5:6" s="462" customFormat="1" ht="12.75">
      <c r="E328" s="473"/>
      <c r="F328" s="814"/>
    </row>
    <row r="329" spans="5:6" s="462" customFormat="1" ht="12.75">
      <c r="E329" s="473"/>
      <c r="F329" s="814"/>
    </row>
    <row r="330" spans="5:6" s="462" customFormat="1" ht="12.75">
      <c r="E330" s="473"/>
      <c r="F330" s="814"/>
    </row>
    <row r="331" spans="5:6" s="462" customFormat="1" ht="12.75">
      <c r="E331" s="473"/>
      <c r="F331" s="814"/>
    </row>
    <row r="332" spans="5:6" s="462" customFormat="1" ht="12.75">
      <c r="E332" s="473"/>
      <c r="F332" s="814"/>
    </row>
    <row r="333" spans="5:6" s="462" customFormat="1" ht="12.75">
      <c r="E333" s="473"/>
      <c r="F333" s="814"/>
    </row>
    <row r="334" spans="5:6" s="462" customFormat="1" ht="12.75">
      <c r="E334" s="473"/>
      <c r="F334" s="814"/>
    </row>
    <row r="335" spans="5:6" s="462" customFormat="1" ht="12.75">
      <c r="E335" s="473"/>
      <c r="F335" s="814"/>
    </row>
    <row r="336" spans="5:6" s="462" customFormat="1" ht="12.75">
      <c r="E336" s="473"/>
      <c r="F336" s="814"/>
    </row>
    <row r="337" spans="5:6" s="462" customFormat="1" ht="12.75">
      <c r="E337" s="473"/>
      <c r="F337" s="814"/>
    </row>
    <row r="338" spans="5:6" s="462" customFormat="1" ht="12.75">
      <c r="E338" s="473"/>
      <c r="F338" s="814"/>
    </row>
    <row r="339" spans="5:6" s="462" customFormat="1" ht="12.75">
      <c r="E339" s="473"/>
      <c r="F339" s="814"/>
    </row>
    <row r="340" spans="5:6" s="462" customFormat="1" ht="12.75">
      <c r="E340" s="473"/>
      <c r="F340" s="814"/>
    </row>
    <row r="341" spans="5:6" s="462" customFormat="1" ht="12.75">
      <c r="E341" s="473"/>
      <c r="F341" s="814"/>
    </row>
    <row r="342" spans="5:6" s="462" customFormat="1" ht="12.75">
      <c r="E342" s="473"/>
      <c r="F342" s="814"/>
    </row>
    <row r="343" spans="5:6" s="462" customFormat="1" ht="12.75">
      <c r="E343" s="473"/>
      <c r="F343" s="814"/>
    </row>
    <row r="344" spans="5:6" s="462" customFormat="1" ht="12.75">
      <c r="E344" s="473"/>
      <c r="F344" s="814"/>
    </row>
    <row r="345" spans="5:6" s="462" customFormat="1" ht="12.75">
      <c r="E345" s="473"/>
      <c r="F345" s="814"/>
    </row>
    <row r="346" spans="5:6" s="462" customFormat="1" ht="12.75">
      <c r="E346" s="473"/>
      <c r="F346" s="814"/>
    </row>
    <row r="347" spans="5:6" s="462" customFormat="1" ht="12.75">
      <c r="E347" s="473"/>
      <c r="F347" s="814"/>
    </row>
    <row r="348" spans="5:6" s="462" customFormat="1" ht="12.75">
      <c r="E348" s="473"/>
      <c r="F348" s="814"/>
    </row>
    <row r="349" spans="5:6" s="462" customFormat="1" ht="12.75">
      <c r="E349" s="473"/>
      <c r="F349" s="814"/>
    </row>
    <row r="350" spans="5:6" s="462" customFormat="1" ht="12.75">
      <c r="E350" s="473"/>
      <c r="F350" s="814"/>
    </row>
    <row r="351" spans="5:6" s="462" customFormat="1" ht="12.75">
      <c r="E351" s="473"/>
      <c r="F351" s="814"/>
    </row>
    <row r="352" spans="5:6" s="462" customFormat="1" ht="12.75">
      <c r="E352" s="473"/>
      <c r="F352" s="814"/>
    </row>
    <row r="353" spans="5:6" s="462" customFormat="1" ht="12.75">
      <c r="E353" s="473"/>
      <c r="F353" s="814"/>
    </row>
    <row r="354" spans="5:6" s="462" customFormat="1" ht="12.75">
      <c r="E354" s="473"/>
      <c r="F354" s="814"/>
    </row>
    <row r="355" spans="5:6" s="462" customFormat="1" ht="12.75">
      <c r="E355" s="473"/>
      <c r="F355" s="814"/>
    </row>
    <row r="356" spans="5:6" s="462" customFormat="1" ht="12.75">
      <c r="E356" s="473"/>
      <c r="F356" s="814"/>
    </row>
    <row r="357" spans="5:6" s="462" customFormat="1" ht="12.75">
      <c r="E357" s="473"/>
      <c r="F357" s="814"/>
    </row>
    <row r="358" spans="5:6" s="462" customFormat="1" ht="12.75">
      <c r="E358" s="473"/>
      <c r="F358" s="814"/>
    </row>
    <row r="359" spans="5:6" s="462" customFormat="1" ht="12.75">
      <c r="E359" s="473"/>
      <c r="F359" s="814"/>
    </row>
    <row r="360" spans="5:6" s="462" customFormat="1" ht="12.75">
      <c r="E360" s="473"/>
      <c r="F360" s="814"/>
    </row>
    <row r="361" spans="5:6" s="462" customFormat="1" ht="12.75">
      <c r="E361" s="473"/>
      <c r="F361" s="814"/>
    </row>
    <row r="362" spans="5:6" s="462" customFormat="1" ht="12.75">
      <c r="E362" s="473"/>
      <c r="F362" s="814"/>
    </row>
    <row r="363" spans="5:6" s="462" customFormat="1" ht="12.75">
      <c r="E363" s="473"/>
      <c r="F363" s="814"/>
    </row>
    <row r="364" spans="5:6" s="462" customFormat="1" ht="12.75">
      <c r="E364" s="473"/>
      <c r="F364" s="814"/>
    </row>
    <row r="365" spans="5:6" s="462" customFormat="1" ht="12.75">
      <c r="E365" s="473"/>
      <c r="F365" s="814"/>
    </row>
    <row r="366" spans="5:6" s="462" customFormat="1" ht="12.75">
      <c r="E366" s="473"/>
      <c r="F366" s="814"/>
    </row>
    <row r="367" spans="5:6" s="462" customFormat="1" ht="12.75">
      <c r="E367" s="473"/>
      <c r="F367" s="814"/>
    </row>
    <row r="368" spans="5:6" s="462" customFormat="1" ht="12.75">
      <c r="E368" s="473"/>
      <c r="F368" s="814"/>
    </row>
    <row r="369" spans="5:6" s="462" customFormat="1" ht="12.75">
      <c r="E369" s="473"/>
      <c r="F369" s="814"/>
    </row>
    <row r="370" spans="5:6" s="462" customFormat="1" ht="12.75">
      <c r="E370" s="473"/>
      <c r="F370" s="814"/>
    </row>
    <row r="371" spans="5:6" s="462" customFormat="1" ht="12.75">
      <c r="E371" s="473"/>
      <c r="F371" s="814"/>
    </row>
    <row r="372" spans="5:6" s="462" customFormat="1" ht="12.75">
      <c r="E372" s="473"/>
      <c r="F372" s="814"/>
    </row>
    <row r="373" spans="5:6" s="462" customFormat="1" ht="12.75">
      <c r="E373" s="473"/>
      <c r="F373" s="814"/>
    </row>
    <row r="374" spans="5:6" s="462" customFormat="1" ht="12.75">
      <c r="E374" s="473"/>
      <c r="F374" s="814"/>
    </row>
    <row r="375" spans="5:6" s="462" customFormat="1" ht="12.75">
      <c r="E375" s="473"/>
      <c r="F375" s="814"/>
    </row>
    <row r="376" spans="5:6" s="462" customFormat="1" ht="12.75">
      <c r="E376" s="473"/>
      <c r="F376" s="814"/>
    </row>
    <row r="377" spans="5:6" s="462" customFormat="1" ht="12.75">
      <c r="E377" s="473"/>
      <c r="F377" s="814"/>
    </row>
    <row r="378" spans="5:6" s="462" customFormat="1" ht="12.75">
      <c r="E378" s="473"/>
      <c r="F378" s="814"/>
    </row>
    <row r="379" spans="5:6" s="462" customFormat="1" ht="12.75">
      <c r="E379" s="473"/>
      <c r="F379" s="814"/>
    </row>
    <row r="380" spans="5:6" s="462" customFormat="1" ht="12.75">
      <c r="E380" s="473"/>
      <c r="F380" s="814"/>
    </row>
    <row r="381" spans="5:6" s="462" customFormat="1" ht="12.75">
      <c r="E381" s="473"/>
      <c r="F381" s="814"/>
    </row>
    <row r="382" spans="5:6" s="462" customFormat="1" ht="12.75">
      <c r="E382" s="473"/>
      <c r="F382" s="814"/>
    </row>
    <row r="383" spans="5:6" s="462" customFormat="1" ht="12.75">
      <c r="E383" s="473"/>
      <c r="F383" s="814"/>
    </row>
    <row r="384" spans="5:6" s="462" customFormat="1" ht="12.75">
      <c r="E384" s="473"/>
      <c r="F384" s="814"/>
    </row>
    <row r="385" spans="5:6" s="462" customFormat="1" ht="12.75">
      <c r="E385" s="473"/>
      <c r="F385" s="814"/>
    </row>
    <row r="386" spans="5:6" s="462" customFormat="1" ht="12.75">
      <c r="E386" s="473"/>
      <c r="F386" s="814"/>
    </row>
    <row r="387" spans="5:6" s="462" customFormat="1" ht="12.75">
      <c r="E387" s="473"/>
      <c r="F387" s="814"/>
    </row>
    <row r="388" spans="5:6" s="462" customFormat="1" ht="12.75">
      <c r="E388" s="473"/>
      <c r="F388" s="814"/>
    </row>
    <row r="389" spans="5:6" s="462" customFormat="1" ht="12.75">
      <c r="E389" s="473"/>
      <c r="F389" s="814"/>
    </row>
    <row r="390" spans="5:6" s="462" customFormat="1" ht="12.75">
      <c r="E390" s="473"/>
      <c r="F390" s="814"/>
    </row>
    <row r="391" spans="5:6" s="462" customFormat="1" ht="12.75">
      <c r="E391" s="473"/>
      <c r="F391" s="814"/>
    </row>
    <row r="392" spans="5:6" s="462" customFormat="1" ht="12.75">
      <c r="E392" s="473"/>
      <c r="F392" s="814"/>
    </row>
    <row r="393" spans="5:6" s="462" customFormat="1" ht="12.75">
      <c r="E393" s="473"/>
      <c r="F393" s="814"/>
    </row>
    <row r="394" spans="5:6" s="462" customFormat="1" ht="12.75">
      <c r="E394" s="473"/>
      <c r="F394" s="814"/>
    </row>
    <row r="395" spans="5:6" s="462" customFormat="1" ht="12.75">
      <c r="E395" s="473"/>
      <c r="F395" s="814"/>
    </row>
    <row r="396" spans="5:6" s="462" customFormat="1" ht="12.75">
      <c r="E396" s="473"/>
      <c r="F396" s="814"/>
    </row>
    <row r="397" spans="5:6" s="462" customFormat="1" ht="12.75">
      <c r="E397" s="473"/>
      <c r="F397" s="814"/>
    </row>
    <row r="398" spans="5:6" s="462" customFormat="1" ht="12.75">
      <c r="E398" s="473"/>
      <c r="F398" s="814"/>
    </row>
    <row r="399" spans="5:6" s="462" customFormat="1" ht="12.75">
      <c r="E399" s="473"/>
      <c r="F399" s="814"/>
    </row>
    <row r="400" spans="5:6" s="462" customFormat="1" ht="12.75">
      <c r="E400" s="473"/>
      <c r="F400" s="814"/>
    </row>
    <row r="401" spans="5:6" s="462" customFormat="1" ht="12.75">
      <c r="E401" s="473"/>
      <c r="F401" s="814"/>
    </row>
    <row r="402" spans="5:6" s="462" customFormat="1" ht="12.75">
      <c r="E402" s="473"/>
      <c r="F402" s="814"/>
    </row>
    <row r="403" spans="5:6" s="462" customFormat="1" ht="12.75">
      <c r="E403" s="473"/>
      <c r="F403" s="814"/>
    </row>
    <row r="404" spans="5:6" s="462" customFormat="1" ht="12.75">
      <c r="E404" s="473"/>
      <c r="F404" s="814"/>
    </row>
    <row r="405" spans="5:6" s="462" customFormat="1" ht="12.75">
      <c r="E405" s="473"/>
      <c r="F405" s="814"/>
    </row>
    <row r="406" spans="5:6" s="462" customFormat="1" ht="12.75">
      <c r="E406" s="473"/>
      <c r="F406" s="814"/>
    </row>
    <row r="407" spans="5:6" s="462" customFormat="1" ht="12.75">
      <c r="E407" s="473"/>
      <c r="F407" s="814"/>
    </row>
    <row r="408" spans="5:6" s="462" customFormat="1" ht="12.75">
      <c r="E408" s="473"/>
      <c r="F408" s="814"/>
    </row>
    <row r="409" spans="5:6" s="462" customFormat="1" ht="12.75">
      <c r="E409" s="473"/>
      <c r="F409" s="814"/>
    </row>
    <row r="410" spans="5:6" s="462" customFormat="1" ht="12.75">
      <c r="E410" s="473"/>
      <c r="F410" s="814"/>
    </row>
    <row r="411" spans="5:6" s="462" customFormat="1" ht="12.75">
      <c r="E411" s="473"/>
      <c r="F411" s="814"/>
    </row>
    <row r="412" spans="5:6" s="462" customFormat="1" ht="12.75">
      <c r="E412" s="473"/>
      <c r="F412" s="814"/>
    </row>
    <row r="413" spans="5:6" s="462" customFormat="1" ht="12.75">
      <c r="E413" s="473"/>
      <c r="F413" s="814"/>
    </row>
    <row r="414" spans="5:6" s="462" customFormat="1" ht="12.75">
      <c r="E414" s="473"/>
      <c r="F414" s="814"/>
    </row>
    <row r="415" spans="5:6" s="462" customFormat="1" ht="12.75">
      <c r="E415" s="473"/>
      <c r="F415" s="814"/>
    </row>
    <row r="416" spans="5:6" s="462" customFormat="1" ht="12.75">
      <c r="E416" s="473"/>
      <c r="F416" s="814"/>
    </row>
    <row r="417" spans="5:6" s="462" customFormat="1" ht="12.75">
      <c r="E417" s="473"/>
      <c r="F417" s="814"/>
    </row>
    <row r="418" spans="5:6" s="462" customFormat="1" ht="12.75">
      <c r="E418" s="473"/>
      <c r="F418" s="814"/>
    </row>
    <row r="419" spans="5:6" s="462" customFormat="1" ht="12.75">
      <c r="E419" s="473"/>
      <c r="F419" s="814"/>
    </row>
    <row r="420" spans="5:6" s="462" customFormat="1" ht="12.75">
      <c r="E420" s="473"/>
      <c r="F420" s="814"/>
    </row>
    <row r="421" spans="5:6" s="462" customFormat="1" ht="12.75">
      <c r="E421" s="473"/>
      <c r="F421" s="814"/>
    </row>
    <row r="422" spans="5:6" s="462" customFormat="1" ht="12.75">
      <c r="E422" s="473"/>
      <c r="F422" s="814"/>
    </row>
    <row r="423" spans="5:6" s="462" customFormat="1" ht="12.75">
      <c r="E423" s="473"/>
      <c r="F423" s="814"/>
    </row>
    <row r="424" spans="5:6" s="462" customFormat="1" ht="12.75">
      <c r="E424" s="473"/>
      <c r="F424" s="814"/>
    </row>
    <row r="425" spans="5:6" s="462" customFormat="1" ht="12.75">
      <c r="E425" s="473"/>
      <c r="F425" s="814"/>
    </row>
    <row r="426" spans="5:6" s="462" customFormat="1" ht="12.75">
      <c r="E426" s="473"/>
      <c r="F426" s="814"/>
    </row>
    <row r="427" spans="5:6" s="462" customFormat="1" ht="12.75">
      <c r="E427" s="473"/>
      <c r="F427" s="814"/>
    </row>
    <row r="428" spans="5:6" s="462" customFormat="1" ht="12.75">
      <c r="E428" s="473"/>
      <c r="F428" s="814"/>
    </row>
    <row r="429" spans="5:6" s="462" customFormat="1" ht="12.75">
      <c r="E429" s="473"/>
      <c r="F429" s="814"/>
    </row>
    <row r="430" spans="5:6" s="462" customFormat="1" ht="12.75">
      <c r="E430" s="473"/>
      <c r="F430" s="814"/>
    </row>
    <row r="431" spans="5:6" s="462" customFormat="1" ht="12.75">
      <c r="E431" s="473"/>
      <c r="F431" s="814"/>
    </row>
    <row r="432" spans="5:6" s="462" customFormat="1" ht="12.75">
      <c r="E432" s="473"/>
      <c r="F432" s="814"/>
    </row>
    <row r="433" spans="5:6" s="462" customFormat="1" ht="12.75">
      <c r="E433" s="473"/>
      <c r="F433" s="814"/>
    </row>
    <row r="434" spans="5:6" s="462" customFormat="1" ht="12.75">
      <c r="E434" s="473"/>
      <c r="F434" s="814"/>
    </row>
    <row r="435" spans="5:6" s="462" customFormat="1" ht="12.75">
      <c r="E435" s="473"/>
      <c r="F435" s="814"/>
    </row>
    <row r="436" spans="5:6" s="462" customFormat="1" ht="12.75">
      <c r="E436" s="473"/>
      <c r="F436" s="814"/>
    </row>
    <row r="437" spans="5:6" s="462" customFormat="1" ht="12.75">
      <c r="E437" s="473"/>
      <c r="F437" s="814"/>
    </row>
    <row r="438" spans="5:6" s="462" customFormat="1" ht="12.75">
      <c r="E438" s="473"/>
      <c r="F438" s="814"/>
    </row>
    <row r="439" spans="5:6" s="462" customFormat="1" ht="12.75">
      <c r="E439" s="473"/>
      <c r="F439" s="814"/>
    </row>
    <row r="440" spans="5:6" s="462" customFormat="1" ht="12.75">
      <c r="E440" s="473"/>
      <c r="F440" s="814"/>
    </row>
    <row r="441" spans="5:6" s="462" customFormat="1" ht="12.75">
      <c r="E441" s="473"/>
      <c r="F441" s="814"/>
    </row>
    <row r="442" spans="5:6" s="462" customFormat="1" ht="12.75">
      <c r="E442" s="473"/>
      <c r="F442" s="814"/>
    </row>
    <row r="443" spans="5:6" s="462" customFormat="1" ht="12.75">
      <c r="E443" s="473"/>
      <c r="F443" s="814"/>
    </row>
    <row r="444" spans="5:6" s="462" customFormat="1" ht="12.75">
      <c r="E444" s="473"/>
      <c r="F444" s="814"/>
    </row>
    <row r="445" spans="5:6" s="462" customFormat="1" ht="12.75">
      <c r="E445" s="473"/>
      <c r="F445" s="814"/>
    </row>
    <row r="446" spans="5:6" s="462" customFormat="1" ht="12.75">
      <c r="E446" s="473"/>
      <c r="F446" s="814"/>
    </row>
    <row r="447" spans="5:6" s="462" customFormat="1" ht="12.75">
      <c r="E447" s="473"/>
      <c r="F447" s="814"/>
    </row>
    <row r="448" spans="5:6" s="462" customFormat="1" ht="12.75">
      <c r="E448" s="473"/>
      <c r="F448" s="814"/>
    </row>
    <row r="449" spans="5:6" s="462" customFormat="1" ht="12.75">
      <c r="E449" s="473"/>
      <c r="F449" s="814"/>
    </row>
    <row r="450" spans="5:6" s="462" customFormat="1" ht="12.75">
      <c r="E450" s="473"/>
      <c r="F450" s="814"/>
    </row>
    <row r="451" spans="5:6" s="462" customFormat="1" ht="12.75">
      <c r="E451" s="473"/>
      <c r="F451" s="814"/>
    </row>
    <row r="452" spans="5:6" s="462" customFormat="1" ht="12.75">
      <c r="E452" s="473"/>
      <c r="F452" s="814"/>
    </row>
    <row r="453" spans="5:6" s="462" customFormat="1" ht="12.75">
      <c r="E453" s="473"/>
      <c r="F453" s="814"/>
    </row>
    <row r="454" spans="5:6" s="462" customFormat="1" ht="12.75">
      <c r="E454" s="473"/>
      <c r="F454" s="814"/>
    </row>
    <row r="455" spans="5:6" s="462" customFormat="1" ht="12.75">
      <c r="E455" s="473"/>
      <c r="F455" s="814"/>
    </row>
    <row r="456" spans="5:6" s="462" customFormat="1" ht="12.75">
      <c r="E456" s="473"/>
      <c r="F456" s="814"/>
    </row>
    <row r="457" spans="5:6" s="462" customFormat="1" ht="12.75">
      <c r="E457" s="473"/>
      <c r="F457" s="814"/>
    </row>
    <row r="458" spans="5:6" s="462" customFormat="1" ht="12.75">
      <c r="E458" s="473"/>
      <c r="F458" s="814"/>
    </row>
    <row r="459" spans="5:6" s="462" customFormat="1" ht="12.75">
      <c r="E459" s="473"/>
      <c r="F459" s="814"/>
    </row>
    <row r="460" spans="5:6" s="462" customFormat="1" ht="12.75">
      <c r="E460" s="473"/>
      <c r="F460" s="814"/>
    </row>
    <row r="461" spans="5:6" s="462" customFormat="1" ht="12.75">
      <c r="E461" s="473"/>
      <c r="F461" s="814"/>
    </row>
    <row r="462" spans="5:6" s="462" customFormat="1" ht="12.75">
      <c r="E462" s="473"/>
      <c r="F462" s="814"/>
    </row>
    <row r="463" spans="5:6" s="462" customFormat="1" ht="12.75">
      <c r="E463" s="473"/>
      <c r="F463" s="814"/>
    </row>
    <row r="464" spans="5:6" s="462" customFormat="1" ht="12.75">
      <c r="E464" s="473"/>
      <c r="F464" s="814"/>
    </row>
    <row r="465" spans="5:6" s="462" customFormat="1" ht="12.75">
      <c r="E465" s="473"/>
      <c r="F465" s="814"/>
    </row>
    <row r="466" spans="5:6" s="462" customFormat="1" ht="12.75">
      <c r="E466" s="473"/>
      <c r="F466" s="814"/>
    </row>
    <row r="467" spans="5:6" s="462" customFormat="1" ht="12.75">
      <c r="E467" s="473"/>
      <c r="F467" s="814"/>
    </row>
    <row r="468" spans="5:6" s="462" customFormat="1" ht="12.75">
      <c r="E468" s="473"/>
      <c r="F468" s="814"/>
    </row>
    <row r="469" spans="5:6" s="462" customFormat="1" ht="12.75">
      <c r="E469" s="473"/>
      <c r="F469" s="814"/>
    </row>
    <row r="470" spans="5:6" s="462" customFormat="1" ht="12.75">
      <c r="E470" s="473"/>
      <c r="F470" s="814"/>
    </row>
    <row r="471" spans="5:6" s="462" customFormat="1" ht="12.75">
      <c r="E471" s="473"/>
      <c r="F471" s="814"/>
    </row>
    <row r="472" spans="5:6" s="462" customFormat="1" ht="12.75">
      <c r="E472" s="473"/>
      <c r="F472" s="814"/>
    </row>
    <row r="473" spans="5:6" s="462" customFormat="1" ht="12.75">
      <c r="E473" s="473"/>
      <c r="F473" s="814"/>
    </row>
    <row r="474" spans="5:6" s="462" customFormat="1" ht="12.75">
      <c r="E474" s="473"/>
      <c r="F474" s="814"/>
    </row>
    <row r="475" spans="5:6" s="462" customFormat="1" ht="12.75">
      <c r="E475" s="473"/>
      <c r="F475" s="814"/>
    </row>
    <row r="476" spans="5:6" s="462" customFormat="1" ht="12.75">
      <c r="E476" s="473"/>
      <c r="F476" s="814"/>
    </row>
    <row r="477" spans="5:6" s="462" customFormat="1" ht="12.75">
      <c r="E477" s="473"/>
      <c r="F477" s="814"/>
    </row>
    <row r="478" spans="5:6" s="462" customFormat="1" ht="12.75">
      <c r="E478" s="473"/>
      <c r="F478" s="814"/>
    </row>
    <row r="479" spans="5:6" s="462" customFormat="1" ht="12.75">
      <c r="E479" s="473"/>
      <c r="F479" s="814"/>
    </row>
    <row r="480" spans="5:6" s="462" customFormat="1" ht="12.75">
      <c r="E480" s="473"/>
      <c r="F480" s="814"/>
    </row>
    <row r="481" spans="5:6" s="462" customFormat="1" ht="12.75">
      <c r="E481" s="473"/>
      <c r="F481" s="814"/>
    </row>
    <row r="482" spans="5:6" s="462" customFormat="1" ht="12.75">
      <c r="E482" s="473"/>
      <c r="F482" s="814"/>
    </row>
    <row r="483" spans="5:6" s="462" customFormat="1" ht="12.75">
      <c r="E483" s="473"/>
      <c r="F483" s="814"/>
    </row>
    <row r="484" spans="5:6" s="462" customFormat="1" ht="12.75">
      <c r="E484" s="473"/>
      <c r="F484" s="814"/>
    </row>
    <row r="485" spans="5:6" s="462" customFormat="1" ht="12.75">
      <c r="E485" s="473"/>
      <c r="F485" s="814"/>
    </row>
    <row r="486" spans="5:6" s="462" customFormat="1" ht="12.75">
      <c r="E486" s="473"/>
      <c r="F486" s="814"/>
    </row>
    <row r="487" spans="5:6" s="462" customFormat="1" ht="12.75">
      <c r="E487" s="473"/>
      <c r="F487" s="814"/>
    </row>
    <row r="488" spans="5:6" s="462" customFormat="1" ht="12.75">
      <c r="E488" s="473"/>
      <c r="F488" s="814"/>
    </row>
    <row r="489" spans="5:6" s="462" customFormat="1" ht="12.75">
      <c r="E489" s="473"/>
      <c r="F489" s="814"/>
    </row>
    <row r="490" spans="5:6" s="462" customFormat="1" ht="12.75">
      <c r="E490" s="473"/>
      <c r="F490" s="814"/>
    </row>
    <row r="491" spans="5:6" s="462" customFormat="1" ht="12.75">
      <c r="E491" s="473"/>
      <c r="F491" s="814"/>
    </row>
    <row r="492" spans="5:6" s="462" customFormat="1" ht="12.75">
      <c r="E492" s="473"/>
      <c r="F492" s="814"/>
    </row>
    <row r="493" spans="5:6" s="462" customFormat="1" ht="12.75">
      <c r="E493" s="473"/>
      <c r="F493" s="814"/>
    </row>
    <row r="494" spans="5:6" s="462" customFormat="1" ht="12.75">
      <c r="E494" s="473"/>
      <c r="F494" s="814"/>
    </row>
    <row r="495" spans="5:6" s="462" customFormat="1" ht="12.75">
      <c r="E495" s="473"/>
      <c r="F495" s="814"/>
    </row>
    <row r="496" spans="5:6" s="462" customFormat="1" ht="12.75">
      <c r="E496" s="473"/>
      <c r="F496" s="814"/>
    </row>
    <row r="497" spans="5:6" s="462" customFormat="1" ht="12.75">
      <c r="E497" s="473"/>
      <c r="F497" s="814"/>
    </row>
    <row r="498" spans="5:6" s="462" customFormat="1" ht="12.75">
      <c r="E498" s="473"/>
      <c r="F498" s="814"/>
    </row>
    <row r="499" spans="5:6" s="462" customFormat="1" ht="12.75">
      <c r="E499" s="473"/>
      <c r="F499" s="814"/>
    </row>
    <row r="500" spans="5:6" s="462" customFormat="1" ht="12.75">
      <c r="E500" s="473"/>
      <c r="F500" s="814"/>
    </row>
    <row r="501" spans="5:6" s="462" customFormat="1" ht="12.75">
      <c r="E501" s="473"/>
      <c r="F501" s="814"/>
    </row>
    <row r="502" spans="5:6" s="462" customFormat="1" ht="12.75">
      <c r="E502" s="473"/>
      <c r="F502" s="814"/>
    </row>
    <row r="503" spans="5:6" s="462" customFormat="1" ht="12.75">
      <c r="E503" s="473"/>
      <c r="F503" s="814"/>
    </row>
    <row r="504" spans="5:6" s="462" customFormat="1" ht="12.75">
      <c r="E504" s="473"/>
      <c r="F504" s="814"/>
    </row>
    <row r="505" spans="5:6" s="462" customFormat="1" ht="12.75">
      <c r="E505" s="473"/>
      <c r="F505" s="814"/>
    </row>
    <row r="506" spans="5:6" s="462" customFormat="1" ht="12.75">
      <c r="E506" s="473"/>
      <c r="F506" s="814"/>
    </row>
    <row r="507" spans="5:6" s="462" customFormat="1" ht="12.75">
      <c r="E507" s="473"/>
      <c r="F507" s="814"/>
    </row>
    <row r="508" spans="5:6" s="462" customFormat="1" ht="12.75">
      <c r="E508" s="473"/>
      <c r="F508" s="814"/>
    </row>
    <row r="509" spans="5:6" s="462" customFormat="1" ht="12.75">
      <c r="E509" s="473"/>
      <c r="F509" s="814"/>
    </row>
    <row r="510" spans="5:6" s="462" customFormat="1" ht="12.75">
      <c r="E510" s="473"/>
      <c r="F510" s="814"/>
    </row>
    <row r="511" spans="5:6" s="462" customFormat="1" ht="12.75">
      <c r="E511" s="473"/>
      <c r="F511" s="814"/>
    </row>
    <row r="512" spans="5:6" s="462" customFormat="1" ht="12.75">
      <c r="E512" s="473"/>
      <c r="F512" s="814"/>
    </row>
    <row r="513" spans="5:6" s="462" customFormat="1" ht="12.75">
      <c r="E513" s="473"/>
      <c r="F513" s="814"/>
    </row>
    <row r="514" spans="5:6" s="462" customFormat="1" ht="12.75">
      <c r="E514" s="473"/>
      <c r="F514" s="814"/>
    </row>
    <row r="515" spans="5:6" s="462" customFormat="1" ht="12.75">
      <c r="E515" s="473"/>
      <c r="F515" s="814"/>
    </row>
    <row r="516" spans="5:6" s="462" customFormat="1" ht="12.75">
      <c r="E516" s="473"/>
      <c r="F516" s="814"/>
    </row>
    <row r="517" spans="5:6" s="462" customFormat="1" ht="12.75">
      <c r="E517" s="473"/>
      <c r="F517" s="814"/>
    </row>
    <row r="518" spans="5:6" s="462" customFormat="1" ht="12.75">
      <c r="E518" s="473"/>
      <c r="F518" s="814"/>
    </row>
    <row r="519" spans="5:6" s="462" customFormat="1" ht="12.75">
      <c r="E519" s="473"/>
      <c r="F519" s="814"/>
    </row>
    <row r="520" spans="5:6" s="462" customFormat="1" ht="12.75">
      <c r="E520" s="473"/>
      <c r="F520" s="814"/>
    </row>
    <row r="521" spans="5:6" s="462" customFormat="1" ht="12.75">
      <c r="E521" s="473"/>
      <c r="F521" s="814"/>
    </row>
    <row r="522" spans="5:6" s="462" customFormat="1" ht="12.75">
      <c r="E522" s="473"/>
      <c r="F522" s="814"/>
    </row>
    <row r="523" spans="5:6" s="462" customFormat="1" ht="12.75">
      <c r="E523" s="473"/>
      <c r="F523" s="814"/>
    </row>
    <row r="524" spans="5:6" s="462" customFormat="1" ht="12.75">
      <c r="E524" s="473"/>
      <c r="F524" s="814"/>
    </row>
    <row r="525" spans="5:6" s="462" customFormat="1" ht="12.75">
      <c r="E525" s="473"/>
      <c r="F525" s="814"/>
    </row>
    <row r="526" spans="5:6" s="462" customFormat="1" ht="12.75">
      <c r="E526" s="473"/>
      <c r="F526" s="814"/>
    </row>
    <row r="527" spans="5:6" s="462" customFormat="1" ht="12.75">
      <c r="E527" s="473"/>
      <c r="F527" s="814"/>
    </row>
    <row r="528" spans="5:6" s="462" customFormat="1" ht="12.75">
      <c r="E528" s="473"/>
      <c r="F528" s="814"/>
    </row>
    <row r="529" spans="5:6" s="462" customFormat="1" ht="12.75">
      <c r="E529" s="473"/>
      <c r="F529" s="814"/>
    </row>
    <row r="530" spans="5:6" s="462" customFormat="1" ht="12.75">
      <c r="E530" s="473"/>
      <c r="F530" s="814"/>
    </row>
    <row r="531" spans="5:6" s="462" customFormat="1" ht="12.75">
      <c r="E531" s="473"/>
      <c r="F531" s="814"/>
    </row>
    <row r="532" spans="5:6" s="462" customFormat="1" ht="12.75">
      <c r="E532" s="473"/>
      <c r="F532" s="814"/>
    </row>
    <row r="533" spans="5:6" s="462" customFormat="1" ht="12.75">
      <c r="E533" s="473"/>
      <c r="F533" s="814"/>
    </row>
    <row r="534" spans="5:6" s="462" customFormat="1" ht="12.75">
      <c r="E534" s="473"/>
      <c r="F534" s="814"/>
    </row>
    <row r="535" spans="5:6" s="462" customFormat="1" ht="12.75">
      <c r="E535" s="473"/>
      <c r="F535" s="814"/>
    </row>
    <row r="536" spans="5:6" s="462" customFormat="1" ht="12.75">
      <c r="E536" s="473"/>
      <c r="F536" s="814"/>
    </row>
    <row r="537" spans="5:6" s="462" customFormat="1" ht="12.75">
      <c r="E537" s="473"/>
      <c r="F537" s="814"/>
    </row>
    <row r="538" spans="5:6" s="462" customFormat="1" ht="12.75">
      <c r="E538" s="473"/>
      <c r="F538" s="814"/>
    </row>
    <row r="539" spans="5:6" s="462" customFormat="1" ht="12.75">
      <c r="E539" s="473"/>
      <c r="F539" s="814"/>
    </row>
    <row r="540" spans="5:6" s="462" customFormat="1" ht="12.75">
      <c r="E540" s="473"/>
      <c r="F540" s="814"/>
    </row>
    <row r="541" spans="5:6" s="462" customFormat="1" ht="12.75">
      <c r="E541" s="473"/>
      <c r="F541" s="814"/>
    </row>
    <row r="542" spans="5:6" s="462" customFormat="1" ht="12.75">
      <c r="E542" s="473"/>
      <c r="F542" s="814"/>
    </row>
    <row r="543" spans="5:6" s="462" customFormat="1" ht="12.75">
      <c r="E543" s="473"/>
      <c r="F543" s="814"/>
    </row>
    <row r="544" spans="5:6" s="462" customFormat="1" ht="12.75">
      <c r="E544" s="473"/>
      <c r="F544" s="814"/>
    </row>
    <row r="545" spans="5:6" s="462" customFormat="1" ht="12.75">
      <c r="E545" s="473"/>
      <c r="F545" s="814"/>
    </row>
    <row r="546" spans="5:6" s="462" customFormat="1" ht="12.75">
      <c r="E546" s="473"/>
      <c r="F546" s="814"/>
    </row>
    <row r="547" spans="5:6" s="462" customFormat="1" ht="12.75">
      <c r="E547" s="473"/>
      <c r="F547" s="814"/>
    </row>
    <row r="548" spans="5:6" s="462" customFormat="1" ht="12.75">
      <c r="E548" s="473"/>
      <c r="F548" s="814"/>
    </row>
    <row r="549" spans="5:6" s="462" customFormat="1" ht="12.75">
      <c r="E549" s="473"/>
      <c r="F549" s="814"/>
    </row>
    <row r="550" spans="5:6" s="462" customFormat="1" ht="12.75">
      <c r="E550" s="473"/>
      <c r="F550" s="814"/>
    </row>
    <row r="551" spans="5:6" s="462" customFormat="1" ht="12.75">
      <c r="E551" s="473"/>
      <c r="F551" s="814"/>
    </row>
    <row r="552" spans="5:6" s="462" customFormat="1" ht="12.75">
      <c r="E552" s="473"/>
      <c r="F552" s="814"/>
    </row>
    <row r="553" spans="5:6" s="462" customFormat="1" ht="12.75">
      <c r="E553" s="473"/>
      <c r="F553" s="814"/>
    </row>
    <row r="554" spans="5:6" s="462" customFormat="1" ht="12.75">
      <c r="E554" s="473"/>
      <c r="F554" s="814"/>
    </row>
    <row r="555" spans="5:6" s="462" customFormat="1" ht="12.75">
      <c r="E555" s="473"/>
      <c r="F555" s="814"/>
    </row>
    <row r="556" spans="5:6" s="462" customFormat="1" ht="12.75">
      <c r="E556" s="473"/>
      <c r="F556" s="814"/>
    </row>
    <row r="557" spans="5:6" s="462" customFormat="1" ht="12.75">
      <c r="E557" s="473"/>
      <c r="F557" s="814"/>
    </row>
    <row r="558" spans="5:6" s="462" customFormat="1" ht="12.75">
      <c r="E558" s="473"/>
      <c r="F558" s="814"/>
    </row>
    <row r="559" spans="5:6" s="462" customFormat="1" ht="12.75">
      <c r="E559" s="473"/>
      <c r="F559" s="814"/>
    </row>
    <row r="560" spans="5:6" s="462" customFormat="1" ht="12.75">
      <c r="E560" s="473"/>
      <c r="F560" s="814"/>
    </row>
    <row r="561" spans="5:6" s="462" customFormat="1" ht="12.75">
      <c r="E561" s="473"/>
      <c r="F561" s="814"/>
    </row>
    <row r="562" spans="5:6" s="462" customFormat="1" ht="12.75">
      <c r="E562" s="473"/>
      <c r="F562" s="814"/>
    </row>
    <row r="563" spans="5:6" s="462" customFormat="1" ht="12.75">
      <c r="E563" s="473"/>
      <c r="F563" s="814"/>
    </row>
    <row r="564" spans="5:6" s="462" customFormat="1" ht="12.75">
      <c r="E564" s="473"/>
      <c r="F564" s="814"/>
    </row>
    <row r="565" spans="5:6" s="462" customFormat="1" ht="12.75">
      <c r="E565" s="473"/>
      <c r="F565" s="814"/>
    </row>
    <row r="566" spans="5:6" s="462" customFormat="1" ht="12.75">
      <c r="E566" s="473"/>
      <c r="F566" s="814"/>
    </row>
    <row r="567" spans="5:6" s="462" customFormat="1" ht="12.75">
      <c r="E567" s="473"/>
      <c r="F567" s="814"/>
    </row>
    <row r="568" spans="5:6" s="462" customFormat="1" ht="12.75">
      <c r="E568" s="473"/>
      <c r="F568" s="814"/>
    </row>
    <row r="569" spans="1:5" ht="12.75">
      <c r="A569" s="462"/>
      <c r="B569" s="462"/>
      <c r="C569" s="462"/>
      <c r="D569" s="462"/>
      <c r="E569" s="47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36" bottom="0.42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97"/>
  <sheetViews>
    <sheetView showGridLines="0"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66.00390625" style="361" customWidth="1"/>
    <col min="2" max="2" width="0.42578125" style="361" hidden="1" customWidth="1"/>
    <col min="3" max="3" width="15.8515625" style="361" customWidth="1"/>
    <col min="4" max="4" width="20.7109375" style="361" customWidth="1"/>
    <col min="5" max="5" width="10.28125" style="361" customWidth="1"/>
    <col min="6" max="6" width="11.57421875" style="363" customWidth="1"/>
    <col min="7" max="16384" width="11.57421875" style="361" customWidth="1"/>
  </cols>
  <sheetData>
    <row r="1" spans="1:7" ht="12.75">
      <c r="A1" s="759"/>
      <c r="B1" s="759"/>
      <c r="C1" s="762" t="s">
        <v>481</v>
      </c>
      <c r="E1" s="759"/>
      <c r="F1" s="759"/>
      <c r="G1" s="759"/>
    </row>
    <row r="2" spans="1:7" ht="25.5" customHeight="1">
      <c r="A2" s="759"/>
      <c r="B2" s="759"/>
      <c r="C2" s="977" t="s">
        <v>482</v>
      </c>
      <c r="D2" s="977"/>
      <c r="E2" s="759"/>
      <c r="F2" s="759"/>
      <c r="G2" s="759"/>
    </row>
    <row r="3" spans="1:7" ht="12.75">
      <c r="A3" s="759"/>
      <c r="B3" s="763"/>
      <c r="C3" s="759"/>
      <c r="D3" s="759"/>
      <c r="E3" s="759"/>
      <c r="F3" s="759"/>
      <c r="G3" s="759"/>
    </row>
    <row r="4" spans="1:7" ht="12.75">
      <c r="A4" s="759" t="s">
        <v>319</v>
      </c>
      <c r="B4" s="759"/>
      <c r="C4" s="764">
        <v>42339</v>
      </c>
      <c r="D4" s="759"/>
      <c r="E4" s="887" t="s">
        <v>381</v>
      </c>
      <c r="F4" s="887"/>
      <c r="G4" s="888"/>
    </row>
    <row r="5" spans="1:6" ht="12.75">
      <c r="A5" s="759" t="s">
        <v>480</v>
      </c>
      <c r="B5" s="759"/>
      <c r="C5" s="765" t="s">
        <v>483</v>
      </c>
      <c r="D5" s="759"/>
      <c r="E5" s="759"/>
      <c r="F5" s="759"/>
    </row>
    <row r="6" spans="1:4" ht="13.5" thickBot="1">
      <c r="A6" s="362"/>
      <c r="B6" s="362"/>
      <c r="C6" s="362"/>
      <c r="D6" s="362"/>
    </row>
    <row r="7" spans="1:6" s="365" customFormat="1" ht="35.25" customHeight="1">
      <c r="A7" s="980" t="s">
        <v>91</v>
      </c>
      <c r="B7" s="981"/>
      <c r="C7" s="982"/>
      <c r="D7" s="364">
        <v>2016</v>
      </c>
      <c r="F7" s="366"/>
    </row>
    <row r="8" spans="1:4" ht="25.5" customHeight="1" thickBot="1">
      <c r="A8" s="983" t="str">
        <f>CPYG!A8</f>
        <v>EMPRESA PÚBLICA:  INSTITUCIÓN FERIAL DE TENERIFE, S.A.</v>
      </c>
      <c r="B8" s="984"/>
      <c r="C8" s="984"/>
      <c r="D8" s="367" t="s">
        <v>207</v>
      </c>
    </row>
    <row r="9" spans="1:4" ht="35.25" customHeight="1">
      <c r="A9" s="985" t="s">
        <v>475</v>
      </c>
      <c r="B9" s="986"/>
      <c r="C9" s="986"/>
      <c r="D9" s="987"/>
    </row>
    <row r="10" spans="1:4" ht="36" customHeight="1" thickBot="1">
      <c r="A10" s="368"/>
      <c r="B10" s="369"/>
      <c r="C10" s="370" t="s">
        <v>599</v>
      </c>
      <c r="D10" s="371" t="s">
        <v>600</v>
      </c>
    </row>
    <row r="11" spans="1:4" ht="17.25" customHeight="1" thickBot="1">
      <c r="A11" s="372" t="s">
        <v>487</v>
      </c>
      <c r="B11" s="373"/>
      <c r="C11" s="374"/>
      <c r="D11" s="375"/>
    </row>
    <row r="12" spans="1:4" ht="12.75">
      <c r="A12" s="376" t="s">
        <v>208</v>
      </c>
      <c r="B12" s="377"/>
      <c r="C12" s="830">
        <f>+CPYG!D111</f>
        <v>-498916.3299999997</v>
      </c>
      <c r="D12" s="831">
        <f>+CPYG!C111</f>
        <v>-506747.5199999996</v>
      </c>
    </row>
    <row r="13" spans="1:4" ht="12.75">
      <c r="A13" s="378" t="s">
        <v>209</v>
      </c>
      <c r="B13" s="379"/>
      <c r="C13" s="832">
        <f>SUM(C14:C24)</f>
        <v>43996.270000000004</v>
      </c>
      <c r="D13" s="833">
        <f>SUM(D14:D24)</f>
        <v>52821.86000000001</v>
      </c>
    </row>
    <row r="14" spans="1:4" ht="12.75">
      <c r="A14" s="380" t="s">
        <v>210</v>
      </c>
      <c r="B14" s="379"/>
      <c r="C14" s="852">
        <f>+CPYG!D59*-1</f>
        <v>61200</v>
      </c>
      <c r="D14" s="853">
        <f>+CPYG!C59*-1</f>
        <v>61118.83</v>
      </c>
    </row>
    <row r="15" spans="1:4" ht="12.75">
      <c r="A15" s="380" t="s">
        <v>211</v>
      </c>
      <c r="B15" s="379"/>
      <c r="C15" s="852">
        <v>15000</v>
      </c>
      <c r="D15" s="853">
        <v>23849.93</v>
      </c>
    </row>
    <row r="16" spans="1:4" ht="12.75">
      <c r="A16" s="380" t="s">
        <v>212</v>
      </c>
      <c r="B16" s="379"/>
      <c r="C16" s="852">
        <v>0</v>
      </c>
      <c r="D16" s="853">
        <v>0</v>
      </c>
    </row>
    <row r="17" spans="1:4" ht="12.75">
      <c r="A17" s="380" t="s">
        <v>213</v>
      </c>
      <c r="B17" s="379"/>
      <c r="C17" s="852">
        <f>+CPYG!D63*-1</f>
        <v>-32243.73</v>
      </c>
      <c r="D17" s="853">
        <f>+CPYG!C63*-1</f>
        <v>-32243.73</v>
      </c>
    </row>
    <row r="18" spans="1:4" ht="12.75">
      <c r="A18" s="380" t="s">
        <v>214</v>
      </c>
      <c r="B18" s="379"/>
      <c r="C18" s="852">
        <v>0</v>
      </c>
      <c r="D18" s="853">
        <v>0</v>
      </c>
    </row>
    <row r="19" spans="1:4" ht="12.75">
      <c r="A19" s="380" t="s">
        <v>216</v>
      </c>
      <c r="B19" s="379"/>
      <c r="C19" s="852">
        <v>0</v>
      </c>
      <c r="D19" s="853">
        <v>0</v>
      </c>
    </row>
    <row r="20" spans="1:4" ht="12.75">
      <c r="A20" s="380" t="s">
        <v>217</v>
      </c>
      <c r="B20" s="379"/>
      <c r="C20" s="852">
        <v>-560</v>
      </c>
      <c r="D20" s="853">
        <f>+CPYG!C83*-1</f>
        <v>-512.62</v>
      </c>
    </row>
    <row r="21" spans="1:4" ht="12.75">
      <c r="A21" s="380" t="s">
        <v>218</v>
      </c>
      <c r="B21" s="379"/>
      <c r="C21" s="852">
        <f>+CPYG!D93*-1</f>
        <v>600</v>
      </c>
      <c r="D21" s="853">
        <f>+CPYG!C93*-1</f>
        <v>609.45</v>
      </c>
    </row>
    <row r="22" spans="1:4" ht="12.75">
      <c r="A22" s="380" t="s">
        <v>219</v>
      </c>
      <c r="B22" s="379"/>
      <c r="C22" s="852">
        <v>0</v>
      </c>
      <c r="D22" s="853">
        <v>0</v>
      </c>
    </row>
    <row r="23" spans="1:4" ht="12.75">
      <c r="A23" s="381" t="s">
        <v>220</v>
      </c>
      <c r="B23" s="379"/>
      <c r="C23" s="852">
        <v>0</v>
      </c>
      <c r="D23" s="853">
        <v>0</v>
      </c>
    </row>
    <row r="24" spans="1:4" ht="12.75">
      <c r="A24" s="381" t="s">
        <v>221</v>
      </c>
      <c r="B24" s="379"/>
      <c r="C24" s="852">
        <v>0</v>
      </c>
      <c r="D24" s="853">
        <v>0</v>
      </c>
    </row>
    <row r="25" spans="1:5" ht="12.75">
      <c r="A25" s="378" t="s">
        <v>222</v>
      </c>
      <c r="B25" s="379"/>
      <c r="C25" s="832">
        <f>SUM(C26:C31)</f>
        <v>-453101.92</v>
      </c>
      <c r="D25" s="833">
        <f>SUM(D26:D31)</f>
        <v>-133923.71000000002</v>
      </c>
      <c r="E25" s="382"/>
    </row>
    <row r="26" spans="1:5" ht="12.75" customHeight="1">
      <c r="A26" s="380" t="s">
        <v>223</v>
      </c>
      <c r="B26" s="379"/>
      <c r="C26" s="852">
        <v>500</v>
      </c>
      <c r="D26" s="853">
        <v>-1272.4</v>
      </c>
      <c r="E26" s="382"/>
    </row>
    <row r="27" spans="1:5" ht="12.75" customHeight="1">
      <c r="A27" s="380" t="s">
        <v>224</v>
      </c>
      <c r="B27" s="379"/>
      <c r="C27" s="852">
        <v>-279318.95</v>
      </c>
      <c r="D27" s="853">
        <v>17640.4</v>
      </c>
      <c r="E27" s="382"/>
    </row>
    <row r="28" spans="1:5" ht="12.75" customHeight="1">
      <c r="A28" s="380" t="s">
        <v>225</v>
      </c>
      <c r="B28" s="379"/>
      <c r="C28" s="852">
        <v>-3000</v>
      </c>
      <c r="D28" s="853">
        <v>-6733.98</v>
      </c>
      <c r="E28" s="382"/>
    </row>
    <row r="29" spans="1:5" ht="12.75" customHeight="1">
      <c r="A29" s="380" t="s">
        <v>226</v>
      </c>
      <c r="B29" s="379"/>
      <c r="C29" s="852">
        <v>-179426.67</v>
      </c>
      <c r="D29" s="853">
        <v>-144582.67</v>
      </c>
      <c r="E29" s="382"/>
    </row>
    <row r="30" spans="1:5" ht="12.75" customHeight="1">
      <c r="A30" s="380" t="s">
        <v>227</v>
      </c>
      <c r="B30" s="379"/>
      <c r="C30" s="852">
        <v>1143.75</v>
      </c>
      <c r="D30" s="853">
        <v>-5975.06</v>
      </c>
      <c r="E30" s="382"/>
    </row>
    <row r="31" spans="1:5" ht="12.75" customHeight="1">
      <c r="A31" s="380" t="s">
        <v>228</v>
      </c>
      <c r="B31" s="379"/>
      <c r="C31" s="852">
        <v>6999.95</v>
      </c>
      <c r="D31" s="853">
        <v>7000</v>
      </c>
      <c r="E31" s="382"/>
    </row>
    <row r="32" spans="1:5" ht="12.75">
      <c r="A32" s="378" t="s">
        <v>231</v>
      </c>
      <c r="B32" s="379"/>
      <c r="C32" s="832">
        <f>SUM(C33:C37)</f>
        <v>59960</v>
      </c>
      <c r="D32" s="833">
        <f>SUM(D33:D37)</f>
        <v>78617.59999999999</v>
      </c>
      <c r="E32" s="382"/>
    </row>
    <row r="33" spans="1:5" ht="12.75" customHeight="1">
      <c r="A33" s="380" t="s">
        <v>232</v>
      </c>
      <c r="B33" s="379"/>
      <c r="C33" s="852">
        <v>-600</v>
      </c>
      <c r="D33" s="853">
        <v>-609.45</v>
      </c>
      <c r="E33" s="382"/>
    </row>
    <row r="34" spans="1:5" ht="12.75" customHeight="1">
      <c r="A34" s="380" t="s">
        <v>233</v>
      </c>
      <c r="B34" s="379"/>
      <c r="C34" s="852">
        <v>0</v>
      </c>
      <c r="D34" s="853">
        <v>0</v>
      </c>
      <c r="E34" s="382"/>
    </row>
    <row r="35" spans="1:4" ht="12.75" customHeight="1">
      <c r="A35" s="380" t="s">
        <v>234</v>
      </c>
      <c r="B35" s="379"/>
      <c r="C35" s="852">
        <v>560</v>
      </c>
      <c r="D35" s="853">
        <v>512.62</v>
      </c>
    </row>
    <row r="36" spans="1:4" ht="12.75" customHeight="1">
      <c r="A36" s="380" t="s">
        <v>235</v>
      </c>
      <c r="B36" s="379"/>
      <c r="C36" s="852">
        <v>60000</v>
      </c>
      <c r="D36" s="853">
        <v>78714.43</v>
      </c>
    </row>
    <row r="37" spans="1:4" ht="13.5" thickBot="1">
      <c r="A37" s="380" t="s">
        <v>236</v>
      </c>
      <c r="B37" s="383"/>
      <c r="C37" s="852">
        <v>0</v>
      </c>
      <c r="D37" s="853">
        <v>0</v>
      </c>
    </row>
    <row r="38" spans="1:4" ht="15" customHeight="1" thickBot="1" thickTop="1">
      <c r="A38" s="988" t="s">
        <v>237</v>
      </c>
      <c r="B38" s="989"/>
      <c r="C38" s="834">
        <f>C12+C13+C25+C32</f>
        <v>-848061.9799999997</v>
      </c>
      <c r="D38" s="835">
        <f>D12+D13+D25+D32</f>
        <v>-509231.76999999967</v>
      </c>
    </row>
    <row r="39" spans="1:4" ht="17.25" customHeight="1" thickBot="1">
      <c r="A39" s="372" t="s">
        <v>245</v>
      </c>
      <c r="B39" s="373"/>
      <c r="C39" s="836"/>
      <c r="D39" s="837"/>
    </row>
    <row r="40" spans="1:4" ht="12.75">
      <c r="A40" s="376" t="s">
        <v>246</v>
      </c>
      <c r="B40" s="384"/>
      <c r="C40" s="838">
        <f>SUM(C41:C48)</f>
        <v>-17641.58</v>
      </c>
      <c r="D40" s="839">
        <f>SUM(D41:D48)</f>
        <v>-41234</v>
      </c>
    </row>
    <row r="41" spans="1:4" ht="12.75">
      <c r="A41" s="380" t="s">
        <v>247</v>
      </c>
      <c r="B41" s="385"/>
      <c r="C41" s="852">
        <v>0</v>
      </c>
      <c r="D41" s="853">
        <v>0</v>
      </c>
    </row>
    <row r="42" spans="1:4" ht="12.75">
      <c r="A42" s="380" t="s">
        <v>248</v>
      </c>
      <c r="B42" s="385"/>
      <c r="C42" s="852">
        <v>-375</v>
      </c>
      <c r="D42" s="853">
        <v>-17566.25</v>
      </c>
    </row>
    <row r="43" spans="1:4" ht="12.75">
      <c r="A43" s="380" t="s">
        <v>249</v>
      </c>
      <c r="B43" s="385"/>
      <c r="C43" s="852">
        <v>-17266.58</v>
      </c>
      <c r="D43" s="853">
        <v>-23667.75</v>
      </c>
    </row>
    <row r="44" spans="1:4" ht="12.75">
      <c r="A44" s="380" t="s">
        <v>250</v>
      </c>
      <c r="B44" s="385"/>
      <c r="C44" s="852">
        <v>0</v>
      </c>
      <c r="D44" s="853">
        <v>0</v>
      </c>
    </row>
    <row r="45" spans="1:4" ht="12.75">
      <c r="A45" s="380" t="s">
        <v>251</v>
      </c>
      <c r="B45" s="385"/>
      <c r="C45" s="852">
        <v>0</v>
      </c>
      <c r="D45" s="853">
        <v>0</v>
      </c>
    </row>
    <row r="46" spans="1:4" ht="12.75">
      <c r="A46" s="380" t="s">
        <v>252</v>
      </c>
      <c r="B46" s="385"/>
      <c r="C46" s="852">
        <v>0</v>
      </c>
      <c r="D46" s="853">
        <v>0</v>
      </c>
    </row>
    <row r="47" spans="1:4" ht="12.75">
      <c r="A47" s="380" t="s">
        <v>253</v>
      </c>
      <c r="B47" s="385"/>
      <c r="C47" s="852">
        <v>0</v>
      </c>
      <c r="D47" s="853">
        <v>0</v>
      </c>
    </row>
    <row r="48" spans="1:4" ht="12.75">
      <c r="A48" s="380" t="s">
        <v>254</v>
      </c>
      <c r="B48" s="385"/>
      <c r="C48" s="852">
        <v>0</v>
      </c>
      <c r="D48" s="853">
        <v>0</v>
      </c>
    </row>
    <row r="49" spans="1:4" ht="12.75">
      <c r="A49" s="378" t="s">
        <v>255</v>
      </c>
      <c r="B49" s="385"/>
      <c r="C49" s="832">
        <f>SUM(C50:C57)</f>
        <v>0</v>
      </c>
      <c r="D49" s="833">
        <f>SUM(D50:D57)</f>
        <v>0</v>
      </c>
    </row>
    <row r="50" spans="1:4" ht="12.75">
      <c r="A50" s="380" t="s">
        <v>256</v>
      </c>
      <c r="B50" s="385"/>
      <c r="C50" s="852">
        <v>0</v>
      </c>
      <c r="D50" s="853">
        <v>0</v>
      </c>
    </row>
    <row r="51" spans="1:4" ht="12.75">
      <c r="A51" s="380" t="s">
        <v>248</v>
      </c>
      <c r="B51" s="385"/>
      <c r="C51" s="852">
        <v>0</v>
      </c>
      <c r="D51" s="853">
        <v>0</v>
      </c>
    </row>
    <row r="52" spans="1:4" ht="12.75">
      <c r="A52" s="380" t="s">
        <v>249</v>
      </c>
      <c r="B52" s="385"/>
      <c r="C52" s="852">
        <v>0</v>
      </c>
      <c r="D52" s="853">
        <v>0</v>
      </c>
    </row>
    <row r="53" spans="1:4" ht="12.75">
      <c r="A53" s="380" t="s">
        <v>250</v>
      </c>
      <c r="B53" s="385"/>
      <c r="C53" s="852">
        <v>0</v>
      </c>
      <c r="D53" s="853">
        <v>0</v>
      </c>
    </row>
    <row r="54" spans="1:4" ht="12.75">
      <c r="A54" s="380" t="s">
        <v>251</v>
      </c>
      <c r="B54" s="385"/>
      <c r="C54" s="852">
        <v>0</v>
      </c>
      <c r="D54" s="853">
        <v>0</v>
      </c>
    </row>
    <row r="55" spans="1:4" ht="12.75">
      <c r="A55" s="380" t="s">
        <v>252</v>
      </c>
      <c r="B55" s="385"/>
      <c r="C55" s="852">
        <v>0</v>
      </c>
      <c r="D55" s="853">
        <v>0</v>
      </c>
    </row>
    <row r="56" spans="1:4" ht="12.75">
      <c r="A56" s="380" t="s">
        <v>253</v>
      </c>
      <c r="B56" s="385"/>
      <c r="C56" s="852">
        <v>0</v>
      </c>
      <c r="D56" s="853">
        <v>0</v>
      </c>
    </row>
    <row r="57" spans="1:4" ht="12.75">
      <c r="A57" s="380" t="s">
        <v>254</v>
      </c>
      <c r="B57" s="385"/>
      <c r="C57" s="852">
        <v>0</v>
      </c>
      <c r="D57" s="853">
        <v>0</v>
      </c>
    </row>
    <row r="58" spans="1:4" ht="13.5" thickBot="1">
      <c r="A58" s="386" t="s">
        <v>257</v>
      </c>
      <c r="B58" s="387"/>
      <c r="C58" s="834">
        <f>C40+C49</f>
        <v>-17641.58</v>
      </c>
      <c r="D58" s="835">
        <f>D40+D49</f>
        <v>-41234</v>
      </c>
    </row>
    <row r="59" spans="1:4" ht="17.25" customHeight="1" thickBot="1">
      <c r="A59" s="372" t="s">
        <v>260</v>
      </c>
      <c r="B59" s="373"/>
      <c r="C59" s="836"/>
      <c r="D59" s="837"/>
    </row>
    <row r="60" spans="1:4" ht="12.75">
      <c r="A60" s="388" t="s">
        <v>261</v>
      </c>
      <c r="B60" s="389"/>
      <c r="C60" s="840">
        <f>+C62+C65</f>
        <v>612406.59</v>
      </c>
      <c r="D60" s="841">
        <f>+D61+D62+D65</f>
        <v>1096587.38</v>
      </c>
    </row>
    <row r="61" spans="1:4" ht="12.75">
      <c r="A61" s="380" t="s">
        <v>262</v>
      </c>
      <c r="B61" s="385"/>
      <c r="C61" s="852">
        <v>0</v>
      </c>
      <c r="D61" s="853">
        <v>289217.54</v>
      </c>
    </row>
    <row r="62" spans="1:4" ht="12.75">
      <c r="A62" s="380" t="s">
        <v>263</v>
      </c>
      <c r="B62" s="385"/>
      <c r="C62" s="852">
        <v>640609.1</v>
      </c>
      <c r="D62" s="853">
        <v>760408.57</v>
      </c>
    </row>
    <row r="63" spans="1:4" ht="12.75">
      <c r="A63" s="380" t="s">
        <v>264</v>
      </c>
      <c r="B63" s="385"/>
      <c r="C63" s="852">
        <v>0</v>
      </c>
      <c r="D63" s="853">
        <v>0</v>
      </c>
    </row>
    <row r="64" spans="1:4" ht="12.75">
      <c r="A64" s="380" t="s">
        <v>265</v>
      </c>
      <c r="B64" s="385"/>
      <c r="C64" s="852">
        <v>0</v>
      </c>
      <c r="D64" s="853">
        <v>0</v>
      </c>
    </row>
    <row r="65" spans="1:4" ht="12.75" customHeight="1">
      <c r="A65" s="380" t="s">
        <v>266</v>
      </c>
      <c r="B65" s="385"/>
      <c r="C65" s="852">
        <v>-28202.51</v>
      </c>
      <c r="D65" s="853">
        <v>46961.27</v>
      </c>
    </row>
    <row r="66" spans="1:4" ht="12.75" customHeight="1">
      <c r="A66" s="380" t="s">
        <v>215</v>
      </c>
      <c r="B66" s="385"/>
      <c r="C66" s="852">
        <v>-464321.65</v>
      </c>
      <c r="D66" s="853">
        <v>0</v>
      </c>
    </row>
    <row r="67" spans="1:4" ht="12.75">
      <c r="A67" s="378" t="s">
        <v>267</v>
      </c>
      <c r="B67" s="385"/>
      <c r="C67" s="832">
        <f>C68+C74</f>
        <v>7.22</v>
      </c>
      <c r="D67" s="833">
        <f>D68+D74</f>
        <v>-57.66</v>
      </c>
    </row>
    <row r="68" spans="1:4" ht="12.75">
      <c r="A68" s="380" t="s">
        <v>268</v>
      </c>
      <c r="B68" s="385"/>
      <c r="C68" s="854">
        <f>SUM(C69:C73)</f>
        <v>7.22</v>
      </c>
      <c r="D68" s="855">
        <f>SUM(D69:D73)</f>
        <v>0</v>
      </c>
    </row>
    <row r="69" spans="1:4" ht="12.75" customHeight="1">
      <c r="A69" s="380" t="s">
        <v>269</v>
      </c>
      <c r="B69" s="385"/>
      <c r="C69" s="852">
        <v>0</v>
      </c>
      <c r="D69" s="853">
        <v>0</v>
      </c>
    </row>
    <row r="70" spans="1:4" ht="12.75" customHeight="1">
      <c r="A70" s="380" t="s">
        <v>270</v>
      </c>
      <c r="B70" s="385"/>
      <c r="C70" s="852">
        <v>7.22</v>
      </c>
      <c r="D70" s="853">
        <v>0</v>
      </c>
    </row>
    <row r="71" spans="1:4" ht="12.75" customHeight="1">
      <c r="A71" s="380" t="s">
        <v>271</v>
      </c>
      <c r="B71" s="385"/>
      <c r="C71" s="852">
        <v>0</v>
      </c>
      <c r="D71" s="853">
        <v>0</v>
      </c>
    </row>
    <row r="72" spans="1:4" ht="12.75" customHeight="1">
      <c r="A72" s="380" t="s">
        <v>272</v>
      </c>
      <c r="B72" s="385"/>
      <c r="C72" s="852">
        <v>0</v>
      </c>
      <c r="D72" s="853">
        <v>0</v>
      </c>
    </row>
    <row r="73" spans="1:4" ht="12.75" customHeight="1">
      <c r="A73" s="380" t="s">
        <v>273</v>
      </c>
      <c r="B73" s="385"/>
      <c r="C73" s="852">
        <v>0</v>
      </c>
      <c r="D73" s="853">
        <v>0</v>
      </c>
    </row>
    <row r="74" spans="1:4" ht="12.75">
      <c r="A74" s="380" t="s">
        <v>274</v>
      </c>
      <c r="B74" s="385"/>
      <c r="C74" s="854">
        <f>SUM(C75:C79)</f>
        <v>0</v>
      </c>
      <c r="D74" s="855">
        <f>SUM(D75:D79)</f>
        <v>-57.66</v>
      </c>
    </row>
    <row r="75" spans="1:4" ht="12.75" customHeight="1">
      <c r="A75" s="380" t="s">
        <v>275</v>
      </c>
      <c r="B75" s="385"/>
      <c r="C75" s="852">
        <v>0</v>
      </c>
      <c r="D75" s="853">
        <v>0</v>
      </c>
    </row>
    <row r="76" spans="1:4" ht="12.75" customHeight="1">
      <c r="A76" s="380" t="s">
        <v>276</v>
      </c>
      <c r="B76" s="385"/>
      <c r="C76" s="852">
        <v>0</v>
      </c>
      <c r="D76" s="853">
        <v>-57.66</v>
      </c>
    </row>
    <row r="77" spans="1:4" ht="12.75" customHeight="1">
      <c r="A77" s="380" t="s">
        <v>277</v>
      </c>
      <c r="B77" s="385"/>
      <c r="C77" s="852">
        <v>0</v>
      </c>
      <c r="D77" s="853">
        <v>0</v>
      </c>
    </row>
    <row r="78" spans="1:4" ht="12.75" customHeight="1">
      <c r="A78" s="380" t="s">
        <v>278</v>
      </c>
      <c r="B78" s="385"/>
      <c r="C78" s="852">
        <v>0</v>
      </c>
      <c r="D78" s="853">
        <v>0</v>
      </c>
    </row>
    <row r="79" spans="1:4" ht="12.75" customHeight="1">
      <c r="A79" s="380" t="s">
        <v>279</v>
      </c>
      <c r="B79" s="385"/>
      <c r="C79" s="852">
        <v>0</v>
      </c>
      <c r="D79" s="853">
        <v>0</v>
      </c>
    </row>
    <row r="80" spans="1:4" ht="25.5">
      <c r="A80" s="378" t="s">
        <v>280</v>
      </c>
      <c r="B80" s="385"/>
      <c r="C80" s="832">
        <f>SUM(C81:C82)</f>
        <v>0</v>
      </c>
      <c r="D80" s="833">
        <f>SUM(D81:D82)</f>
        <v>0</v>
      </c>
    </row>
    <row r="81" spans="1:4" ht="15" customHeight="1">
      <c r="A81" s="380" t="s">
        <v>281</v>
      </c>
      <c r="B81" s="390" t="s">
        <v>262</v>
      </c>
      <c r="C81" s="852">
        <v>0</v>
      </c>
      <c r="D81" s="853">
        <v>0</v>
      </c>
    </row>
    <row r="82" spans="1:4" ht="12.75">
      <c r="A82" s="380" t="s">
        <v>282</v>
      </c>
      <c r="B82" s="390" t="s">
        <v>263</v>
      </c>
      <c r="C82" s="852">
        <v>0</v>
      </c>
      <c r="D82" s="853">
        <v>0</v>
      </c>
    </row>
    <row r="83" spans="1:4" ht="23.25" customHeight="1" thickBot="1">
      <c r="A83" s="978" t="s">
        <v>283</v>
      </c>
      <c r="B83" s="979"/>
      <c r="C83" s="842">
        <f>C60+C67+C80</f>
        <v>612413.8099999999</v>
      </c>
      <c r="D83" s="843">
        <f>D60+D67+D80</f>
        <v>1096529.72</v>
      </c>
    </row>
    <row r="84" spans="1:4" ht="17.25" customHeight="1" thickBot="1">
      <c r="A84" s="391" t="s">
        <v>284</v>
      </c>
      <c r="B84" s="392"/>
      <c r="C84" s="844"/>
      <c r="D84" s="845"/>
    </row>
    <row r="85" spans="1:4" ht="25.5" customHeight="1" thickBot="1">
      <c r="A85" s="393" t="s">
        <v>285</v>
      </c>
      <c r="B85" s="394"/>
      <c r="C85" s="846">
        <f>C38+C58+C83+C84</f>
        <v>-253289.74999999977</v>
      </c>
      <c r="D85" s="847">
        <f>D38+D58+D83+D84</f>
        <v>546063.9500000003</v>
      </c>
    </row>
    <row r="86" spans="1:4" ht="12.75">
      <c r="A86" s="395" t="s">
        <v>286</v>
      </c>
      <c r="B86" s="396"/>
      <c r="C86" s="848">
        <f>+ACTIVO!C46</f>
        <v>1326594.75</v>
      </c>
      <c r="D86" s="849">
        <v>780530.8</v>
      </c>
    </row>
    <row r="87" spans="1:4" ht="13.5" customHeight="1" thickBot="1">
      <c r="A87" s="397" t="s">
        <v>287</v>
      </c>
      <c r="B87" s="398"/>
      <c r="C87" s="850">
        <f>+ACTIVO!D46</f>
        <v>1073305</v>
      </c>
      <c r="D87" s="851">
        <f>+ACTIVO!C46</f>
        <v>1326594.75</v>
      </c>
    </row>
    <row r="88" spans="3:4" ht="12.75">
      <c r="C88" s="801"/>
      <c r="D88" s="789"/>
    </row>
    <row r="89" spans="3:4" ht="12.75">
      <c r="C89" s="801"/>
      <c r="D89" s="789"/>
    </row>
    <row r="90" spans="3:4" ht="12.75">
      <c r="C90" s="801"/>
      <c r="D90" s="789"/>
    </row>
    <row r="91" spans="3:4" ht="12.75">
      <c r="C91" s="801"/>
      <c r="D91" s="789"/>
    </row>
    <row r="92" spans="3:4" ht="12.75">
      <c r="C92" s="801"/>
      <c r="D92" s="789"/>
    </row>
    <row r="93" spans="3:4" ht="12.75">
      <c r="C93" s="801"/>
      <c r="D93" s="789"/>
    </row>
    <row r="94" spans="3:4" ht="12.75">
      <c r="C94" s="801"/>
      <c r="D94" s="789"/>
    </row>
    <row r="95" spans="3:4" ht="12.75">
      <c r="C95" s="801"/>
      <c r="D95" s="789"/>
    </row>
    <row r="96" spans="3:4" ht="12.75">
      <c r="C96" s="801"/>
      <c r="D96" s="789"/>
    </row>
    <row r="97" spans="3:4" ht="12.75">
      <c r="C97" s="801"/>
      <c r="D97" s="789"/>
    </row>
    <row r="98" spans="3:4" ht="12.75">
      <c r="C98" s="801"/>
      <c r="D98" s="789"/>
    </row>
    <row r="99" spans="3:4" ht="12.75">
      <c r="C99" s="801"/>
      <c r="D99" s="789"/>
    </row>
    <row r="100" spans="3:4" ht="12.75">
      <c r="C100" s="801"/>
      <c r="D100" s="789"/>
    </row>
    <row r="101" spans="3:4" ht="12.75">
      <c r="C101" s="801"/>
      <c r="D101" s="789"/>
    </row>
    <row r="102" spans="3:4" ht="12.75">
      <c r="C102" s="801"/>
      <c r="D102" s="789"/>
    </row>
    <row r="103" spans="3:4" ht="12.75">
      <c r="C103" s="801"/>
      <c r="D103" s="789"/>
    </row>
    <row r="104" spans="3:4" ht="12.75">
      <c r="C104" s="801"/>
      <c r="D104" s="789"/>
    </row>
    <row r="105" spans="3:4" ht="12.75">
      <c r="C105" s="801"/>
      <c r="D105" s="789"/>
    </row>
    <row r="106" spans="3:4" ht="12.75">
      <c r="C106" s="801"/>
      <c r="D106" s="789"/>
    </row>
    <row r="107" spans="3:4" ht="12.75">
      <c r="C107" s="801"/>
      <c r="D107" s="789"/>
    </row>
    <row r="108" spans="3:4" ht="12.75">
      <c r="C108" s="801"/>
      <c r="D108" s="789"/>
    </row>
    <row r="109" spans="3:4" ht="12.75">
      <c r="C109" s="801"/>
      <c r="D109" s="789"/>
    </row>
    <row r="110" spans="3:4" ht="12.75">
      <c r="C110" s="801"/>
      <c r="D110" s="789"/>
    </row>
    <row r="111" spans="3:4" ht="12.75">
      <c r="C111" s="801"/>
      <c r="D111" s="789"/>
    </row>
    <row r="112" spans="3:4" ht="12.75">
      <c r="C112" s="801"/>
      <c r="D112" s="789"/>
    </row>
    <row r="113" spans="3:4" ht="12.75">
      <c r="C113" s="801"/>
      <c r="D113" s="789"/>
    </row>
    <row r="114" spans="3:4" ht="12.75">
      <c r="C114" s="801"/>
      <c r="D114" s="789"/>
    </row>
    <row r="115" spans="3:4" ht="12.75">
      <c r="C115" s="801"/>
      <c r="D115" s="789"/>
    </row>
    <row r="116" spans="3:4" ht="12.75">
      <c r="C116" s="801"/>
      <c r="D116" s="789"/>
    </row>
    <row r="117" spans="3:4" ht="12.75">
      <c r="C117" s="801"/>
      <c r="D117" s="789"/>
    </row>
    <row r="118" spans="3:4" ht="12.75">
      <c r="C118" s="801"/>
      <c r="D118" s="789"/>
    </row>
    <row r="119" spans="3:4" ht="12.75">
      <c r="C119" s="801"/>
      <c r="D119" s="789"/>
    </row>
    <row r="120" spans="3:4" ht="12.75">
      <c r="C120" s="801"/>
      <c r="D120" s="789"/>
    </row>
    <row r="121" spans="3:4" ht="12.75">
      <c r="C121" s="801"/>
      <c r="D121" s="789"/>
    </row>
    <row r="122" spans="3:4" ht="12.75">
      <c r="C122" s="801"/>
      <c r="D122" s="789"/>
    </row>
    <row r="123" spans="3:4" ht="12.75">
      <c r="C123" s="801"/>
      <c r="D123" s="789"/>
    </row>
    <row r="124" spans="3:4" ht="12.75">
      <c r="C124" s="801"/>
      <c r="D124" s="789"/>
    </row>
    <row r="125" spans="3:4" ht="12.75">
      <c r="C125" s="801"/>
      <c r="D125" s="789"/>
    </row>
    <row r="126" spans="3:4" ht="12.75">
      <c r="C126" s="801"/>
      <c r="D126" s="789"/>
    </row>
    <row r="127" spans="3:4" ht="12.75">
      <c r="C127" s="801"/>
      <c r="D127" s="789"/>
    </row>
    <row r="128" spans="3:4" ht="12.75">
      <c r="C128" s="801"/>
      <c r="D128" s="789"/>
    </row>
    <row r="129" spans="3:4" ht="12.75">
      <c r="C129" s="801"/>
      <c r="D129" s="789"/>
    </row>
    <row r="130" spans="3:4" ht="12.75">
      <c r="C130" s="801"/>
      <c r="D130" s="789"/>
    </row>
    <row r="131" spans="3:4" ht="12.75">
      <c r="C131" s="801"/>
      <c r="D131" s="789"/>
    </row>
    <row r="132" spans="3:4" ht="12.75">
      <c r="C132" s="801"/>
      <c r="D132" s="789"/>
    </row>
    <row r="133" spans="3:4" ht="12.75">
      <c r="C133" s="801"/>
      <c r="D133" s="789"/>
    </row>
    <row r="134" spans="3:4" ht="12.75">
      <c r="C134" s="801"/>
      <c r="D134" s="789"/>
    </row>
    <row r="135" spans="3:4" ht="12.75">
      <c r="C135" s="801"/>
      <c r="D135" s="789"/>
    </row>
    <row r="136" spans="3:4" ht="12.75">
      <c r="C136" s="801"/>
      <c r="D136" s="789"/>
    </row>
    <row r="137" spans="3:4" ht="12.75">
      <c r="C137" s="801"/>
      <c r="D137" s="789"/>
    </row>
    <row r="138" spans="3:4" ht="12.75">
      <c r="C138" s="801"/>
      <c r="D138" s="789"/>
    </row>
    <row r="139" spans="3:4" ht="12.75">
      <c r="C139" s="801"/>
      <c r="D139" s="789"/>
    </row>
    <row r="140" spans="3:4" ht="12.75">
      <c r="C140" s="801"/>
      <c r="D140" s="789"/>
    </row>
    <row r="141" spans="3:4" ht="12.75">
      <c r="C141" s="801"/>
      <c r="D141" s="789"/>
    </row>
    <row r="142" spans="3:4" ht="12.75">
      <c r="C142" s="801"/>
      <c r="D142" s="789"/>
    </row>
    <row r="143" spans="3:4" ht="12.75">
      <c r="C143" s="801"/>
      <c r="D143" s="789"/>
    </row>
    <row r="144" spans="3:4" ht="12.75">
      <c r="C144" s="801"/>
      <c r="D144" s="789"/>
    </row>
    <row r="145" spans="3:4" ht="12.75">
      <c r="C145" s="801"/>
      <c r="D145" s="789"/>
    </row>
    <row r="146" spans="3:4" ht="12.75">
      <c r="C146" s="801"/>
      <c r="D146" s="789"/>
    </row>
    <row r="147" spans="3:4" ht="12.75">
      <c r="C147" s="801"/>
      <c r="D147" s="789"/>
    </row>
    <row r="148" spans="3:4" ht="12.75">
      <c r="C148" s="801"/>
      <c r="D148" s="789"/>
    </row>
    <row r="149" spans="3:4" ht="12.75">
      <c r="C149" s="801"/>
      <c r="D149" s="789"/>
    </row>
    <row r="150" spans="3:4" ht="12.75">
      <c r="C150" s="801"/>
      <c r="D150" s="789"/>
    </row>
    <row r="151" spans="3:4" ht="12.75">
      <c r="C151" s="801"/>
      <c r="D151" s="789"/>
    </row>
    <row r="152" spans="3:4" ht="12.75">
      <c r="C152" s="801"/>
      <c r="D152" s="789"/>
    </row>
    <row r="153" spans="3:4" ht="12.75">
      <c r="C153" s="801"/>
      <c r="D153" s="789"/>
    </row>
    <row r="154" spans="3:4" ht="12.75">
      <c r="C154" s="801"/>
      <c r="D154" s="789"/>
    </row>
    <row r="155" spans="3:4" ht="12.75">
      <c r="C155" s="801"/>
      <c r="D155" s="789"/>
    </row>
    <row r="156" spans="3:4" ht="12.75">
      <c r="C156" s="801"/>
      <c r="D156" s="789"/>
    </row>
    <row r="157" spans="3:4" ht="12.75">
      <c r="C157" s="801"/>
      <c r="D157" s="789"/>
    </row>
    <row r="158" spans="3:4" ht="12.75">
      <c r="C158" s="801"/>
      <c r="D158" s="789"/>
    </row>
    <row r="159" spans="3:4" ht="12.75">
      <c r="C159" s="801"/>
      <c r="D159" s="789"/>
    </row>
    <row r="160" spans="3:4" ht="12.75">
      <c r="C160" s="801"/>
      <c r="D160" s="789"/>
    </row>
    <row r="161" spans="3:4" ht="12.75">
      <c r="C161" s="801"/>
      <c r="D161" s="789"/>
    </row>
    <row r="162" ht="12.75">
      <c r="C162" s="382"/>
    </row>
    <row r="163" ht="12.75">
      <c r="C163" s="382"/>
    </row>
    <row r="164" ht="12.75">
      <c r="C164" s="382"/>
    </row>
    <row r="165" ht="12.75">
      <c r="C165" s="382"/>
    </row>
    <row r="166" ht="12.75">
      <c r="C166" s="382"/>
    </row>
    <row r="167" ht="12.75">
      <c r="C167" s="382"/>
    </row>
    <row r="168" ht="12.75">
      <c r="C168" s="382"/>
    </row>
    <row r="169" ht="12.75">
      <c r="C169" s="382"/>
    </row>
    <row r="170" ht="12.75">
      <c r="C170" s="382"/>
    </row>
    <row r="171" ht="12.75">
      <c r="C171" s="382"/>
    </row>
    <row r="172" ht="12.75">
      <c r="C172" s="382"/>
    </row>
    <row r="173" ht="12.75">
      <c r="C173" s="382"/>
    </row>
    <row r="174" ht="12.75">
      <c r="C174" s="382"/>
    </row>
    <row r="175" ht="12.75">
      <c r="C175" s="382"/>
    </row>
    <row r="176" ht="12.75">
      <c r="C176" s="382"/>
    </row>
    <row r="177" ht="12.75">
      <c r="C177" s="382"/>
    </row>
    <row r="178" ht="12.75">
      <c r="C178" s="382"/>
    </row>
    <row r="179" ht="12.75">
      <c r="C179" s="382"/>
    </row>
    <row r="180" ht="12.75">
      <c r="C180" s="382"/>
    </row>
    <row r="181" ht="12.75">
      <c r="C181" s="382"/>
    </row>
    <row r="182" ht="12.75">
      <c r="C182" s="382"/>
    </row>
    <row r="183" ht="12.75">
      <c r="C183" s="382"/>
    </row>
    <row r="184" ht="12.75">
      <c r="C184" s="382"/>
    </row>
    <row r="185" ht="12.75">
      <c r="C185" s="382"/>
    </row>
    <row r="186" ht="12.75">
      <c r="C186" s="382"/>
    </row>
    <row r="187" ht="12.75">
      <c r="C187" s="382"/>
    </row>
    <row r="188" ht="12.75">
      <c r="C188" s="382"/>
    </row>
    <row r="189" ht="12.75">
      <c r="C189" s="382"/>
    </row>
    <row r="190" ht="12.75">
      <c r="C190" s="382"/>
    </row>
    <row r="191" ht="12.75">
      <c r="C191" s="382"/>
    </row>
    <row r="192" ht="12.75">
      <c r="C192" s="382"/>
    </row>
    <row r="193" ht="12.75">
      <c r="C193" s="382"/>
    </row>
    <row r="194" ht="12.75">
      <c r="C194" s="382"/>
    </row>
    <row r="195" ht="12.75">
      <c r="C195" s="382"/>
    </row>
    <row r="196" ht="12.75">
      <c r="C196" s="382"/>
    </row>
    <row r="197" ht="12.75">
      <c r="C197" s="382"/>
    </row>
    <row r="198" ht="12.75">
      <c r="C198" s="382"/>
    </row>
    <row r="199" ht="12.75">
      <c r="C199" s="382"/>
    </row>
    <row r="200" ht="12.75">
      <c r="C200" s="382"/>
    </row>
    <row r="201" ht="12.75">
      <c r="C201" s="382"/>
    </row>
    <row r="202" ht="12.75">
      <c r="C202" s="382"/>
    </row>
    <row r="203" ht="12.75">
      <c r="C203" s="382"/>
    </row>
    <row r="204" ht="12.75">
      <c r="C204" s="382"/>
    </row>
    <row r="205" ht="12.75">
      <c r="C205" s="382"/>
    </row>
    <row r="206" ht="12.75">
      <c r="C206" s="382"/>
    </row>
    <row r="207" ht="12.75">
      <c r="C207" s="382"/>
    </row>
    <row r="208" ht="12.75">
      <c r="C208" s="382"/>
    </row>
    <row r="209" ht="12.75">
      <c r="C209" s="382"/>
    </row>
    <row r="210" ht="12.75">
      <c r="C210" s="382"/>
    </row>
    <row r="211" ht="12.75">
      <c r="C211" s="382"/>
    </row>
    <row r="212" ht="12.75">
      <c r="C212" s="382"/>
    </row>
    <row r="213" ht="12.75">
      <c r="C213" s="382"/>
    </row>
    <row r="214" ht="12.75">
      <c r="C214" s="382"/>
    </row>
    <row r="215" ht="12.75">
      <c r="C215" s="382"/>
    </row>
    <row r="216" ht="12.75">
      <c r="C216" s="382"/>
    </row>
    <row r="217" ht="12.75">
      <c r="C217" s="382"/>
    </row>
    <row r="218" ht="12.75">
      <c r="C218" s="382"/>
    </row>
    <row r="219" ht="12.75">
      <c r="C219" s="382"/>
    </row>
    <row r="220" ht="12.75">
      <c r="C220" s="382"/>
    </row>
    <row r="221" ht="12.75">
      <c r="C221" s="382"/>
    </row>
    <row r="222" ht="12.75">
      <c r="C222" s="382"/>
    </row>
    <row r="223" ht="12.75">
      <c r="C223" s="382"/>
    </row>
    <row r="224" ht="12.75">
      <c r="C224" s="382"/>
    </row>
    <row r="225" ht="12.75">
      <c r="C225" s="382"/>
    </row>
    <row r="226" ht="12.75">
      <c r="C226" s="382"/>
    </row>
    <row r="227" ht="12.75">
      <c r="C227" s="382"/>
    </row>
    <row r="228" ht="12.75">
      <c r="C228" s="382"/>
    </row>
    <row r="229" ht="12.75">
      <c r="C229" s="382"/>
    </row>
    <row r="230" ht="12.75">
      <c r="C230" s="382"/>
    </row>
    <row r="231" ht="12.75">
      <c r="C231" s="382"/>
    </row>
    <row r="232" ht="12.75">
      <c r="C232" s="382"/>
    </row>
    <row r="233" ht="12.75">
      <c r="C233" s="382"/>
    </row>
    <row r="234" ht="12.75">
      <c r="C234" s="382"/>
    </row>
    <row r="235" ht="12.75">
      <c r="C235" s="382"/>
    </row>
    <row r="236" ht="12.75">
      <c r="C236" s="382"/>
    </row>
    <row r="237" ht="12.75">
      <c r="C237" s="382"/>
    </row>
    <row r="238" ht="12.75">
      <c r="C238" s="382"/>
    </row>
    <row r="239" ht="12.75">
      <c r="C239" s="382"/>
    </row>
    <row r="240" ht="12.75">
      <c r="C240" s="382"/>
    </row>
    <row r="241" ht="12.75">
      <c r="C241" s="382"/>
    </row>
    <row r="242" ht="12.75">
      <c r="C242" s="382"/>
    </row>
    <row r="243" ht="12.75">
      <c r="C243" s="382"/>
    </row>
    <row r="244" ht="12.75">
      <c r="C244" s="382"/>
    </row>
    <row r="245" ht="12.75">
      <c r="C245" s="382"/>
    </row>
    <row r="246" ht="12.75">
      <c r="C246" s="382"/>
    </row>
    <row r="247" ht="12.75">
      <c r="C247" s="382"/>
    </row>
    <row r="248" ht="12.75">
      <c r="C248" s="382"/>
    </row>
    <row r="249" ht="12.75">
      <c r="C249" s="382"/>
    </row>
    <row r="250" ht="12.75">
      <c r="C250" s="382"/>
    </row>
    <row r="251" ht="12.75">
      <c r="C251" s="382"/>
    </row>
    <row r="252" ht="12.75">
      <c r="C252" s="382"/>
    </row>
    <row r="253" ht="12.75">
      <c r="C253" s="382"/>
    </row>
    <row r="254" ht="12.75">
      <c r="C254" s="382"/>
    </row>
    <row r="255" ht="12.75">
      <c r="C255" s="382"/>
    </row>
    <row r="256" ht="12.75">
      <c r="C256" s="382"/>
    </row>
    <row r="257" ht="12.75">
      <c r="C257" s="382"/>
    </row>
    <row r="258" ht="12.75">
      <c r="C258" s="382"/>
    </row>
    <row r="259" ht="12.75">
      <c r="C259" s="382"/>
    </row>
    <row r="260" ht="12.75">
      <c r="C260" s="382"/>
    </row>
    <row r="261" ht="12.75">
      <c r="C261" s="382"/>
    </row>
    <row r="262" ht="12.75">
      <c r="C262" s="382"/>
    </row>
    <row r="263" ht="12.75">
      <c r="C263" s="382"/>
    </row>
    <row r="264" ht="12.75">
      <c r="C264" s="382"/>
    </row>
    <row r="265" ht="12.75">
      <c r="C265" s="382"/>
    </row>
    <row r="266" ht="12.75">
      <c r="C266" s="382"/>
    </row>
    <row r="267" ht="12.75">
      <c r="C267" s="382"/>
    </row>
    <row r="268" ht="12.75">
      <c r="C268" s="382"/>
    </row>
    <row r="269" ht="12.75">
      <c r="C269" s="382"/>
    </row>
    <row r="270" ht="12.75">
      <c r="C270" s="382"/>
    </row>
    <row r="271" ht="12.75">
      <c r="C271" s="382"/>
    </row>
    <row r="272" ht="12.75">
      <c r="C272" s="382"/>
    </row>
    <row r="273" ht="12.75">
      <c r="C273" s="382"/>
    </row>
    <row r="274" ht="12.75">
      <c r="C274" s="382"/>
    </row>
    <row r="275" ht="12.75">
      <c r="C275" s="382"/>
    </row>
    <row r="276" ht="12.75">
      <c r="C276" s="382"/>
    </row>
    <row r="277" ht="12.75">
      <c r="C277" s="382"/>
    </row>
    <row r="278" ht="12.75">
      <c r="C278" s="382"/>
    </row>
    <row r="279" ht="12.75">
      <c r="C279" s="382"/>
    </row>
    <row r="280" ht="12.75">
      <c r="C280" s="382"/>
    </row>
    <row r="281" ht="12.75">
      <c r="C281" s="382"/>
    </row>
    <row r="282" ht="12.75">
      <c r="C282" s="382"/>
    </row>
    <row r="283" ht="12.75">
      <c r="C283" s="382"/>
    </row>
    <row r="284" ht="12.75">
      <c r="C284" s="382"/>
    </row>
    <row r="285" ht="12.75">
      <c r="C285" s="382"/>
    </row>
    <row r="286" ht="12.75">
      <c r="C286" s="382"/>
    </row>
    <row r="287" ht="12.75">
      <c r="C287" s="382"/>
    </row>
    <row r="288" ht="12.75">
      <c r="C288" s="382"/>
    </row>
    <row r="289" ht="12.75">
      <c r="C289" s="382"/>
    </row>
    <row r="290" ht="12.75">
      <c r="C290" s="382"/>
    </row>
    <row r="291" ht="12.75">
      <c r="C291" s="382"/>
    </row>
    <row r="292" ht="12.75">
      <c r="C292" s="382"/>
    </row>
    <row r="293" ht="12.75">
      <c r="C293" s="382"/>
    </row>
    <row r="294" ht="12.75">
      <c r="C294" s="382"/>
    </row>
    <row r="295" ht="12.75">
      <c r="C295" s="382"/>
    </row>
    <row r="296" ht="12.75">
      <c r="C296" s="382"/>
    </row>
    <row r="297" ht="12.75">
      <c r="C297" s="382"/>
    </row>
    <row r="298" ht="12.75">
      <c r="C298" s="382"/>
    </row>
    <row r="299" ht="12.75">
      <c r="C299" s="382"/>
    </row>
    <row r="300" ht="12.75">
      <c r="C300" s="382"/>
    </row>
    <row r="301" ht="12.75">
      <c r="C301" s="382"/>
    </row>
    <row r="302" ht="12.75">
      <c r="C302" s="382"/>
    </row>
    <row r="303" ht="12.75">
      <c r="C303" s="382"/>
    </row>
    <row r="304" ht="12.75">
      <c r="C304" s="382"/>
    </row>
    <row r="305" ht="12.75">
      <c r="C305" s="382"/>
    </row>
    <row r="306" ht="12.75">
      <c r="C306" s="382"/>
    </row>
    <row r="307" ht="12.75">
      <c r="C307" s="382"/>
    </row>
    <row r="308" ht="12.75">
      <c r="C308" s="382"/>
    </row>
    <row r="309" ht="12.75">
      <c r="C309" s="382"/>
    </row>
    <row r="310" ht="12.75">
      <c r="C310" s="382"/>
    </row>
    <row r="311" ht="12.75">
      <c r="C311" s="382"/>
    </row>
    <row r="312" ht="12.75">
      <c r="C312" s="382"/>
    </row>
    <row r="313" ht="12.75">
      <c r="C313" s="382"/>
    </row>
    <row r="314" ht="12.75">
      <c r="C314" s="382"/>
    </row>
    <row r="315" ht="12.75">
      <c r="C315" s="382"/>
    </row>
    <row r="316" ht="12.75">
      <c r="C316" s="382"/>
    </row>
    <row r="317" ht="12.75">
      <c r="C317" s="382"/>
    </row>
    <row r="318" ht="12.75">
      <c r="C318" s="382"/>
    </row>
    <row r="319" ht="12.75">
      <c r="C319" s="382"/>
    </row>
    <row r="320" ht="12.75">
      <c r="C320" s="382"/>
    </row>
    <row r="321" ht="12.75">
      <c r="C321" s="382"/>
    </row>
    <row r="322" ht="12.75">
      <c r="C322" s="382"/>
    </row>
    <row r="323" ht="12.75">
      <c r="C323" s="382"/>
    </row>
    <row r="324" ht="12.75">
      <c r="C324" s="382"/>
    </row>
    <row r="325" ht="12.75">
      <c r="C325" s="382"/>
    </row>
    <row r="326" ht="12.75">
      <c r="C326" s="382"/>
    </row>
    <row r="327" ht="12.75">
      <c r="C327" s="382"/>
    </row>
    <row r="328" ht="12.75">
      <c r="C328" s="382"/>
    </row>
    <row r="329" ht="12.75">
      <c r="C329" s="382"/>
    </row>
    <row r="330" ht="12.75">
      <c r="C330" s="382"/>
    </row>
    <row r="331" ht="12.75">
      <c r="C331" s="382"/>
    </row>
    <row r="332" ht="12.75">
      <c r="C332" s="382"/>
    </row>
    <row r="333" ht="12.75">
      <c r="C333" s="382"/>
    </row>
    <row r="334" ht="12.75">
      <c r="C334" s="382"/>
    </row>
    <row r="335" ht="12.75">
      <c r="C335" s="382"/>
    </row>
    <row r="336" ht="12.75">
      <c r="C336" s="382"/>
    </row>
    <row r="337" ht="12.75">
      <c r="C337" s="382"/>
    </row>
    <row r="338" ht="12.75">
      <c r="C338" s="382"/>
    </row>
    <row r="339" ht="12.75">
      <c r="C339" s="382"/>
    </row>
    <row r="340" ht="12.75">
      <c r="C340" s="382"/>
    </row>
    <row r="341" ht="12.75">
      <c r="C341" s="382"/>
    </row>
    <row r="342" ht="12.75">
      <c r="C342" s="382"/>
    </row>
    <row r="343" ht="12.75">
      <c r="C343" s="382"/>
    </row>
    <row r="344" ht="12.75">
      <c r="C344" s="382"/>
    </row>
    <row r="345" ht="12.75">
      <c r="C345" s="382"/>
    </row>
    <row r="346" ht="12.75">
      <c r="C346" s="382"/>
    </row>
    <row r="347" ht="12.75">
      <c r="C347" s="382"/>
    </row>
    <row r="348" ht="12.75">
      <c r="C348" s="382"/>
    </row>
    <row r="349" ht="12.75">
      <c r="C349" s="382"/>
    </row>
    <row r="350" ht="12.75">
      <c r="C350" s="382"/>
    </row>
    <row r="351" ht="12.75">
      <c r="C351" s="382"/>
    </row>
    <row r="352" ht="12.75">
      <c r="C352" s="382"/>
    </row>
    <row r="353" ht="12.75">
      <c r="C353" s="382"/>
    </row>
    <row r="354" ht="12.75">
      <c r="C354" s="382"/>
    </row>
    <row r="355" ht="12.75">
      <c r="C355" s="382"/>
    </row>
    <row r="356" ht="12.75">
      <c r="C356" s="382"/>
    </row>
    <row r="357" ht="12.75">
      <c r="C357" s="382"/>
    </row>
    <row r="358" ht="12.75">
      <c r="C358" s="382"/>
    </row>
    <row r="359" ht="12.75">
      <c r="C359" s="382"/>
    </row>
    <row r="360" ht="12.75">
      <c r="C360" s="382"/>
    </row>
    <row r="361" ht="12.75">
      <c r="C361" s="382"/>
    </row>
    <row r="362" ht="12.75">
      <c r="C362" s="382"/>
    </row>
    <row r="363" ht="12.75">
      <c r="C363" s="382"/>
    </row>
    <row r="364" ht="12.75">
      <c r="C364" s="382"/>
    </row>
    <row r="365" ht="12.75">
      <c r="C365" s="382"/>
    </row>
    <row r="366" ht="12.75">
      <c r="C366" s="382"/>
    </row>
    <row r="367" ht="12.75">
      <c r="C367" s="382"/>
    </row>
    <row r="368" ht="12.75">
      <c r="C368" s="382"/>
    </row>
    <row r="369" ht="12.75">
      <c r="C369" s="382"/>
    </row>
    <row r="370" ht="12.75">
      <c r="C370" s="382"/>
    </row>
    <row r="371" ht="12.75">
      <c r="C371" s="382"/>
    </row>
    <row r="372" ht="12.75">
      <c r="C372" s="382"/>
    </row>
    <row r="373" ht="12.75">
      <c r="C373" s="382"/>
    </row>
    <row r="374" ht="12.75">
      <c r="C374" s="382"/>
    </row>
    <row r="375" ht="12.75">
      <c r="C375" s="382"/>
    </row>
    <row r="376" ht="12.75">
      <c r="C376" s="382"/>
    </row>
    <row r="377" ht="12.75">
      <c r="C377" s="382"/>
    </row>
    <row r="378" ht="12.75">
      <c r="C378" s="382"/>
    </row>
    <row r="379" ht="12.75">
      <c r="C379" s="382"/>
    </row>
    <row r="380" ht="12.75">
      <c r="C380" s="382"/>
    </row>
    <row r="381" ht="12.75">
      <c r="C381" s="382"/>
    </row>
    <row r="382" ht="12.75">
      <c r="C382" s="382"/>
    </row>
    <row r="383" ht="12.75">
      <c r="C383" s="382"/>
    </row>
    <row r="384" ht="12.75">
      <c r="C384" s="382"/>
    </row>
    <row r="385" ht="12.75">
      <c r="C385" s="382"/>
    </row>
    <row r="386" ht="12.75">
      <c r="C386" s="382"/>
    </row>
    <row r="387" ht="12.75">
      <c r="C387" s="382"/>
    </row>
    <row r="388" ht="12.75">
      <c r="C388" s="382"/>
    </row>
    <row r="389" ht="12.75">
      <c r="C389" s="382"/>
    </row>
    <row r="390" ht="12.75">
      <c r="C390" s="382"/>
    </row>
    <row r="391" ht="12.75">
      <c r="C391" s="382"/>
    </row>
    <row r="392" ht="12.75">
      <c r="C392" s="382"/>
    </row>
    <row r="393" ht="12.75">
      <c r="C393" s="382"/>
    </row>
    <row r="394" ht="12.75">
      <c r="C394" s="382"/>
    </row>
    <row r="395" ht="12.75">
      <c r="C395" s="382"/>
    </row>
    <row r="396" ht="12.75">
      <c r="C396" s="382"/>
    </row>
    <row r="397" ht="12.75">
      <c r="C397" s="382"/>
    </row>
    <row r="398" ht="12.75">
      <c r="C398" s="382"/>
    </row>
    <row r="399" ht="12.75">
      <c r="C399" s="382"/>
    </row>
    <row r="400" ht="12.75">
      <c r="C400" s="382"/>
    </row>
    <row r="401" ht="12.75">
      <c r="C401" s="382"/>
    </row>
    <row r="402" ht="12.75">
      <c r="C402" s="382"/>
    </row>
    <row r="403" ht="12.75">
      <c r="C403" s="382"/>
    </row>
    <row r="404" ht="12.75">
      <c r="C404" s="382"/>
    </row>
    <row r="405" ht="12.75">
      <c r="C405" s="382"/>
    </row>
    <row r="406" ht="12.75">
      <c r="C406" s="382"/>
    </row>
    <row r="407" ht="12.75">
      <c r="C407" s="382"/>
    </row>
    <row r="408" ht="12.75">
      <c r="C408" s="382"/>
    </row>
    <row r="409" ht="12.75">
      <c r="C409" s="382"/>
    </row>
    <row r="410" ht="12.75">
      <c r="C410" s="382"/>
    </row>
    <row r="411" ht="12.75">
      <c r="C411" s="382"/>
    </row>
    <row r="412" ht="12.75">
      <c r="C412" s="382"/>
    </row>
    <row r="413" ht="12.75">
      <c r="C413" s="382"/>
    </row>
    <row r="414" ht="12.75">
      <c r="C414" s="382"/>
    </row>
    <row r="415" ht="12.75">
      <c r="C415" s="382"/>
    </row>
    <row r="416" ht="12.75">
      <c r="C416" s="382"/>
    </row>
    <row r="417" ht="12.75">
      <c r="C417" s="382"/>
    </row>
    <row r="418" ht="12.75">
      <c r="C418" s="382"/>
    </row>
    <row r="419" ht="12.75">
      <c r="C419" s="382"/>
    </row>
    <row r="420" ht="12.75">
      <c r="C420" s="382"/>
    </row>
    <row r="421" ht="12.75">
      <c r="C421" s="382"/>
    </row>
    <row r="422" ht="12.75">
      <c r="C422" s="382"/>
    </row>
    <row r="423" ht="12.75">
      <c r="C423" s="382"/>
    </row>
    <row r="424" ht="12.75">
      <c r="C424" s="382"/>
    </row>
    <row r="425" ht="12.75">
      <c r="C425" s="382"/>
    </row>
    <row r="426" ht="12.75">
      <c r="C426" s="382"/>
    </row>
    <row r="427" ht="12.75">
      <c r="C427" s="382"/>
    </row>
    <row r="428" ht="12.75">
      <c r="C428" s="382"/>
    </row>
    <row r="429" ht="12.75">
      <c r="C429" s="382"/>
    </row>
    <row r="430" ht="12.75">
      <c r="C430" s="382"/>
    </row>
    <row r="431" ht="12.75">
      <c r="C431" s="382"/>
    </row>
    <row r="432" ht="12.75">
      <c r="C432" s="382"/>
    </row>
    <row r="433" ht="12.75">
      <c r="C433" s="382"/>
    </row>
    <row r="434" ht="12.75">
      <c r="C434" s="382"/>
    </row>
    <row r="435" ht="12.75">
      <c r="C435" s="382"/>
    </row>
    <row r="436" ht="12.75">
      <c r="C436" s="382"/>
    </row>
    <row r="437" ht="12.75">
      <c r="C437" s="382"/>
    </row>
    <row r="438" ht="12.75">
      <c r="C438" s="382"/>
    </row>
    <row r="439" ht="12.75">
      <c r="C439" s="382"/>
    </row>
    <row r="440" ht="12.75">
      <c r="C440" s="382"/>
    </row>
    <row r="441" ht="12.75">
      <c r="C441" s="382"/>
    </row>
    <row r="442" ht="12.75">
      <c r="C442" s="382"/>
    </row>
    <row r="443" ht="12.75">
      <c r="C443" s="382"/>
    </row>
    <row r="444" ht="12.75">
      <c r="C444" s="382"/>
    </row>
    <row r="445" ht="12.75">
      <c r="C445" s="382"/>
    </row>
    <row r="446" ht="12.75">
      <c r="C446" s="382"/>
    </row>
    <row r="447" ht="12.75">
      <c r="C447" s="382"/>
    </row>
    <row r="448" ht="12.75">
      <c r="C448" s="382"/>
    </row>
    <row r="449" ht="12.75">
      <c r="C449" s="382"/>
    </row>
    <row r="450" ht="12.75">
      <c r="C450" s="382"/>
    </row>
    <row r="451" ht="12.75">
      <c r="C451" s="382"/>
    </row>
    <row r="452" ht="12.75">
      <c r="C452" s="382"/>
    </row>
    <row r="453" ht="12.75">
      <c r="C453" s="382"/>
    </row>
    <row r="454" ht="12.75">
      <c r="C454" s="382"/>
    </row>
    <row r="455" ht="12.75">
      <c r="C455" s="382"/>
    </row>
    <row r="456" ht="12.75">
      <c r="C456" s="382"/>
    </row>
    <row r="457" ht="12.75">
      <c r="C457" s="382"/>
    </row>
    <row r="458" ht="12.75">
      <c r="C458" s="382"/>
    </row>
    <row r="459" ht="12.75">
      <c r="C459" s="382"/>
    </row>
    <row r="460" ht="12.75">
      <c r="C460" s="382"/>
    </row>
    <row r="461" ht="12.75">
      <c r="C461" s="382"/>
    </row>
    <row r="462" ht="12.75">
      <c r="C462" s="382"/>
    </row>
    <row r="463" ht="12.75">
      <c r="C463" s="382"/>
    </row>
    <row r="464" ht="12.75">
      <c r="C464" s="382"/>
    </row>
    <row r="465" ht="12.75">
      <c r="C465" s="382"/>
    </row>
    <row r="466" ht="12.75">
      <c r="C466" s="382"/>
    </row>
    <row r="467" ht="12.75">
      <c r="C467" s="382"/>
    </row>
    <row r="468" ht="12.75">
      <c r="C468" s="382"/>
    </row>
    <row r="469" ht="12.75">
      <c r="C469" s="382"/>
    </row>
    <row r="470" ht="12.75">
      <c r="C470" s="382"/>
    </row>
    <row r="471" ht="12.75">
      <c r="C471" s="382"/>
    </row>
    <row r="472" ht="12.75">
      <c r="C472" s="382"/>
    </row>
    <row r="473" ht="12.75">
      <c r="C473" s="382"/>
    </row>
    <row r="474" ht="12.75">
      <c r="C474" s="382"/>
    </row>
    <row r="475" ht="12.75">
      <c r="C475" s="382"/>
    </row>
    <row r="476" ht="12.75">
      <c r="C476" s="382"/>
    </row>
    <row r="477" ht="12.75">
      <c r="C477" s="382"/>
    </row>
    <row r="478" ht="12.75">
      <c r="C478" s="382"/>
    </row>
    <row r="479" ht="12.75">
      <c r="C479" s="382"/>
    </row>
    <row r="480" ht="12.75">
      <c r="C480" s="382"/>
    </row>
    <row r="481" ht="12.75">
      <c r="C481" s="382"/>
    </row>
    <row r="482" ht="12.75">
      <c r="C482" s="382"/>
    </row>
    <row r="483" ht="12.75">
      <c r="C483" s="382"/>
    </row>
    <row r="484" ht="12.75">
      <c r="C484" s="382"/>
    </row>
    <row r="485" ht="12.75">
      <c r="C485" s="382"/>
    </row>
    <row r="486" ht="12.75">
      <c r="C486" s="382"/>
    </row>
    <row r="487" ht="12.75">
      <c r="C487" s="382"/>
    </row>
    <row r="488" ht="12.75">
      <c r="C488" s="382"/>
    </row>
    <row r="489" ht="12.75">
      <c r="C489" s="382"/>
    </row>
    <row r="490" ht="12.75">
      <c r="C490" s="382"/>
    </row>
    <row r="491" ht="12.75">
      <c r="C491" s="382"/>
    </row>
    <row r="492" ht="12.75">
      <c r="C492" s="382"/>
    </row>
    <row r="493" ht="12.75">
      <c r="C493" s="382"/>
    </row>
    <row r="494" ht="12.75">
      <c r="C494" s="382"/>
    </row>
    <row r="495" ht="12.75">
      <c r="C495" s="382"/>
    </row>
    <row r="496" ht="12.75">
      <c r="C496" s="382"/>
    </row>
    <row r="497" ht="12.75">
      <c r="C497" s="382"/>
    </row>
    <row r="498" ht="12.75">
      <c r="C498" s="382"/>
    </row>
    <row r="499" ht="12.75">
      <c r="C499" s="382"/>
    </row>
    <row r="500" ht="12.75">
      <c r="C500" s="382"/>
    </row>
    <row r="501" ht="12.75">
      <c r="C501" s="382"/>
    </row>
    <row r="502" ht="12.75">
      <c r="C502" s="382"/>
    </row>
    <row r="503" ht="12.75">
      <c r="C503" s="382"/>
    </row>
    <row r="504" ht="12.75">
      <c r="C504" s="382"/>
    </row>
    <row r="505" ht="12.75">
      <c r="C505" s="382"/>
    </row>
    <row r="506" ht="12.75">
      <c r="C506" s="382"/>
    </row>
    <row r="507" ht="12.75">
      <c r="C507" s="382"/>
    </row>
    <row r="508" ht="12.75">
      <c r="C508" s="382"/>
    </row>
    <row r="509" ht="12.75">
      <c r="C509" s="382"/>
    </row>
    <row r="510" ht="12.75">
      <c r="C510" s="382"/>
    </row>
    <row r="511" ht="12.75">
      <c r="C511" s="382"/>
    </row>
    <row r="512" ht="12.75">
      <c r="C512" s="382"/>
    </row>
    <row r="513" ht="12.75">
      <c r="C513" s="382"/>
    </row>
    <row r="514" ht="12.75">
      <c r="C514" s="382"/>
    </row>
    <row r="515" ht="12.75">
      <c r="C515" s="382"/>
    </row>
    <row r="516" ht="12.75">
      <c r="C516" s="382"/>
    </row>
    <row r="517" ht="12.75">
      <c r="C517" s="382"/>
    </row>
    <row r="518" ht="12.75">
      <c r="C518" s="382"/>
    </row>
    <row r="519" ht="12.75">
      <c r="C519" s="382"/>
    </row>
    <row r="520" ht="12.75">
      <c r="C520" s="382"/>
    </row>
    <row r="521" ht="12.75">
      <c r="C521" s="382"/>
    </row>
    <row r="522" ht="12.75">
      <c r="C522" s="382"/>
    </row>
    <row r="523" ht="12.75">
      <c r="C523" s="382"/>
    </row>
    <row r="524" ht="12.75">
      <c r="C524" s="382"/>
    </row>
    <row r="525" ht="12.75">
      <c r="C525" s="382"/>
    </row>
    <row r="526" ht="12.75">
      <c r="C526" s="382"/>
    </row>
    <row r="527" ht="12.75">
      <c r="C527" s="382"/>
    </row>
    <row r="528" ht="12.75">
      <c r="C528" s="382"/>
    </row>
    <row r="529" ht="12.75">
      <c r="C529" s="382"/>
    </row>
    <row r="530" ht="12.75">
      <c r="C530" s="382"/>
    </row>
    <row r="531" ht="12.75">
      <c r="C531" s="382"/>
    </row>
    <row r="532" ht="12.75">
      <c r="C532" s="382"/>
    </row>
    <row r="533" ht="12.75">
      <c r="C533" s="382"/>
    </row>
    <row r="534" ht="12.75">
      <c r="C534" s="382"/>
    </row>
    <row r="535" ht="12.75">
      <c r="C535" s="382"/>
    </row>
    <row r="536" ht="12.75">
      <c r="C536" s="382"/>
    </row>
    <row r="537" ht="12.75">
      <c r="C537" s="382"/>
    </row>
    <row r="538" ht="12.75">
      <c r="C538" s="382"/>
    </row>
    <row r="539" ht="12.75">
      <c r="C539" s="382"/>
    </row>
    <row r="540" ht="12.75">
      <c r="C540" s="382"/>
    </row>
    <row r="541" ht="12.75">
      <c r="C541" s="382"/>
    </row>
    <row r="542" ht="12.75">
      <c r="C542" s="382"/>
    </row>
    <row r="543" ht="12.75">
      <c r="C543" s="382"/>
    </row>
    <row r="544" ht="12.75">
      <c r="C544" s="382"/>
    </row>
    <row r="545" ht="12.75">
      <c r="C545" s="382"/>
    </row>
    <row r="546" ht="12.75">
      <c r="C546" s="382"/>
    </row>
    <row r="547" ht="12.75">
      <c r="C547" s="382"/>
    </row>
    <row r="548" ht="12.75">
      <c r="C548" s="382"/>
    </row>
    <row r="549" ht="12.75">
      <c r="C549" s="382"/>
    </row>
    <row r="550" ht="12.75">
      <c r="C550" s="382"/>
    </row>
    <row r="551" ht="12.75">
      <c r="C551" s="382"/>
    </row>
    <row r="552" ht="12.75">
      <c r="C552" s="382"/>
    </row>
    <row r="553" ht="12.75">
      <c r="C553" s="382"/>
    </row>
    <row r="554" ht="12.75">
      <c r="C554" s="382"/>
    </row>
    <row r="555" ht="12.75">
      <c r="C555" s="382"/>
    </row>
    <row r="556" ht="12.75">
      <c r="C556" s="382"/>
    </row>
    <row r="557" ht="12.75">
      <c r="C557" s="382"/>
    </row>
    <row r="558" ht="12.75">
      <c r="C558" s="382"/>
    </row>
    <row r="559" ht="12.75">
      <c r="C559" s="382"/>
    </row>
    <row r="560" ht="12.75">
      <c r="C560" s="382"/>
    </row>
    <row r="561" ht="12.75">
      <c r="C561" s="382"/>
    </row>
    <row r="562" ht="12.75">
      <c r="C562" s="382"/>
    </row>
    <row r="563" ht="12.75">
      <c r="C563" s="382"/>
    </row>
    <row r="564" ht="12.75">
      <c r="C564" s="382"/>
    </row>
    <row r="565" ht="12.75">
      <c r="C565" s="382"/>
    </row>
    <row r="566" ht="12.75">
      <c r="C566" s="382"/>
    </row>
    <row r="567" ht="12.75">
      <c r="C567" s="382"/>
    </row>
    <row r="568" ht="12.75">
      <c r="C568" s="382"/>
    </row>
    <row r="569" ht="12.75">
      <c r="C569" s="382"/>
    </row>
    <row r="570" ht="12.75">
      <c r="C570" s="382"/>
    </row>
    <row r="571" ht="12.75">
      <c r="C571" s="382"/>
    </row>
    <row r="572" ht="12.75">
      <c r="C572" s="382"/>
    </row>
    <row r="573" ht="12.75">
      <c r="C573" s="382"/>
    </row>
    <row r="574" ht="12.75">
      <c r="C574" s="382"/>
    </row>
    <row r="575" ht="12.75">
      <c r="C575" s="382"/>
    </row>
    <row r="576" ht="12.75">
      <c r="C576" s="382"/>
    </row>
    <row r="577" ht="12.75">
      <c r="C577" s="382"/>
    </row>
    <row r="578" ht="12.75">
      <c r="C578" s="382"/>
    </row>
    <row r="579" ht="12.75">
      <c r="C579" s="382"/>
    </row>
    <row r="580" ht="12.75">
      <c r="C580" s="382"/>
    </row>
    <row r="581" ht="12.75">
      <c r="C581" s="382"/>
    </row>
    <row r="582" ht="12.75">
      <c r="C582" s="382"/>
    </row>
    <row r="583" ht="12.75">
      <c r="C583" s="382"/>
    </row>
    <row r="584" ht="12.75">
      <c r="C584" s="382"/>
    </row>
    <row r="585" ht="12.75">
      <c r="C585" s="382"/>
    </row>
    <row r="586" ht="12.75">
      <c r="C586" s="382"/>
    </row>
    <row r="587" ht="12.75">
      <c r="C587" s="382"/>
    </row>
    <row r="588" ht="12.75">
      <c r="C588" s="382"/>
    </row>
    <row r="589" ht="12.75">
      <c r="C589" s="382"/>
    </row>
    <row r="590" ht="12.75">
      <c r="C590" s="382"/>
    </row>
    <row r="591" ht="12.75">
      <c r="C591" s="382"/>
    </row>
    <row r="592" ht="12.75">
      <c r="C592" s="382"/>
    </row>
    <row r="593" ht="12.75">
      <c r="C593" s="382"/>
    </row>
    <row r="594" ht="12.75">
      <c r="C594" s="382"/>
    </row>
    <row r="595" ht="12.75">
      <c r="C595" s="382"/>
    </row>
    <row r="596" ht="12.75">
      <c r="C596" s="382"/>
    </row>
    <row r="597" ht="12.75">
      <c r="C597" s="382"/>
    </row>
    <row r="598" ht="12.75">
      <c r="C598" s="382"/>
    </row>
    <row r="599" ht="12.75">
      <c r="C599" s="382"/>
    </row>
    <row r="600" ht="12.75">
      <c r="C600" s="382"/>
    </row>
    <row r="601" ht="12.75">
      <c r="C601" s="382"/>
    </row>
    <row r="602" ht="12.75">
      <c r="C602" s="382"/>
    </row>
    <row r="603" ht="12.75">
      <c r="C603" s="382"/>
    </row>
    <row r="604" ht="12.75">
      <c r="C604" s="382"/>
    </row>
    <row r="605" ht="12.75">
      <c r="C605" s="382"/>
    </row>
    <row r="606" ht="12.75">
      <c r="C606" s="382"/>
    </row>
    <row r="607" ht="12.75">
      <c r="C607" s="382"/>
    </row>
    <row r="608" ht="12.75">
      <c r="C608" s="382"/>
    </row>
    <row r="609" ht="12.75">
      <c r="C609" s="382"/>
    </row>
    <row r="610" ht="12.75">
      <c r="C610" s="382"/>
    </row>
    <row r="611" ht="12.75">
      <c r="C611" s="382"/>
    </row>
    <row r="612" ht="12.75">
      <c r="C612" s="382"/>
    </row>
    <row r="613" ht="12.75">
      <c r="C613" s="382"/>
    </row>
    <row r="614" ht="12.75">
      <c r="C614" s="382"/>
    </row>
    <row r="615" ht="12.75">
      <c r="C615" s="382"/>
    </row>
    <row r="616" ht="12.75">
      <c r="C616" s="382"/>
    </row>
    <row r="617" ht="12.75">
      <c r="C617" s="382"/>
    </row>
    <row r="618" ht="12.75">
      <c r="C618" s="382"/>
    </row>
    <row r="619" ht="12.75">
      <c r="C619" s="382"/>
    </row>
    <row r="620" ht="12.75">
      <c r="C620" s="382"/>
    </row>
    <row r="621" ht="12.75">
      <c r="C621" s="382"/>
    </row>
    <row r="622" ht="12.75">
      <c r="C622" s="382"/>
    </row>
    <row r="623" ht="12.75">
      <c r="C623" s="382"/>
    </row>
    <row r="624" ht="12.75">
      <c r="C624" s="382"/>
    </row>
    <row r="625" ht="12.75">
      <c r="C625" s="382"/>
    </row>
    <row r="626" ht="12.75">
      <c r="C626" s="382"/>
    </row>
    <row r="627" ht="12.75">
      <c r="C627" s="382"/>
    </row>
    <row r="628" ht="12.75">
      <c r="C628" s="382"/>
    </row>
    <row r="629" ht="12.75">
      <c r="C629" s="382"/>
    </row>
    <row r="630" ht="12.75">
      <c r="C630" s="382"/>
    </row>
    <row r="631" ht="12.75">
      <c r="C631" s="382"/>
    </row>
    <row r="632" ht="12.75">
      <c r="C632" s="382"/>
    </row>
    <row r="633" ht="12.75">
      <c r="C633" s="382"/>
    </row>
    <row r="634" ht="12.75">
      <c r="C634" s="382"/>
    </row>
    <row r="635" ht="12.75">
      <c r="C635" s="382"/>
    </row>
    <row r="636" ht="12.75">
      <c r="C636" s="382"/>
    </row>
    <row r="637" ht="12.75">
      <c r="C637" s="382"/>
    </row>
    <row r="638" ht="12.75">
      <c r="C638" s="382"/>
    </row>
    <row r="639" ht="12.75">
      <c r="C639" s="382"/>
    </row>
    <row r="640" ht="12.75">
      <c r="C640" s="382"/>
    </row>
    <row r="641" ht="12.75">
      <c r="C641" s="382"/>
    </row>
    <row r="642" ht="12.75">
      <c r="C642" s="382"/>
    </row>
    <row r="643" ht="12.75">
      <c r="C643" s="382"/>
    </row>
    <row r="644" ht="12.75">
      <c r="C644" s="382"/>
    </row>
    <row r="645" ht="12.75">
      <c r="C645" s="382"/>
    </row>
    <row r="646" ht="12.75">
      <c r="C646" s="382"/>
    </row>
    <row r="647" ht="12.75">
      <c r="C647" s="382"/>
    </row>
    <row r="648" ht="12.75">
      <c r="C648" s="382"/>
    </row>
    <row r="649" ht="12.75">
      <c r="C649" s="382"/>
    </row>
    <row r="650" ht="12.75">
      <c r="C650" s="382"/>
    </row>
    <row r="651" ht="12.75">
      <c r="C651" s="382"/>
    </row>
    <row r="652" ht="12.75">
      <c r="C652" s="382"/>
    </row>
    <row r="653" ht="12.75">
      <c r="C653" s="382"/>
    </row>
    <row r="654" ht="12.75">
      <c r="C654" s="382"/>
    </row>
    <row r="655" ht="12.75">
      <c r="C655" s="382"/>
    </row>
    <row r="656" ht="12.75">
      <c r="C656" s="382"/>
    </row>
    <row r="657" ht="12.75">
      <c r="C657" s="382"/>
    </row>
    <row r="658" ht="12.75">
      <c r="C658" s="382"/>
    </row>
    <row r="659" ht="12.75">
      <c r="C659" s="382"/>
    </row>
    <row r="660" ht="12.75">
      <c r="C660" s="382"/>
    </row>
    <row r="661" ht="12.75">
      <c r="C661" s="382"/>
    </row>
    <row r="662" ht="12.75">
      <c r="C662" s="382"/>
    </row>
    <row r="663" ht="12.75">
      <c r="C663" s="382"/>
    </row>
    <row r="664" ht="12.75">
      <c r="C664" s="382"/>
    </row>
    <row r="665" ht="12.75">
      <c r="C665" s="382"/>
    </row>
    <row r="666" ht="12.75">
      <c r="C666" s="382"/>
    </row>
    <row r="667" ht="12.75">
      <c r="C667" s="382"/>
    </row>
    <row r="668" ht="12.75">
      <c r="C668" s="382"/>
    </row>
    <row r="669" ht="12.75">
      <c r="C669" s="382"/>
    </row>
    <row r="670" ht="12.75">
      <c r="C670" s="382"/>
    </row>
    <row r="671" ht="12.75">
      <c r="C671" s="382"/>
    </row>
    <row r="672" ht="12.75">
      <c r="C672" s="382"/>
    </row>
    <row r="673" ht="12.75">
      <c r="C673" s="382"/>
    </row>
    <row r="674" ht="12.75">
      <c r="C674" s="382"/>
    </row>
    <row r="675" ht="12.75">
      <c r="C675" s="382"/>
    </row>
    <row r="676" ht="12.75">
      <c r="C676" s="382"/>
    </row>
    <row r="677" ht="12.75">
      <c r="C677" s="382"/>
    </row>
    <row r="678" ht="12.75">
      <c r="C678" s="382"/>
    </row>
    <row r="679" ht="12.75">
      <c r="C679" s="382"/>
    </row>
    <row r="680" ht="12.75">
      <c r="C680" s="382"/>
    </row>
    <row r="681" ht="12.75">
      <c r="C681" s="382"/>
    </row>
    <row r="682" ht="12.75">
      <c r="C682" s="382"/>
    </row>
    <row r="683" ht="12.75">
      <c r="C683" s="382"/>
    </row>
    <row r="684" ht="12.75">
      <c r="C684" s="382"/>
    </row>
    <row r="685" ht="12.75">
      <c r="C685" s="382"/>
    </row>
    <row r="686" ht="12.75">
      <c r="C686" s="382"/>
    </row>
    <row r="687" ht="12.75">
      <c r="C687" s="382"/>
    </row>
    <row r="688" ht="12.75">
      <c r="C688" s="382"/>
    </row>
    <row r="689" ht="12.75">
      <c r="C689" s="382"/>
    </row>
    <row r="690" ht="12.75">
      <c r="C690" s="382"/>
    </row>
    <row r="691" ht="12.75">
      <c r="C691" s="382"/>
    </row>
    <row r="692" ht="12.75">
      <c r="C692" s="382"/>
    </row>
    <row r="693" ht="12.75">
      <c r="C693" s="382"/>
    </row>
    <row r="694" ht="12.75">
      <c r="C694" s="382"/>
    </row>
    <row r="695" ht="12.75">
      <c r="C695" s="382"/>
    </row>
    <row r="696" ht="12.75">
      <c r="C696" s="382"/>
    </row>
    <row r="697" ht="12.75">
      <c r="C697" s="382"/>
    </row>
    <row r="698" ht="12.75">
      <c r="C698" s="382"/>
    </row>
    <row r="699" ht="12.75">
      <c r="C699" s="382"/>
    </row>
    <row r="700" ht="12.75">
      <c r="C700" s="382"/>
    </row>
    <row r="701" ht="12.75">
      <c r="C701" s="382"/>
    </row>
    <row r="702" ht="12.75">
      <c r="C702" s="382"/>
    </row>
    <row r="703" ht="12.75">
      <c r="C703" s="382"/>
    </row>
    <row r="704" ht="12.75">
      <c r="C704" s="382"/>
    </row>
    <row r="705" ht="12.75">
      <c r="C705" s="382"/>
    </row>
    <row r="706" ht="12.75">
      <c r="C706" s="382"/>
    </row>
    <row r="707" ht="12.75">
      <c r="C707" s="382"/>
    </row>
    <row r="708" ht="12.75">
      <c r="C708" s="382"/>
    </row>
    <row r="709" ht="12.75">
      <c r="C709" s="382"/>
    </row>
    <row r="710" ht="12.75">
      <c r="C710" s="382"/>
    </row>
    <row r="711" ht="12.75">
      <c r="C711" s="382"/>
    </row>
    <row r="712" ht="12.75">
      <c r="C712" s="382"/>
    </row>
    <row r="713" ht="12.75">
      <c r="C713" s="382"/>
    </row>
    <row r="714" ht="12.75">
      <c r="C714" s="382"/>
    </row>
    <row r="715" ht="12.75">
      <c r="C715" s="382"/>
    </row>
    <row r="716" ht="12.75">
      <c r="C716" s="382"/>
    </row>
    <row r="717" ht="12.75">
      <c r="C717" s="382"/>
    </row>
    <row r="718" ht="12.75">
      <c r="C718" s="382"/>
    </row>
    <row r="719" ht="12.75">
      <c r="C719" s="382"/>
    </row>
    <row r="720" ht="12.75">
      <c r="C720" s="382"/>
    </row>
    <row r="721" ht="12.75">
      <c r="C721" s="382"/>
    </row>
    <row r="722" ht="12.75">
      <c r="C722" s="382"/>
    </row>
    <row r="723" ht="12.75">
      <c r="C723" s="382"/>
    </row>
    <row r="724" ht="12.75">
      <c r="C724" s="382"/>
    </row>
    <row r="725" ht="12.75">
      <c r="C725" s="382"/>
    </row>
    <row r="726" ht="12.75">
      <c r="C726" s="382"/>
    </row>
    <row r="727" ht="12.75">
      <c r="C727" s="382"/>
    </row>
    <row r="728" ht="12.75">
      <c r="C728" s="382"/>
    </row>
    <row r="729" ht="12.75">
      <c r="C729" s="382"/>
    </row>
    <row r="730" ht="12.75">
      <c r="C730" s="382"/>
    </row>
    <row r="731" ht="12.75">
      <c r="C731" s="382"/>
    </row>
    <row r="732" ht="12.75">
      <c r="C732" s="382"/>
    </row>
    <row r="733" ht="12.75">
      <c r="C733" s="382"/>
    </row>
    <row r="734" ht="12.75">
      <c r="C734" s="382"/>
    </row>
    <row r="735" ht="12.75">
      <c r="C735" s="382"/>
    </row>
    <row r="736" ht="12.75">
      <c r="C736" s="382"/>
    </row>
    <row r="737" ht="12.75">
      <c r="C737" s="382"/>
    </row>
    <row r="738" ht="12.75">
      <c r="C738" s="382"/>
    </row>
    <row r="739" ht="12.75">
      <c r="C739" s="382"/>
    </row>
    <row r="740" ht="12.75">
      <c r="C740" s="382"/>
    </row>
    <row r="741" ht="12.75">
      <c r="C741" s="382"/>
    </row>
    <row r="742" ht="12.75">
      <c r="C742" s="382"/>
    </row>
    <row r="743" ht="12.75">
      <c r="C743" s="382"/>
    </row>
    <row r="744" ht="12.75">
      <c r="C744" s="382"/>
    </row>
    <row r="745" ht="12.75">
      <c r="C745" s="382"/>
    </row>
    <row r="746" ht="12.75">
      <c r="C746" s="382"/>
    </row>
    <row r="747" ht="12.75">
      <c r="C747" s="382"/>
    </row>
    <row r="748" ht="12.75">
      <c r="C748" s="382"/>
    </row>
    <row r="749" ht="12.75">
      <c r="C749" s="382"/>
    </row>
    <row r="750" ht="12.75">
      <c r="C750" s="382"/>
    </row>
    <row r="751" ht="12.75">
      <c r="C751" s="382"/>
    </row>
    <row r="752" ht="12.75">
      <c r="C752" s="382"/>
    </row>
    <row r="753" ht="12.75">
      <c r="C753" s="382"/>
    </row>
    <row r="754" ht="12.75">
      <c r="C754" s="382"/>
    </row>
    <row r="755" ht="12.75">
      <c r="C755" s="382"/>
    </row>
    <row r="756" ht="12.75">
      <c r="C756" s="382"/>
    </row>
    <row r="757" ht="12.75">
      <c r="C757" s="382"/>
    </row>
    <row r="758" ht="12.75">
      <c r="C758" s="382"/>
    </row>
    <row r="759" ht="12.75">
      <c r="C759" s="382"/>
    </row>
    <row r="760" ht="12.75">
      <c r="C760" s="382"/>
    </row>
    <row r="761" ht="12.75">
      <c r="C761" s="382"/>
    </row>
    <row r="762" ht="12.75">
      <c r="C762" s="382"/>
    </row>
    <row r="763" ht="12.75">
      <c r="C763" s="382"/>
    </row>
    <row r="764" ht="12.75">
      <c r="C764" s="382"/>
    </row>
    <row r="765" ht="12.75">
      <c r="C765" s="382"/>
    </row>
    <row r="766" ht="12.75">
      <c r="C766" s="382"/>
    </row>
    <row r="767" ht="12.75">
      <c r="C767" s="382"/>
    </row>
    <row r="768" ht="12.75">
      <c r="C768" s="382"/>
    </row>
    <row r="769" ht="12.75">
      <c r="C769" s="382"/>
    </row>
    <row r="770" ht="12.75">
      <c r="C770" s="382"/>
    </row>
    <row r="771" ht="12.75">
      <c r="C771" s="382"/>
    </row>
    <row r="772" ht="12.75">
      <c r="C772" s="382"/>
    </row>
    <row r="773" ht="12.75">
      <c r="C773" s="382"/>
    </row>
    <row r="774" ht="12.75">
      <c r="C774" s="382"/>
    </row>
    <row r="775" ht="12.75">
      <c r="C775" s="382"/>
    </row>
    <row r="776" ht="12.75">
      <c r="C776" s="382"/>
    </row>
    <row r="777" ht="12.75">
      <c r="C777" s="382"/>
    </row>
    <row r="778" ht="12.75">
      <c r="C778" s="382"/>
    </row>
    <row r="779" ht="12.75">
      <c r="C779" s="382"/>
    </row>
    <row r="780" ht="12.75">
      <c r="C780" s="382"/>
    </row>
    <row r="781" ht="12.75">
      <c r="C781" s="382"/>
    </row>
    <row r="782" ht="12.75">
      <c r="C782" s="382"/>
    </row>
    <row r="783" ht="12.75">
      <c r="C783" s="382"/>
    </row>
    <row r="784" ht="12.75">
      <c r="C784" s="382"/>
    </row>
    <row r="785" ht="12.75">
      <c r="C785" s="382"/>
    </row>
    <row r="786" ht="12.75">
      <c r="C786" s="382"/>
    </row>
    <row r="787" ht="12.75">
      <c r="C787" s="382"/>
    </row>
    <row r="788" ht="12.75">
      <c r="C788" s="382"/>
    </row>
    <row r="789" ht="12.75">
      <c r="C789" s="382"/>
    </row>
    <row r="790" ht="12.75">
      <c r="C790" s="382"/>
    </row>
    <row r="791" ht="12.75">
      <c r="C791" s="382"/>
    </row>
    <row r="792" ht="12.75">
      <c r="C792" s="382"/>
    </row>
    <row r="793" ht="12.75">
      <c r="C793" s="382"/>
    </row>
    <row r="794" ht="12.75">
      <c r="C794" s="382"/>
    </row>
    <row r="795" ht="12.75">
      <c r="C795" s="382"/>
    </row>
    <row r="796" ht="12.75">
      <c r="C796" s="382"/>
    </row>
    <row r="797" ht="12.75">
      <c r="C797" s="382"/>
    </row>
    <row r="798" ht="12.75">
      <c r="C798" s="382"/>
    </row>
    <row r="799" ht="12.75">
      <c r="C799" s="382"/>
    </row>
    <row r="800" ht="12.75">
      <c r="C800" s="382"/>
    </row>
    <row r="801" ht="12.75">
      <c r="C801" s="382"/>
    </row>
    <row r="802" ht="12.75">
      <c r="C802" s="382"/>
    </row>
    <row r="803" ht="12.75">
      <c r="C803" s="382"/>
    </row>
    <row r="804" ht="12.75">
      <c r="C804" s="382"/>
    </row>
    <row r="805" ht="12.75">
      <c r="C805" s="382"/>
    </row>
    <row r="806" ht="12.75">
      <c r="C806" s="382"/>
    </row>
    <row r="807" ht="12.75">
      <c r="C807" s="382"/>
    </row>
    <row r="808" ht="12.75">
      <c r="C808" s="382"/>
    </row>
    <row r="809" ht="12.75">
      <c r="C809" s="382"/>
    </row>
    <row r="810" ht="12.75">
      <c r="C810" s="382"/>
    </row>
    <row r="811" ht="12.75">
      <c r="C811" s="382"/>
    </row>
    <row r="812" ht="12.75">
      <c r="C812" s="382"/>
    </row>
    <row r="813" ht="12.75">
      <c r="C813" s="382"/>
    </row>
    <row r="814" ht="12.75">
      <c r="C814" s="382"/>
    </row>
    <row r="815" ht="12.75">
      <c r="C815" s="382"/>
    </row>
    <row r="816" ht="12.75">
      <c r="C816" s="382"/>
    </row>
    <row r="817" ht="12.75">
      <c r="C817" s="382"/>
    </row>
    <row r="818" ht="12.75">
      <c r="C818" s="382"/>
    </row>
    <row r="819" ht="12.75">
      <c r="C819" s="382"/>
    </row>
    <row r="820" ht="12.75">
      <c r="C820" s="382"/>
    </row>
    <row r="821" ht="12.75">
      <c r="C821" s="382"/>
    </row>
    <row r="822" ht="12.75">
      <c r="C822" s="382"/>
    </row>
    <row r="823" ht="12.75">
      <c r="C823" s="382"/>
    </row>
    <row r="824" ht="12.75">
      <c r="C824" s="382"/>
    </row>
    <row r="825" ht="12.75">
      <c r="C825" s="382"/>
    </row>
    <row r="826" ht="12.75">
      <c r="C826" s="382"/>
    </row>
    <row r="827" ht="12.75">
      <c r="C827" s="382"/>
    </row>
    <row r="828" ht="12.75">
      <c r="C828" s="382"/>
    </row>
    <row r="829" ht="12.75">
      <c r="C829" s="382"/>
    </row>
    <row r="830" ht="12.75">
      <c r="C830" s="382"/>
    </row>
    <row r="831" ht="12.75">
      <c r="C831" s="382"/>
    </row>
    <row r="832" ht="12.75">
      <c r="C832" s="382"/>
    </row>
    <row r="833" ht="12.75">
      <c r="C833" s="382"/>
    </row>
    <row r="834" ht="12.75">
      <c r="C834" s="382"/>
    </row>
    <row r="835" ht="12.75">
      <c r="C835" s="382"/>
    </row>
    <row r="836" ht="12.75">
      <c r="C836" s="382"/>
    </row>
    <row r="837" ht="12.75">
      <c r="C837" s="382"/>
    </row>
    <row r="838" ht="12.75">
      <c r="C838" s="382"/>
    </row>
    <row r="839" ht="12.75">
      <c r="C839" s="382"/>
    </row>
    <row r="840" ht="12.75">
      <c r="C840" s="382"/>
    </row>
    <row r="841" ht="12.75">
      <c r="C841" s="382"/>
    </row>
    <row r="842" ht="12.75">
      <c r="C842" s="382"/>
    </row>
    <row r="843" ht="12.75">
      <c r="C843" s="382"/>
    </row>
    <row r="844" ht="12.75">
      <c r="C844" s="382"/>
    </row>
    <row r="845" ht="12.75">
      <c r="C845" s="382"/>
    </row>
    <row r="846" ht="12.75">
      <c r="C846" s="382"/>
    </row>
    <row r="847" ht="12.75">
      <c r="C847" s="382"/>
    </row>
    <row r="848" ht="12.75">
      <c r="C848" s="382"/>
    </row>
    <row r="849" ht="12.75">
      <c r="C849" s="382"/>
    </row>
    <row r="850" ht="12.75">
      <c r="C850" s="382"/>
    </row>
    <row r="851" ht="12.75">
      <c r="C851" s="382"/>
    </row>
    <row r="852" ht="12.75">
      <c r="C852" s="382"/>
    </row>
    <row r="853" ht="12.75">
      <c r="C853" s="382"/>
    </row>
    <row r="854" ht="12.75">
      <c r="C854" s="382"/>
    </row>
    <row r="855" ht="12.75">
      <c r="C855" s="382"/>
    </row>
    <row r="856" ht="12.75">
      <c r="C856" s="382"/>
    </row>
    <row r="857" ht="12.75">
      <c r="C857" s="382"/>
    </row>
    <row r="858" ht="12.75">
      <c r="C858" s="382"/>
    </row>
    <row r="859" ht="12.75">
      <c r="C859" s="382"/>
    </row>
    <row r="860" ht="12.75">
      <c r="C860" s="382"/>
    </row>
    <row r="861" ht="12.75">
      <c r="C861" s="382"/>
    </row>
    <row r="862" ht="12.75">
      <c r="C862" s="382"/>
    </row>
    <row r="863" ht="12.75">
      <c r="C863" s="382"/>
    </row>
    <row r="864" ht="12.75">
      <c r="C864" s="382"/>
    </row>
    <row r="865" ht="12.75">
      <c r="C865" s="382"/>
    </row>
    <row r="866" ht="12.75">
      <c r="C866" s="382"/>
    </row>
    <row r="867" ht="12.75">
      <c r="C867" s="382"/>
    </row>
    <row r="868" ht="12.75">
      <c r="C868" s="382"/>
    </row>
    <row r="869" ht="12.75">
      <c r="C869" s="382"/>
    </row>
    <row r="870" ht="12.75">
      <c r="C870" s="382"/>
    </row>
    <row r="871" ht="12.75">
      <c r="C871" s="382"/>
    </row>
    <row r="872" ht="12.75">
      <c r="C872" s="382"/>
    </row>
    <row r="873" ht="12.75">
      <c r="C873" s="382"/>
    </row>
    <row r="874" ht="12.75">
      <c r="C874" s="382"/>
    </row>
    <row r="875" ht="12.75">
      <c r="C875" s="382"/>
    </row>
    <row r="876" ht="12.75">
      <c r="C876" s="382"/>
    </row>
    <row r="877" ht="12.75">
      <c r="C877" s="382"/>
    </row>
    <row r="878" ht="12.75">
      <c r="C878" s="382"/>
    </row>
    <row r="879" ht="12.75">
      <c r="C879" s="382"/>
    </row>
    <row r="880" ht="12.75">
      <c r="C880" s="382"/>
    </row>
    <row r="881" ht="12.75">
      <c r="C881" s="382"/>
    </row>
    <row r="882" ht="12.75">
      <c r="C882" s="382"/>
    </row>
    <row r="883" ht="12.75">
      <c r="C883" s="382"/>
    </row>
    <row r="884" ht="12.75">
      <c r="C884" s="382"/>
    </row>
    <row r="885" ht="12.75">
      <c r="C885" s="382"/>
    </row>
    <row r="886" ht="12.75">
      <c r="C886" s="382"/>
    </row>
    <row r="887" ht="12.75">
      <c r="C887" s="382"/>
    </row>
    <row r="888" ht="12.75">
      <c r="C888" s="382"/>
    </row>
    <row r="889" ht="12.75">
      <c r="C889" s="382"/>
    </row>
    <row r="890" ht="12.75">
      <c r="C890" s="382"/>
    </row>
    <row r="891" ht="12.75">
      <c r="C891" s="382"/>
    </row>
    <row r="892" ht="12.75">
      <c r="C892" s="382"/>
    </row>
    <row r="893" ht="12.75">
      <c r="C893" s="382"/>
    </row>
    <row r="894" ht="12.75">
      <c r="C894" s="382"/>
    </row>
    <row r="895" ht="12.75">
      <c r="C895" s="382"/>
    </row>
    <row r="896" ht="12.75">
      <c r="C896" s="382"/>
    </row>
    <row r="897" ht="12.75">
      <c r="C897" s="382"/>
    </row>
    <row r="898" ht="12.75">
      <c r="C898" s="382"/>
    </row>
    <row r="899" ht="12.75">
      <c r="C899" s="382"/>
    </row>
    <row r="900" ht="12.75">
      <c r="C900" s="382"/>
    </row>
    <row r="901" ht="12.75">
      <c r="C901" s="382"/>
    </row>
    <row r="902" ht="12.75">
      <c r="C902" s="382"/>
    </row>
    <row r="903" ht="12.75">
      <c r="C903" s="382"/>
    </row>
    <row r="904" ht="12.75">
      <c r="C904" s="382"/>
    </row>
    <row r="905" ht="12.75">
      <c r="C905" s="382"/>
    </row>
    <row r="906" ht="12.75">
      <c r="C906" s="382"/>
    </row>
    <row r="907" ht="12.75">
      <c r="C907" s="382"/>
    </row>
    <row r="908" ht="12.75">
      <c r="C908" s="382"/>
    </row>
    <row r="909" ht="12.75">
      <c r="C909" s="382"/>
    </row>
    <row r="910" ht="12.75">
      <c r="C910" s="382"/>
    </row>
    <row r="911" ht="12.75">
      <c r="C911" s="382"/>
    </row>
    <row r="912" ht="12.75">
      <c r="C912" s="382"/>
    </row>
    <row r="913" ht="12.75">
      <c r="C913" s="382"/>
    </row>
    <row r="914" ht="12.75">
      <c r="C914" s="382"/>
    </row>
    <row r="915" ht="12.75">
      <c r="C915" s="382"/>
    </row>
    <row r="916" ht="12.75">
      <c r="C916" s="382"/>
    </row>
    <row r="917" ht="12.75">
      <c r="C917" s="382"/>
    </row>
    <row r="918" ht="12.75">
      <c r="C918" s="382"/>
    </row>
    <row r="919" ht="12.75">
      <c r="C919" s="382"/>
    </row>
    <row r="920" ht="12.75">
      <c r="C920" s="382"/>
    </row>
    <row r="921" ht="12.75">
      <c r="C921" s="382"/>
    </row>
    <row r="922" ht="12.75">
      <c r="C922" s="382"/>
    </row>
    <row r="923" ht="12.75">
      <c r="C923" s="382"/>
    </row>
    <row r="924" ht="12.75">
      <c r="C924" s="382"/>
    </row>
    <row r="925" ht="12.75">
      <c r="C925" s="382"/>
    </row>
    <row r="926" ht="12.75">
      <c r="C926" s="382"/>
    </row>
    <row r="927" ht="12.75">
      <c r="C927" s="382"/>
    </row>
    <row r="928" ht="12.75">
      <c r="C928" s="382"/>
    </row>
    <row r="929" ht="12.75">
      <c r="C929" s="382"/>
    </row>
    <row r="930" ht="12.75">
      <c r="C930" s="382"/>
    </row>
    <row r="931" ht="12.75">
      <c r="C931" s="382"/>
    </row>
    <row r="932" ht="12.75">
      <c r="C932" s="382"/>
    </row>
    <row r="933" ht="12.75">
      <c r="C933" s="382"/>
    </row>
    <row r="934" ht="12.75">
      <c r="C934" s="382"/>
    </row>
    <row r="935" ht="12.75">
      <c r="C935" s="382"/>
    </row>
    <row r="936" ht="12.75">
      <c r="C936" s="382"/>
    </row>
    <row r="937" ht="12.75">
      <c r="C937" s="382"/>
    </row>
    <row r="938" ht="12.75">
      <c r="C938" s="382"/>
    </row>
    <row r="939" ht="12.75">
      <c r="C939" s="382"/>
    </row>
    <row r="940" ht="12.75">
      <c r="C940" s="382"/>
    </row>
    <row r="941" ht="12.75">
      <c r="C941" s="382"/>
    </row>
    <row r="942" ht="12.75">
      <c r="C942" s="382"/>
    </row>
    <row r="943" ht="12.75">
      <c r="C943" s="382"/>
    </row>
    <row r="944" ht="12.75">
      <c r="C944" s="382"/>
    </row>
    <row r="945" ht="12.75">
      <c r="C945" s="382"/>
    </row>
    <row r="946" ht="12.75">
      <c r="C946" s="382"/>
    </row>
    <row r="947" ht="12.75">
      <c r="C947" s="382"/>
    </row>
    <row r="948" ht="12.75">
      <c r="C948" s="382"/>
    </row>
    <row r="949" ht="12.75">
      <c r="C949" s="382"/>
    </row>
    <row r="950" ht="12.75">
      <c r="C950" s="382"/>
    </row>
    <row r="951" ht="12.75">
      <c r="C951" s="382"/>
    </row>
    <row r="952" ht="12.75">
      <c r="C952" s="382"/>
    </row>
    <row r="953" ht="12.75">
      <c r="C953" s="382"/>
    </row>
    <row r="954" ht="12.75">
      <c r="C954" s="382"/>
    </row>
    <row r="955" ht="12.75">
      <c r="C955" s="382"/>
    </row>
    <row r="956" ht="12.75">
      <c r="C956" s="382"/>
    </row>
    <row r="957" ht="12.75">
      <c r="C957" s="382"/>
    </row>
    <row r="958" ht="12.75">
      <c r="C958" s="382"/>
    </row>
    <row r="959" ht="12.75">
      <c r="C959" s="382"/>
    </row>
    <row r="960" ht="12.75">
      <c r="C960" s="382"/>
    </row>
    <row r="961" ht="12.75">
      <c r="C961" s="382"/>
    </row>
    <row r="962" ht="12.75">
      <c r="C962" s="382"/>
    </row>
    <row r="963" ht="12.75">
      <c r="C963" s="382"/>
    </row>
    <row r="964" ht="12.75">
      <c r="C964" s="382"/>
    </row>
    <row r="965" ht="12.75">
      <c r="C965" s="382"/>
    </row>
    <row r="966" ht="12.75">
      <c r="C966" s="382"/>
    </row>
    <row r="967" ht="12.75">
      <c r="C967" s="382"/>
    </row>
    <row r="968" ht="12.75">
      <c r="C968" s="382"/>
    </row>
    <row r="969" ht="12.75">
      <c r="C969" s="382"/>
    </row>
    <row r="970" ht="12.75">
      <c r="C970" s="382"/>
    </row>
    <row r="971" ht="12.75">
      <c r="C971" s="382"/>
    </row>
    <row r="972" ht="12.75">
      <c r="C972" s="382"/>
    </row>
    <row r="973" ht="12.75">
      <c r="C973" s="382"/>
    </row>
    <row r="974" ht="12.75">
      <c r="C974" s="382"/>
    </row>
    <row r="975" ht="12.75">
      <c r="C975" s="382"/>
    </row>
    <row r="976" ht="12.75">
      <c r="C976" s="382"/>
    </row>
    <row r="977" ht="12.75">
      <c r="C977" s="382"/>
    </row>
    <row r="978" ht="12.75">
      <c r="C978" s="382"/>
    </row>
    <row r="979" ht="12.75">
      <c r="C979" s="382"/>
    </row>
    <row r="980" ht="12.75">
      <c r="C980" s="382"/>
    </row>
    <row r="981" ht="12.75">
      <c r="C981" s="382"/>
    </row>
    <row r="982" ht="12.75">
      <c r="C982" s="382"/>
    </row>
    <row r="983" ht="12.75">
      <c r="C983" s="382"/>
    </row>
    <row r="984" ht="12.75">
      <c r="C984" s="382"/>
    </row>
    <row r="985" ht="12.75">
      <c r="C985" s="382"/>
    </row>
    <row r="986" ht="12.75">
      <c r="C986" s="382"/>
    </row>
    <row r="987" ht="12.75">
      <c r="C987" s="382"/>
    </row>
    <row r="988" ht="12.75">
      <c r="C988" s="382"/>
    </row>
    <row r="989" ht="12.75">
      <c r="C989" s="382"/>
    </row>
    <row r="990" ht="12.75">
      <c r="C990" s="382"/>
    </row>
    <row r="991" ht="12.75">
      <c r="C991" s="382"/>
    </row>
    <row r="992" ht="12.75">
      <c r="C992" s="382"/>
    </row>
    <row r="993" ht="12.75">
      <c r="C993" s="382"/>
    </row>
    <row r="994" ht="12.75">
      <c r="C994" s="382"/>
    </row>
    <row r="995" ht="12.75">
      <c r="C995" s="382"/>
    </row>
    <row r="996" ht="12.75">
      <c r="C996" s="382"/>
    </row>
    <row r="997" ht="12.75">
      <c r="C997" s="382"/>
    </row>
  </sheetData>
  <sheetProtection/>
  <mergeCells count="6">
    <mergeCell ref="C2:D2"/>
    <mergeCell ref="A83:B83"/>
    <mergeCell ref="A7:C7"/>
    <mergeCell ref="A8:C8"/>
    <mergeCell ref="A9:D9"/>
    <mergeCell ref="A38:B38"/>
  </mergeCells>
  <printOptions horizontalCentered="1" verticalCentered="1"/>
  <pageMargins left="0.7480314960629921" right="0.2362204724409449" top="0.57" bottom="0.81" header="0" footer="0"/>
  <pageSetup orientation="portrait" paperSize="9" scale="60" r:id="rId2"/>
  <headerFooter alignWithMargins="0">
    <oddFooter>&amp;L&amp;7Plaza de España, 1
38003 Santa Cruz de Tenerife
Teléfono: 901 501 901
www.tenerife.es</oddFooter>
  </headerFooter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55" zoomScaleNormal="55" zoomScalePageLayoutView="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4.57421875" style="133" customWidth="1"/>
    <col min="6" max="6" width="14.140625" style="133" customWidth="1"/>
    <col min="7" max="7" width="15.00390625" style="133" customWidth="1"/>
    <col min="8" max="8" width="12.421875" style="133" customWidth="1"/>
    <col min="9" max="13" width="11.57421875" style="133" customWidth="1"/>
    <col min="14" max="14" width="13.00390625" style="133" bestFit="1" customWidth="1"/>
    <col min="15" max="17" width="11.57421875" style="133" customWidth="1"/>
    <col min="18" max="20" width="0" style="133" hidden="1" customWidth="1"/>
    <col min="21" max="16384" width="11.57421875" style="133" customWidth="1"/>
  </cols>
  <sheetData>
    <row r="1" spans="1:7" ht="15">
      <c r="A1" s="767"/>
      <c r="B1" s="767"/>
      <c r="C1" s="757" t="s">
        <v>481</v>
      </c>
      <c r="D1" s="767"/>
      <c r="E1" s="767"/>
      <c r="F1" s="767"/>
      <c r="G1" s="767"/>
    </row>
    <row r="2" spans="1:7" ht="14.25">
      <c r="A2" s="767"/>
      <c r="B2" s="767"/>
      <c r="C2" s="758" t="s">
        <v>482</v>
      </c>
      <c r="D2" s="767"/>
      <c r="E2" s="767"/>
      <c r="F2" s="767"/>
      <c r="G2" s="767"/>
    </row>
    <row r="3" spans="1:7" ht="14.25">
      <c r="A3" s="767"/>
      <c r="B3" s="767"/>
      <c r="C3" s="767"/>
      <c r="D3" s="767"/>
      <c r="E3" s="767"/>
      <c r="F3" s="767"/>
      <c r="G3" s="767"/>
    </row>
    <row r="4" spans="1:7" ht="14.25">
      <c r="A4" s="767"/>
      <c r="B4" s="767"/>
      <c r="C4" s="767"/>
      <c r="D4" s="767"/>
      <c r="E4" s="767"/>
      <c r="F4" s="767"/>
      <c r="G4" s="767"/>
    </row>
    <row r="5" spans="1:7" ht="15">
      <c r="A5" s="756" t="s">
        <v>319</v>
      </c>
      <c r="B5" s="767"/>
      <c r="C5" s="761">
        <v>42339</v>
      </c>
      <c r="D5" s="767"/>
      <c r="E5" s="767"/>
      <c r="F5" s="767"/>
      <c r="G5" s="767"/>
    </row>
    <row r="6" spans="1:7" ht="15">
      <c r="A6" s="756" t="s">
        <v>480</v>
      </c>
      <c r="B6" s="767"/>
      <c r="C6" s="760" t="s">
        <v>483</v>
      </c>
      <c r="D6" s="767"/>
      <c r="E6" s="767"/>
      <c r="F6" s="767"/>
      <c r="G6" s="767"/>
    </row>
    <row r="7" ht="13.5" thickBot="1"/>
    <row r="8" spans="1:16" ht="12.75">
      <c r="A8" s="991" t="s">
        <v>288</v>
      </c>
      <c r="B8" s="992"/>
      <c r="C8" s="992"/>
      <c r="D8" s="992"/>
      <c r="E8" s="992"/>
      <c r="F8" s="992"/>
      <c r="G8" s="992"/>
      <c r="H8" s="992"/>
      <c r="I8" s="992"/>
      <c r="J8" s="992"/>
      <c r="K8" s="992"/>
      <c r="L8" s="992"/>
      <c r="M8" s="992"/>
      <c r="N8" s="991">
        <v>2016</v>
      </c>
      <c r="O8" s="992"/>
      <c r="P8" s="1000"/>
    </row>
    <row r="9" spans="1:16" ht="15.75" customHeight="1">
      <c r="A9" s="993" t="s">
        <v>289</v>
      </c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3"/>
      <c r="O9" s="994"/>
      <c r="P9" s="1001"/>
    </row>
    <row r="10" spans="1:16" ht="19.5" customHeight="1" thickBot="1">
      <c r="A10" s="995" t="str">
        <f>CPYG!A8</f>
        <v>EMPRESA PÚBLICA:  INSTITUCIÓN FERIAL DE TENERIFE, S.A.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7" t="s">
        <v>290</v>
      </c>
      <c r="O10" s="998"/>
      <c r="P10" s="999"/>
    </row>
    <row r="11" spans="1:16" ht="23.25" customHeight="1">
      <c r="A11" s="1002" t="s">
        <v>291</v>
      </c>
      <c r="B11" s="1003"/>
      <c r="C11" s="210"/>
      <c r="D11" s="210"/>
      <c r="E11" s="210"/>
      <c r="F11" s="211"/>
      <c r="G11" s="1002" t="s">
        <v>292</v>
      </c>
      <c r="H11" s="1003"/>
      <c r="I11" s="1003"/>
      <c r="J11" s="1003"/>
      <c r="K11" s="1004"/>
      <c r="L11" s="1002" t="s">
        <v>161</v>
      </c>
      <c r="M11" s="1003"/>
      <c r="N11" s="1003"/>
      <c r="O11" s="1003"/>
      <c r="P11" s="1004"/>
    </row>
    <row r="12" spans="1:16" ht="53.25" customHeight="1" thickBot="1">
      <c r="A12" s="212" t="s">
        <v>293</v>
      </c>
      <c r="B12" s="213" t="s">
        <v>294</v>
      </c>
      <c r="C12" s="214" t="s">
        <v>295</v>
      </c>
      <c r="D12" s="214" t="s">
        <v>296</v>
      </c>
      <c r="E12" s="214" t="s">
        <v>297</v>
      </c>
      <c r="F12" s="215" t="s">
        <v>601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298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298</v>
      </c>
    </row>
    <row r="13" spans="1:16" ht="19.5" customHeight="1">
      <c r="A13" s="591"/>
      <c r="B13" s="592" t="s">
        <v>160</v>
      </c>
      <c r="C13" s="785">
        <v>2016</v>
      </c>
      <c r="D13" s="785">
        <v>2016</v>
      </c>
      <c r="E13" s="593">
        <v>1249557.85</v>
      </c>
      <c r="F13" s="594">
        <v>0</v>
      </c>
      <c r="G13" s="595">
        <v>1249557.85</v>
      </c>
      <c r="H13" s="593"/>
      <c r="I13" s="593"/>
      <c r="J13" s="593"/>
      <c r="K13" s="594"/>
      <c r="L13" s="595">
        <v>0</v>
      </c>
      <c r="M13" s="593"/>
      <c r="N13" s="593"/>
      <c r="O13" s="593"/>
      <c r="P13" s="594"/>
    </row>
    <row r="14" spans="1:16" ht="19.5" customHeight="1">
      <c r="A14" s="596"/>
      <c r="B14" s="597" t="s">
        <v>159</v>
      </c>
      <c r="C14" s="807">
        <v>2016</v>
      </c>
      <c r="D14" s="807">
        <v>2017</v>
      </c>
      <c r="E14" s="598">
        <v>1249000</v>
      </c>
      <c r="F14" s="599">
        <v>0</v>
      </c>
      <c r="G14" s="600">
        <v>624500</v>
      </c>
      <c r="H14" s="598">
        <v>624500</v>
      </c>
      <c r="I14" s="598"/>
      <c r="J14" s="598"/>
      <c r="K14" s="599"/>
      <c r="L14" s="600">
        <v>0</v>
      </c>
      <c r="M14" s="598"/>
      <c r="N14" s="598"/>
      <c r="O14" s="598"/>
      <c r="P14" s="599"/>
    </row>
    <row r="15" spans="1:16" ht="19.5" customHeight="1">
      <c r="A15" s="596"/>
      <c r="B15" s="597"/>
      <c r="C15" s="807"/>
      <c r="D15" s="807"/>
      <c r="E15" s="598"/>
      <c r="F15" s="599"/>
      <c r="G15" s="600"/>
      <c r="H15" s="598"/>
      <c r="I15" s="598"/>
      <c r="J15" s="598"/>
      <c r="K15" s="599"/>
      <c r="L15" s="600"/>
      <c r="M15" s="598"/>
      <c r="N15" s="598"/>
      <c r="O15" s="598"/>
      <c r="P15" s="599"/>
    </row>
    <row r="16" spans="1:16" ht="19.5" customHeight="1">
      <c r="A16" s="596"/>
      <c r="B16" s="597"/>
      <c r="C16" s="807"/>
      <c r="D16" s="807"/>
      <c r="E16" s="598"/>
      <c r="F16" s="599"/>
      <c r="G16" s="600"/>
      <c r="H16" s="598"/>
      <c r="I16" s="598"/>
      <c r="J16" s="598"/>
      <c r="K16" s="599"/>
      <c r="L16" s="600"/>
      <c r="M16" s="598"/>
      <c r="N16" s="598"/>
      <c r="O16" s="598"/>
      <c r="P16" s="599"/>
    </row>
    <row r="17" spans="1:16" ht="19.5" customHeight="1">
      <c r="A17" s="596"/>
      <c r="B17" s="597"/>
      <c r="C17" s="807"/>
      <c r="D17" s="807"/>
      <c r="E17" s="598"/>
      <c r="F17" s="599"/>
      <c r="G17" s="600"/>
      <c r="H17" s="598"/>
      <c r="I17" s="598"/>
      <c r="J17" s="598"/>
      <c r="K17" s="599"/>
      <c r="L17" s="600"/>
      <c r="M17" s="598"/>
      <c r="N17" s="598"/>
      <c r="O17" s="598"/>
      <c r="P17" s="599"/>
    </row>
    <row r="18" spans="1:16" ht="19.5" customHeight="1">
      <c r="A18" s="596"/>
      <c r="B18" s="597"/>
      <c r="C18" s="597"/>
      <c r="D18" s="807"/>
      <c r="E18" s="598"/>
      <c r="F18" s="599"/>
      <c r="G18" s="600"/>
      <c r="H18" s="598"/>
      <c r="I18" s="598"/>
      <c r="J18" s="598"/>
      <c r="K18" s="599"/>
      <c r="L18" s="600"/>
      <c r="M18" s="598"/>
      <c r="N18" s="598"/>
      <c r="O18" s="598"/>
      <c r="P18" s="599"/>
    </row>
    <row r="19" spans="1:16" ht="19.5" customHeight="1">
      <c r="A19" s="596"/>
      <c r="B19" s="597"/>
      <c r="C19" s="597"/>
      <c r="D19" s="807"/>
      <c r="E19" s="598"/>
      <c r="F19" s="599"/>
      <c r="G19" s="600"/>
      <c r="H19" s="598"/>
      <c r="I19" s="598"/>
      <c r="J19" s="598"/>
      <c r="K19" s="599"/>
      <c r="L19" s="600"/>
      <c r="M19" s="598"/>
      <c r="N19" s="598"/>
      <c r="O19" s="598"/>
      <c r="P19" s="599"/>
    </row>
    <row r="20" spans="1:16" ht="19.5" customHeight="1">
      <c r="A20" s="596"/>
      <c r="B20" s="597"/>
      <c r="C20" s="597"/>
      <c r="D20" s="597"/>
      <c r="E20" s="598"/>
      <c r="F20" s="599"/>
      <c r="G20" s="600"/>
      <c r="H20" s="598"/>
      <c r="I20" s="598"/>
      <c r="J20" s="598"/>
      <c r="K20" s="599"/>
      <c r="L20" s="600"/>
      <c r="M20" s="598"/>
      <c r="N20" s="598"/>
      <c r="O20" s="598"/>
      <c r="P20" s="599"/>
    </row>
    <row r="21" spans="1:16" ht="19.5" customHeight="1">
      <c r="A21" s="596"/>
      <c r="B21" s="597"/>
      <c r="C21" s="597"/>
      <c r="D21" s="597"/>
      <c r="E21" s="598"/>
      <c r="F21" s="599"/>
      <c r="G21" s="600"/>
      <c r="H21" s="598"/>
      <c r="I21" s="598"/>
      <c r="J21" s="598"/>
      <c r="K21" s="599"/>
      <c r="L21" s="600"/>
      <c r="M21" s="598"/>
      <c r="N21" s="598"/>
      <c r="O21" s="598"/>
      <c r="P21" s="599"/>
    </row>
    <row r="22" spans="1:16" ht="19.5" customHeight="1">
      <c r="A22" s="596"/>
      <c r="B22" s="597"/>
      <c r="C22" s="597"/>
      <c r="D22" s="597"/>
      <c r="E22" s="598"/>
      <c r="F22" s="599"/>
      <c r="G22" s="600"/>
      <c r="H22" s="598"/>
      <c r="I22" s="598"/>
      <c r="J22" s="598"/>
      <c r="K22" s="599"/>
      <c r="L22" s="600"/>
      <c r="M22" s="598"/>
      <c r="N22" s="598"/>
      <c r="O22" s="598"/>
      <c r="P22" s="599"/>
    </row>
    <row r="23" spans="1:16" ht="19.5" customHeight="1">
      <c r="A23" s="596"/>
      <c r="B23" s="597"/>
      <c r="C23" s="597"/>
      <c r="D23" s="597"/>
      <c r="E23" s="598"/>
      <c r="F23" s="599"/>
      <c r="G23" s="600"/>
      <c r="H23" s="598"/>
      <c r="I23" s="598"/>
      <c r="J23" s="598"/>
      <c r="K23" s="599"/>
      <c r="L23" s="600"/>
      <c r="M23" s="598"/>
      <c r="N23" s="598"/>
      <c r="O23" s="598"/>
      <c r="P23" s="599"/>
    </row>
    <row r="24" spans="1:16" ht="19.5" customHeight="1">
      <c r="A24" s="596"/>
      <c r="B24" s="597"/>
      <c r="C24" s="597"/>
      <c r="D24" s="597"/>
      <c r="E24" s="598"/>
      <c r="F24" s="599"/>
      <c r="G24" s="600"/>
      <c r="H24" s="598"/>
      <c r="I24" s="598"/>
      <c r="J24" s="598"/>
      <c r="K24" s="599"/>
      <c r="L24" s="600"/>
      <c r="M24" s="598"/>
      <c r="N24" s="598"/>
      <c r="O24" s="598"/>
      <c r="P24" s="599"/>
    </row>
    <row r="25" spans="1:16" ht="19.5" customHeight="1">
      <c r="A25" s="596"/>
      <c r="B25" s="597"/>
      <c r="C25" s="597"/>
      <c r="D25" s="597"/>
      <c r="E25" s="598"/>
      <c r="F25" s="599"/>
      <c r="G25" s="600"/>
      <c r="H25" s="598"/>
      <c r="I25" s="598"/>
      <c r="J25" s="598"/>
      <c r="K25" s="599"/>
      <c r="L25" s="600"/>
      <c r="M25" s="598"/>
      <c r="N25" s="598"/>
      <c r="O25" s="598"/>
      <c r="P25" s="599"/>
    </row>
    <row r="26" spans="1:16" ht="19.5" customHeight="1">
      <c r="A26" s="596"/>
      <c r="B26" s="597"/>
      <c r="C26" s="597"/>
      <c r="D26" s="597"/>
      <c r="E26" s="598"/>
      <c r="F26" s="599"/>
      <c r="G26" s="600"/>
      <c r="H26" s="598"/>
      <c r="I26" s="598"/>
      <c r="J26" s="598"/>
      <c r="K26" s="599"/>
      <c r="L26" s="600"/>
      <c r="M26" s="598"/>
      <c r="N26" s="598"/>
      <c r="O26" s="598"/>
      <c r="P26" s="599"/>
    </row>
    <row r="27" spans="1:16" ht="19.5" customHeight="1">
      <c r="A27" s="596"/>
      <c r="B27" s="597"/>
      <c r="C27" s="597"/>
      <c r="D27" s="597"/>
      <c r="E27" s="598"/>
      <c r="F27" s="599"/>
      <c r="G27" s="600"/>
      <c r="H27" s="598"/>
      <c r="I27" s="598"/>
      <c r="J27" s="598"/>
      <c r="K27" s="599"/>
      <c r="L27" s="600"/>
      <c r="M27" s="598"/>
      <c r="N27" s="598"/>
      <c r="O27" s="598"/>
      <c r="P27" s="599"/>
    </row>
    <row r="28" spans="1:16" ht="19.5" customHeight="1">
      <c r="A28" s="596"/>
      <c r="B28" s="597"/>
      <c r="C28" s="597"/>
      <c r="D28" s="597"/>
      <c r="E28" s="598"/>
      <c r="F28" s="599"/>
      <c r="G28" s="600"/>
      <c r="H28" s="598"/>
      <c r="I28" s="598"/>
      <c r="J28" s="598"/>
      <c r="K28" s="599"/>
      <c r="L28" s="600"/>
      <c r="M28" s="598"/>
      <c r="N28" s="598"/>
      <c r="O28" s="598"/>
      <c r="P28" s="599"/>
    </row>
    <row r="29" spans="1:16" ht="19.5" customHeight="1">
      <c r="A29" s="596"/>
      <c r="B29" s="597"/>
      <c r="C29" s="597"/>
      <c r="D29" s="597"/>
      <c r="E29" s="598"/>
      <c r="F29" s="599"/>
      <c r="G29" s="600"/>
      <c r="H29" s="598"/>
      <c r="I29" s="598"/>
      <c r="J29" s="598"/>
      <c r="K29" s="599"/>
      <c r="L29" s="600"/>
      <c r="M29" s="598"/>
      <c r="N29" s="598"/>
      <c r="O29" s="598"/>
      <c r="P29" s="599"/>
    </row>
    <row r="30" spans="1:16" ht="19.5" customHeight="1">
      <c r="A30" s="596"/>
      <c r="B30" s="597"/>
      <c r="C30" s="597"/>
      <c r="D30" s="597"/>
      <c r="E30" s="598"/>
      <c r="F30" s="599"/>
      <c r="G30" s="600"/>
      <c r="H30" s="598"/>
      <c r="I30" s="598"/>
      <c r="J30" s="598"/>
      <c r="K30" s="599"/>
      <c r="L30" s="600"/>
      <c r="M30" s="598"/>
      <c r="N30" s="598"/>
      <c r="O30" s="598"/>
      <c r="P30" s="599"/>
    </row>
    <row r="31" spans="1:16" ht="19.5" customHeight="1">
      <c r="A31" s="596"/>
      <c r="B31" s="597"/>
      <c r="C31" s="597"/>
      <c r="D31" s="597"/>
      <c r="E31" s="598"/>
      <c r="F31" s="599"/>
      <c r="G31" s="600"/>
      <c r="H31" s="598"/>
      <c r="I31" s="598"/>
      <c r="J31" s="598"/>
      <c r="K31" s="599"/>
      <c r="L31" s="600"/>
      <c r="M31" s="598"/>
      <c r="N31" s="598"/>
      <c r="O31" s="598"/>
      <c r="P31" s="599"/>
    </row>
    <row r="32" spans="1:16" ht="19.5" customHeight="1">
      <c r="A32" s="596"/>
      <c r="B32" s="597"/>
      <c r="C32" s="597"/>
      <c r="D32" s="597"/>
      <c r="E32" s="598"/>
      <c r="F32" s="599"/>
      <c r="G32" s="600"/>
      <c r="H32" s="598"/>
      <c r="I32" s="598"/>
      <c r="J32" s="598"/>
      <c r="K32" s="599"/>
      <c r="L32" s="600"/>
      <c r="M32" s="598"/>
      <c r="N32" s="598"/>
      <c r="O32" s="598"/>
      <c r="P32" s="599"/>
    </row>
    <row r="33" spans="1:16" ht="19.5" customHeight="1" thickBot="1">
      <c r="A33" s="601"/>
      <c r="B33" s="602"/>
      <c r="C33" s="602"/>
      <c r="D33" s="602"/>
      <c r="E33" s="603"/>
      <c r="F33" s="604"/>
      <c r="G33" s="605"/>
      <c r="H33" s="603"/>
      <c r="I33" s="603"/>
      <c r="J33" s="603"/>
      <c r="K33" s="604"/>
      <c r="L33" s="605"/>
      <c r="M33" s="603"/>
      <c r="N33" s="603"/>
      <c r="O33" s="603"/>
      <c r="P33" s="604"/>
    </row>
    <row r="34" spans="1:6" ht="12.75">
      <c r="A34" s="158"/>
      <c r="B34" s="158"/>
      <c r="C34" s="158"/>
      <c r="D34" s="158"/>
      <c r="E34" s="158"/>
      <c r="F34" s="158"/>
    </row>
    <row r="35" spans="1:10" ht="12.75" hidden="1">
      <c r="A35" s="889" t="s">
        <v>299</v>
      </c>
      <c r="B35" s="889"/>
      <c r="C35" s="889"/>
      <c r="D35" s="889"/>
      <c r="E35" s="889"/>
      <c r="F35" s="889"/>
      <c r="G35" s="889"/>
      <c r="H35" s="889"/>
      <c r="I35" s="889"/>
      <c r="J35" s="889"/>
    </row>
    <row r="36" spans="1:10" ht="12.75" hidden="1">
      <c r="A36" s="990" t="s">
        <v>300</v>
      </c>
      <c r="B36" s="990"/>
      <c r="C36" s="990"/>
      <c r="D36" s="990"/>
      <c r="E36" s="990"/>
      <c r="F36" s="990"/>
      <c r="G36" s="990"/>
      <c r="H36" s="990"/>
      <c r="I36" s="990"/>
      <c r="J36" s="990"/>
    </row>
    <row r="37" spans="1:10" ht="12.75" hidden="1">
      <c r="A37" s="990" t="s">
        <v>301</v>
      </c>
      <c r="B37" s="990"/>
      <c r="C37" s="990"/>
      <c r="D37" s="990"/>
      <c r="E37" s="990"/>
      <c r="F37" s="990"/>
      <c r="G37" s="990"/>
      <c r="H37" s="990"/>
      <c r="I37" s="990"/>
      <c r="J37" s="889"/>
    </row>
    <row r="38" spans="1:10" ht="12.75" hidden="1">
      <c r="A38" s="889"/>
      <c r="B38" s="889"/>
      <c r="C38" s="889"/>
      <c r="D38" s="889"/>
      <c r="E38" s="889"/>
      <c r="F38" s="889"/>
      <c r="G38" s="889"/>
      <c r="H38" s="889"/>
      <c r="I38" s="889"/>
      <c r="J38" s="889"/>
    </row>
    <row r="39" ht="12.75" hidden="1"/>
    <row r="40" ht="12.75" hidden="1"/>
    <row r="41" ht="12.75" hidden="1"/>
    <row r="42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2015-11-29T10:56:43Z</cp:lastPrinted>
  <dcterms:created xsi:type="dcterms:W3CDTF">2004-09-28T16:33:32Z</dcterms:created>
  <dcterms:modified xsi:type="dcterms:W3CDTF">2016-03-07T10:36:41Z</dcterms:modified>
  <cp:category/>
  <cp:version/>
  <cp:contentType/>
  <cp:contentStatus/>
</cp:coreProperties>
</file>