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035" tabRatio="793" firstSheet="1" activeTab="20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Estado de Flujos" sheetId="8" r:id="rId8"/>
    <sheet name="Inversiones reales" sheetId="9" r:id="rId9"/>
    <sheet name="Inv. NO FIN" sheetId="10" r:id="rId10"/>
    <sheet name="Inv. FIN" sheetId="11" r:id="rId11"/>
    <sheet name="No rellenar EP-5 " sheetId="12" state="hidden" r:id="rId12"/>
    <sheet name="INF. ADIC. CPYG" sheetId="13" r:id="rId13"/>
    <sheet name="Transf. y subv." sheetId="14" r:id="rId14"/>
    <sheet name="Estado de situación de la deuda" sheetId="15" r:id="rId15"/>
    <sheet name="Deuda L.P." sheetId="16" r:id="rId16"/>
    <sheet name="EP7 A" sheetId="17" state="hidden" r:id="rId17"/>
    <sheet name="Deuda C.P." sheetId="18" r:id="rId18"/>
    <sheet name="Personal" sheetId="19" r:id="rId19"/>
    <sheet name="Operaciones Internas" sheetId="20" r:id="rId20"/>
    <sheet name="Encomiendas" sheetId="21" r:id="rId21"/>
    <sheet name="1" sheetId="22" r:id="rId22"/>
    <sheet name="2" sheetId="23" r:id="rId23"/>
    <sheet name="3" sheetId="24" r:id="rId24"/>
  </sheets>
  <externalReferences>
    <externalReference r:id="rId27"/>
  </externalReferences>
  <definedNames>
    <definedName name="_xlnm.Print_Area" localSheetId="21">'1'!$A$1:$H$30</definedName>
    <definedName name="_xlnm.Print_Area" localSheetId="22">'2'!$B$2:$D$61</definedName>
    <definedName name="_xlnm.Print_Area" localSheetId="23">'3'!$B$2:$D$93</definedName>
    <definedName name="_xlnm.Print_Area" localSheetId="2">'ACCIONISTAS'!$A$1:$E$59</definedName>
    <definedName name="_xlnm.Print_Area" localSheetId="5">'ACTIVO'!$A$1:$D$48</definedName>
    <definedName name="_xlnm.Print_Area" localSheetId="3">'COMPROBACION'!$B$1:$D$72</definedName>
    <definedName name="_xlnm.Print_Area" localSheetId="4">'CPYG'!$A$1:$D$111</definedName>
    <definedName name="_xlnm.Print_Area" localSheetId="17">'Deuda C.P.'!$A$1:$O$22</definedName>
    <definedName name="_xlnm.Print_Area" localSheetId="15">'Deuda L.P.'!$A$1:$O$29</definedName>
    <definedName name="_xlnm.Print_Area" localSheetId="20">'Encomiendas'!$A$1:$E$28</definedName>
    <definedName name="_xlnm.Print_Area" localSheetId="16">'EP7 A'!$A$1:$H$25</definedName>
    <definedName name="_xlnm.Print_Area" localSheetId="7">'Estado de Flujos'!$A$1:$D$87</definedName>
    <definedName name="_xlnm.Print_Area" localSheetId="14">'Estado de situación de la deuda'!$A$1:$J$57</definedName>
    <definedName name="_xlnm.Print_Area" localSheetId="12">'INF. ADIC. CPYG'!$A$1:$E$28</definedName>
    <definedName name="_xlnm.Print_Area" localSheetId="10">'Inv. FIN'!$A$1:$L$45</definedName>
    <definedName name="_xlnm.Print_Area" localSheetId="9">'Inv. NO FIN'!$A$1:$K$28</definedName>
    <definedName name="_xlnm.Print_Area" localSheetId="8">'Inversiones reales'!$A$1:$P$33</definedName>
    <definedName name="_xlnm.Print_Area" localSheetId="0">'No rellenar Consolidación'!$A$1:$D$99</definedName>
    <definedName name="_xlnm.Print_Area" localSheetId="11">'No rellenar EP-5 '!$A$1:$D$81</definedName>
    <definedName name="_xlnm.Print_Area" localSheetId="19">'Operaciones Internas'!$A$1:$D$51</definedName>
    <definedName name="_xlnm.Print_Area" localSheetId="1">'ORGANOS DE GOBIERNO'!$A$1:$H$20</definedName>
    <definedName name="_xlnm.Print_Area" localSheetId="6">'PASIVO'!$A$1:$D$65</definedName>
    <definedName name="_xlnm.Print_Area" localSheetId="18">'Personal'!$A$1:$H$59</definedName>
    <definedName name="_xlnm.Print_Area" localSheetId="13">'Transf. y subv.'!$A$1:$H$78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<sst xmlns="http://schemas.openxmlformats.org/spreadsheetml/2006/main" count="1453" uniqueCount="883">
  <si>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</si>
  <si>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</si>
  <si>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</si>
  <si>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</si>
  <si>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</si>
  <si>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</si>
  <si>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</si>
  <si>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</si>
  <si>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</si>
  <si>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</si>
  <si>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</si>
  <si>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</si>
  <si>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</si>
  <si>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</si>
  <si>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</si>
  <si>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</si>
  <si>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</si>
  <si>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</si>
  <si>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</si>
  <si>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</si>
  <si>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</si>
  <si>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</si>
  <si>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</si>
  <si>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</si>
  <si>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</si>
  <si>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</si>
  <si>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</si>
  <si>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</si>
  <si>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</si>
  <si>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</si>
  <si>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</si>
  <si>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</si>
  <si>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</si>
  <si>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</si>
  <si>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</si>
  <si>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</si>
  <si>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</si>
  <si>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</si>
  <si>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</si>
  <si>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</si>
  <si>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</si>
  <si>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</si>
  <si>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</si>
  <si>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</si>
  <si>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</si>
  <si>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</si>
  <si>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</si>
  <si>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</si>
  <si>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</si>
  <si>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</si>
  <si>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</si>
  <si>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</si>
  <si>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</si>
  <si>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</si>
  <si>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</si>
  <si>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</si>
  <si>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</si>
  <si>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</si>
  <si>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</si>
  <si>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</si>
  <si>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</si>
  <si>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</si>
  <si>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</si>
  <si>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Detalle de las ventas y prestaciones de servicios (1)</t>
  </si>
  <si>
    <t>Detalle de otros ingresos:</t>
  </si>
  <si>
    <t>Detalle de otros gastos: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</si>
  <si>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</si>
  <si>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</si>
  <si>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</si>
  <si>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</si>
  <si>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</si>
  <si>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</si>
  <si>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</si>
  <si>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</si>
  <si>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Nº años</t>
  </si>
  <si>
    <t>1.  IMPORTE NETO DE LA CIFRA DE NEGOCIOS.</t>
  </si>
  <si>
    <t xml:space="preserve">          a.1.1.) A la Entidad Local o a sus unidades dependientes.(1)</t>
  </si>
  <si>
    <t xml:space="preserve"> </t>
  </si>
  <si>
    <t xml:space="preserve">          a.1.2.) A otras Administraciones Públicas.(1)</t>
  </si>
  <si>
    <t xml:space="preserve">          a.1.3.) A empresas y Entes Públicos.(1)</t>
  </si>
  <si>
    <t xml:space="preserve">          b) Prestaciones de Servicios.</t>
  </si>
  <si>
    <t xml:space="preserve">          b.1.1.) A la Entidad Local o a sus unidades dependientes.(1)</t>
  </si>
  <si>
    <t xml:space="preserve">          b.1.2.) A otras Administraciones Públicas.(1)</t>
  </si>
  <si>
    <t xml:space="preserve">          b.1.3.) A empresas y Entes Públicos.(1)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</si>
  <si>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</si>
  <si>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</si>
  <si>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</si>
  <si>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</si>
  <si>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</si>
  <si>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</si>
  <si>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</si>
  <si>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</si>
  <si>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</si>
  <si>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</si>
  <si>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</si>
  <si>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</si>
  <si>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</si>
  <si>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</si>
  <si>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</si>
  <si>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</si>
  <si>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</si>
  <si>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</si>
  <si>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</si>
  <si>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</si>
  <si>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</si>
  <si>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</si>
  <si>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</si>
  <si>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</si>
  <si>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</si>
  <si>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</si>
  <si>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</si>
  <si>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</si>
  <si>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</si>
  <si>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</si>
  <si>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</si>
  <si>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</si>
  <si>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</si>
  <si>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</si>
  <si>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</si>
  <si>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</si>
  <si>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</si>
  <si>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</si>
  <si>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</si>
  <si>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</si>
  <si>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</si>
  <si>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 xml:space="preserve">       VI.Otras aportaciones de socios.</t>
  </si>
  <si>
    <t xml:space="preserve">      VII. Resultado del Ejercicio</t>
  </si>
  <si>
    <t xml:space="preserve">       VIII.(Dividendo a cuenta).</t>
  </si>
  <si>
    <t>Regularización de Cuentas</t>
  </si>
  <si>
    <t>Subvenciones de Capital e Ingresos Financieros</t>
  </si>
  <si>
    <t>La Caixa</t>
  </si>
  <si>
    <t>B.II.2) y C.III.2)</t>
  </si>
  <si>
    <t>Ayto. Arona</t>
  </si>
  <si>
    <t>Ayto. Adeje</t>
  </si>
  <si>
    <t>Ayto. Puerto Cruz</t>
  </si>
  <si>
    <t>Ayto. Santa Cruz de Tenerife</t>
  </si>
  <si>
    <t>Ayto. Los Realejos</t>
  </si>
  <si>
    <t>Ayto. Granadilla</t>
  </si>
  <si>
    <t>Ayto. La Laguna</t>
  </si>
  <si>
    <t>Ayto. Santiago del Teide</t>
  </si>
  <si>
    <t>Ayto. de San Miguel</t>
  </si>
  <si>
    <t>Ayto. La Orotava</t>
  </si>
  <si>
    <t>Fundación Canaria Factoría de Innovación Turística</t>
  </si>
  <si>
    <t>Alberto Bernabé Teja</t>
  </si>
  <si>
    <t>Miguel Becerra Domínguez</t>
  </si>
  <si>
    <t>Miguel Ángel Santos Cruz</t>
  </si>
  <si>
    <t>Luz Goretti Gorrín Ramos</t>
  </si>
  <si>
    <t>Josefa Mesa Mora</t>
  </si>
  <si>
    <t>Sebastián Ledesma Martín</t>
  </si>
  <si>
    <t>Jorge Alexis Marichal González</t>
  </si>
  <si>
    <t>Santiago  Tomás Sesé Alonso</t>
  </si>
  <si>
    <t>Ermitas Moreira García</t>
  </si>
  <si>
    <t>David Miguel Pérez González</t>
  </si>
  <si>
    <t>Dimple Melwani Melwani</t>
  </si>
  <si>
    <t>Enrique Talg Reineke</t>
  </si>
  <si>
    <t>José Herrera Moreno</t>
  </si>
  <si>
    <t>Vicepresidente 2º</t>
  </si>
  <si>
    <t>Consejero Delegado</t>
  </si>
  <si>
    <t>Consejero</t>
  </si>
  <si>
    <t>Vicepresidente 1º</t>
  </si>
  <si>
    <t>Vicepresidente 3º</t>
  </si>
  <si>
    <t>Canaudit, S.L.</t>
  </si>
  <si>
    <t>FUNDACIÓN FIT</t>
  </si>
  <si>
    <t>FUNDACIÓN CANARIA CLUSTER</t>
  </si>
  <si>
    <t>FIANZA AENA</t>
  </si>
  <si>
    <t>FIANZA TFE ACOGE</t>
  </si>
  <si>
    <t>FIANZA GOBIERNO DE CANARIAS</t>
  </si>
  <si>
    <t xml:space="preserve">Convenio de Regeneración </t>
  </si>
  <si>
    <t>Oficina Aeropuerto Tenerife Sur</t>
  </si>
  <si>
    <t xml:space="preserve">Turismo </t>
  </si>
  <si>
    <t>Promoción Económica (Why Tenerife)</t>
  </si>
  <si>
    <t>Gastos de Funcionamiento</t>
  </si>
  <si>
    <t>Promoción Turística</t>
  </si>
  <si>
    <t>Promoción Equipos Deportivos Primer Nivel</t>
  </si>
  <si>
    <t>Acciones de Conectividad</t>
  </si>
  <si>
    <t>Campaña SientoxCiento</t>
  </si>
  <si>
    <t>Acciones Promoción y Dinamización Zonas Turísticas</t>
  </si>
  <si>
    <t>Promoción Circuito Motor 2015</t>
  </si>
  <si>
    <t>Promoción Masterchef Área de Agricultura</t>
  </si>
  <si>
    <t>Patrocinio Cadena Dial</t>
  </si>
  <si>
    <t>Patrocinio Clubes Deportivos</t>
  </si>
  <si>
    <t>Acciones Promocionales Julio 2015</t>
  </si>
  <si>
    <t>Patrocinio Feria IGTM 2015</t>
  </si>
  <si>
    <t>Proyecto UE-Sky Routes</t>
  </si>
  <si>
    <t>Proyecto Connectafrica</t>
  </si>
  <si>
    <t>Proyecto Caminmac</t>
  </si>
  <si>
    <t>Proyecto Drago</t>
  </si>
  <si>
    <t>Festival Starmus</t>
  </si>
  <si>
    <t>Arona</t>
  </si>
  <si>
    <t>Adeje</t>
  </si>
  <si>
    <t>San Miguel</t>
  </si>
  <si>
    <t>Santiago del Teide</t>
  </si>
  <si>
    <t>Granadilla</t>
  </si>
  <si>
    <t>Guía de Isora</t>
  </si>
  <si>
    <t>Arico</t>
  </si>
  <si>
    <t>La Laguna</t>
  </si>
  <si>
    <t>Variación 2016/2015</t>
  </si>
  <si>
    <t>Aportación Específico Estudio Viabilidad Hotel Taoro</t>
  </si>
  <si>
    <t>2016</t>
  </si>
  <si>
    <t>0901</t>
  </si>
  <si>
    <t>4322</t>
  </si>
  <si>
    <t>44933</t>
  </si>
  <si>
    <t>A4- SPET PROMOCIÓN EXTERIOR Y EN DESTINO</t>
  </si>
  <si>
    <t>A4- SPET INCREMENTO PROMOCIÓN</t>
  </si>
  <si>
    <t>A4- SPET FESTIVAL STARMUS</t>
  </si>
  <si>
    <t>A4- SPET ACCIONES DE CONECTIVIDAD</t>
  </si>
  <si>
    <t>A4- SPET PATROC.CLUBES DEPORTIVOS 15-16</t>
  </si>
  <si>
    <t>A4- SPET PROMOC.-DINAMIZAC.ZONAS TURIST.</t>
  </si>
  <si>
    <t xml:space="preserve">A4- SPET PATROCINIO CADENA DIAL </t>
  </si>
  <si>
    <t>A4- SPET CAMPAÑA SIENTOXCIENTO</t>
  </si>
  <si>
    <t>A4- SPET PROMOCIÓN EQUIPOS DEPORTIVOS</t>
  </si>
  <si>
    <t>A4- SPET ESTUDIO VIABILIDAD HOTEL TAORO</t>
  </si>
  <si>
    <t>0911</t>
  </si>
  <si>
    <t>4391</t>
  </si>
  <si>
    <t>A4- SPET APORTAC. PARA "WHY TENERIFE"</t>
  </si>
  <si>
    <t>A4- SPET INCREM. APORT. "WHY TENERIFE"</t>
  </si>
  <si>
    <t>4321</t>
  </si>
  <si>
    <t>22710</t>
  </si>
  <si>
    <t>ENCOMIENDA OFICINA SUR Y SUSTIT. PERSONA</t>
  </si>
  <si>
    <t>4324</t>
  </si>
  <si>
    <t>GERENCIA CONVENIO REGENERACION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</si>
  <si>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</si>
  <si>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</si>
  <si>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</si>
  <si>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</si>
  <si>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</si>
  <si>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</si>
  <si>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</si>
  <si>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</si>
  <si>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</si>
  <si>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</si>
  <si>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</si>
  <si>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</si>
  <si>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</si>
  <si>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</si>
  <si>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</si>
  <si>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</si>
  <si>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</si>
  <si>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</si>
  <si>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</si>
  <si>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</si>
  <si>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</si>
  <si>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</si>
  <si>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</si>
  <si>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</si>
  <si>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</si>
  <si>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</si>
  <si>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</si>
  <si>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</si>
  <si>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</si>
  <si>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</si>
  <si>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</si>
  <si>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</si>
  <si>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</si>
  <si>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</si>
  <si>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</si>
  <si>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</si>
  <si>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</si>
  <si>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</si>
  <si>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</si>
  <si>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</si>
  <si>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</si>
  <si>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</si>
  <si>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</si>
  <si>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</si>
  <si>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</si>
  <si>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</si>
  <si>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</si>
  <si>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</si>
  <si>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</si>
  <si>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</si>
  <si>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</si>
  <si>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</si>
  <si>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</si>
  <si>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</si>
  <si>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</si>
  <si>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</si>
  <si>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</si>
  <si>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</si>
  <si>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</si>
  <si>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</si>
  <si>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</si>
  <si>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</si>
  <si>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</si>
  <si>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</si>
  <si>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</si>
  <si>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</si>
  <si>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</si>
  <si>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</si>
  <si>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</si>
  <si>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</si>
  <si>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</si>
  <si>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</si>
  <si>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</si>
  <si>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</si>
  <si>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</si>
  <si>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</si>
  <si>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</si>
  <si>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</si>
  <si>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</si>
  <si>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</si>
  <si>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</si>
  <si>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</si>
  <si>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</si>
  <si>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</si>
  <si>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</si>
  <si>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</si>
  <si>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</si>
  <si>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</si>
  <si>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</si>
  <si>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</si>
  <si>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</si>
  <si>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</si>
  <si>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</si>
  <si>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</si>
  <si>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</si>
  <si>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</si>
  <si>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</si>
  <si>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</si>
  <si>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</si>
  <si>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</si>
  <si>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</si>
  <si>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</si>
  <si>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</si>
  <si>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</si>
  <si>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</si>
  <si>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</si>
  <si>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</si>
  <si>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</si>
  <si>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</si>
  <si>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</si>
  <si>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</si>
  <si>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</si>
  <si>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</si>
  <si>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</si>
  <si>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</si>
  <si>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</si>
  <si>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</si>
  <si>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</si>
  <si>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</si>
  <si>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</si>
  <si>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</si>
  <si>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</si>
  <si>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</si>
  <si>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</si>
  <si>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</si>
  <si>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</si>
  <si>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</si>
  <si>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</si>
  <si>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</si>
  <si>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</si>
  <si>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</si>
  <si>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</si>
  <si>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</si>
  <si>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</si>
  <si>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</si>
  <si>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</si>
  <si>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</si>
  <si>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</si>
  <si>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</si>
  <si>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</si>
  <si>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</si>
  <si>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</si>
  <si>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</si>
  <si>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</si>
  <si>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</si>
  <si>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</si>
  <si>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</si>
  <si>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</si>
  <si>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</si>
  <si>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</si>
  <si>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</si>
  <si>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</si>
  <si>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</si>
  <si>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</si>
  <si>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</si>
  <si>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</si>
  <si>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</si>
  <si>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</si>
  <si>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</si>
  <si>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</si>
  <si>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</si>
  <si>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</si>
  <si>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</si>
  <si>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</si>
  <si>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</si>
  <si>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</si>
  <si>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</si>
  <si>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</si>
  <si>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</si>
  <si>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</si>
  <si>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</si>
  <si>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</si>
  <si>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</si>
  <si>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</si>
  <si>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</si>
  <si>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</si>
  <si>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</si>
  <si>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</si>
  <si>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</si>
  <si>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</si>
  <si>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</si>
  <si>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</si>
  <si>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</si>
  <si>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</si>
  <si>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</si>
  <si>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</si>
  <si>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</si>
  <si>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</si>
  <si>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</si>
  <si>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</si>
  <si>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</si>
  <si>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</si>
  <si>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</si>
  <si>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</si>
  <si>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 xml:space="preserve">Estado de flujo de efectivo </t>
  </si>
  <si>
    <t xml:space="preserve">   1. Resultado del ejercicio antes de impuestos</t>
  </si>
  <si>
    <t xml:space="preserve">   2. Ajustes del resultado</t>
  </si>
  <si>
    <t xml:space="preserve">      a) Amortización del inmovilizado (+)</t>
  </si>
  <si>
    <t xml:space="preserve">      b) Correcciones valorativas por deterioro(+/-)</t>
  </si>
  <si>
    <t xml:space="preserve">      c) Variación de provisiones (+/-)</t>
  </si>
  <si>
    <t xml:space="preserve">      d) Imputación de subvenciones (-)</t>
  </si>
  <si>
    <t xml:space="preserve">      e) Resultados por bajas y enajenaciones del inmovilizado (+/-)</t>
  </si>
  <si>
    <t xml:space="preserve">      f) Resultados por bajas y enajenaciones del instrumentos finanieros (+/-)</t>
  </si>
  <si>
    <t xml:space="preserve">      g) Ingresos Financieros (-)</t>
  </si>
  <si>
    <t xml:space="preserve">      h) Gastos Financieros (+)</t>
  </si>
  <si>
    <t xml:space="preserve">      i) Diferencias de cambio (+/-)</t>
  </si>
  <si>
    <t xml:space="preserve">      j) Valoración del valor razonable en instrumentos financieros</t>
  </si>
  <si>
    <t xml:space="preserve">      k) Otros ingresos y gastos (-/+)</t>
  </si>
  <si>
    <t xml:space="preserve">   3. Cambios de Capital Corriente</t>
  </si>
  <si>
    <t xml:space="preserve">      a) Existencias (+/-)</t>
  </si>
  <si>
    <t xml:space="preserve">      b) Deudores y otras cuentas a cobrar (+/-)</t>
  </si>
  <si>
    <t xml:space="preserve">      c) Otros activos corrientes (+/-)</t>
  </si>
  <si>
    <t xml:space="preserve">      d) Acreedores y otras cuentas a pagar(+/-)</t>
  </si>
  <si>
    <t xml:space="preserve">      e) Otros pasivos corrientes (+/-)</t>
  </si>
  <si>
    <t xml:space="preserve">      f) Otros activos y pasivos no corrientes (+/-)</t>
  </si>
  <si>
    <t>Ojo. Apto VI NO está considerado en los Ajustes de Variaciones de Balance</t>
  </si>
  <si>
    <t>Ojo. Apto VII NO está considerado en los Ajustes de Variaciones de Balance</t>
  </si>
  <si>
    <t xml:space="preserve">   4. Otros flujos de efectivo de las actividades de explotación</t>
  </si>
  <si>
    <t xml:space="preserve">      a) Pagos de intereses (-)</t>
  </si>
  <si>
    <t xml:space="preserve">      b) Cobros de dividendos (+)</t>
  </si>
  <si>
    <t xml:space="preserve">      c) Cobros de Intereses (+)</t>
  </si>
  <si>
    <t xml:space="preserve">      d) Cobros (pagos) por impuesto sobre beneficios(+/-)</t>
  </si>
  <si>
    <t xml:space="preserve">      e) Otros pagos (cobros) (-/+)</t>
  </si>
  <si>
    <t xml:space="preserve">   5. Flujos de efectivo de las actividades de explotación (1+2+3+4)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</si>
  <si>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</si>
  <si>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</si>
  <si>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</si>
  <si>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</si>
  <si>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</si>
  <si>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</si>
  <si>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</si>
  <si>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B) FLUJOS DE EFECTIVO DE LAS ACTIVIDADES DE INVERSIÓN</t>
  </si>
  <si>
    <t xml:space="preserve">   6. Pagos por inversiones (-)</t>
  </si>
  <si>
    <t xml:space="preserve">      a) Empresas del grupo y asociadas</t>
  </si>
  <si>
    <t xml:space="preserve">      b) Inmovilizado intangible</t>
  </si>
  <si>
    <t xml:space="preserve">      c) Inmovilizado material</t>
  </si>
  <si>
    <t xml:space="preserve">      d) Inversiones inmobiliarias</t>
  </si>
  <si>
    <t xml:space="preserve">      e) Otros activos financieros</t>
  </si>
  <si>
    <t xml:space="preserve">      f) Activos no corrientes mantenidos para venta</t>
  </si>
  <si>
    <t xml:space="preserve">      g) Unidad de negocio</t>
  </si>
  <si>
    <t xml:space="preserve">      h) Otros activos</t>
  </si>
  <si>
    <t xml:space="preserve">   7. Cobros por desinversiones (+)</t>
  </si>
  <si>
    <t xml:space="preserve">      a) Empresas del Grupo y Asociadas</t>
  </si>
  <si>
    <t xml:space="preserve">   8. Flujos de efectivo de las actividades de Inversión (6+7)</t>
  </si>
  <si>
    <t>C) FLUJOS DE EFECTIVO DE LAS ACTIVIDADES DE FINANCIACIÓN</t>
  </si>
  <si>
    <t xml:space="preserve">   9. Cobros y Pagos por instrumentos de patrimonio</t>
  </si>
  <si>
    <t xml:space="preserve">      a) Emisión de instrumentos de patrimonio (+)</t>
  </si>
  <si>
    <t xml:space="preserve">      b) Amortización de instrumentos de patrimonio (-)</t>
  </si>
  <si>
    <t xml:space="preserve">      c) Adquisición de instrumentos de patrimonio propio (-)</t>
  </si>
  <si>
    <t xml:space="preserve">      d) Enajenación de instrumentos de patrimonio propio (+)</t>
  </si>
  <si>
    <t xml:space="preserve">      e) Subvenciones, donaciones y legados recibidos (+)</t>
  </si>
  <si>
    <t xml:space="preserve">   10. Cobros y Pagos por instrumentos de pasivo financiero</t>
  </si>
  <si>
    <t xml:space="preserve">      a) Emisión </t>
  </si>
  <si>
    <t xml:space="preserve">          1. Obligaciones y otros valores negociables (+) </t>
  </si>
  <si>
    <t xml:space="preserve">          2. Deudas con entidades de crédito (+)</t>
  </si>
  <si>
    <t xml:space="preserve">          3. Deudas con empresas del grupo y asociadas (+)</t>
  </si>
  <si>
    <t xml:space="preserve">          4. Deudas con características especiales (+)</t>
  </si>
  <si>
    <t xml:space="preserve">          5. Otras deudas (+)</t>
  </si>
  <si>
    <t xml:space="preserve">      b) Devolución y amortización de </t>
  </si>
  <si>
    <t xml:space="preserve">          1. Obligaciones y otros valores negociables (-) </t>
  </si>
  <si>
    <t xml:space="preserve">          2. Deudas con entidades de crédito (-)</t>
  </si>
  <si>
    <t xml:space="preserve">          3. Deudas con empresas del grupo y asociadas (-)</t>
  </si>
  <si>
    <t xml:space="preserve">          4. Deudas con características especiales (-)</t>
  </si>
  <si>
    <t xml:space="preserve">          5. Otras deudas (-)</t>
  </si>
  <si>
    <t xml:space="preserve">   11. Pagos por dividendos y remuneraciones de otros instrumentos de patrimonio</t>
  </si>
  <si>
    <t xml:space="preserve">      a) Dividendos (-)</t>
  </si>
  <si>
    <t xml:space="preserve">      b) Remuneración de otros instrumentos de patrimonio (-)</t>
  </si>
  <si>
    <t xml:space="preserve">   12. Flujos de efectivo de las actividades de financiación (9+10+11)</t>
  </si>
  <si>
    <t>D) Efecto de las variaciones de los tipos de cambio (+/-)</t>
  </si>
  <si>
    <t>E) AUMENTO/DISMINUCIÓN NETA DEL EFECTIVO O EQUIVALENTES (5+8+12+D)</t>
  </si>
  <si>
    <t xml:space="preserve">    Efectivo o equivalentes al comienzo del ejercicio</t>
  </si>
  <si>
    <t xml:space="preserve">    Efectivo o equivalentes al final del ejercicio</t>
  </si>
  <si>
    <t>PRESUPUESTO GENERAL DEL CABILDO INSULAR DE TENERIFE</t>
  </si>
  <si>
    <t>PROGRAMA DE ACTUACIÓN, INVERSIONES Y FINANCIACIÓN</t>
  </si>
  <si>
    <t>Anexo Inversiones reales</t>
  </si>
  <si>
    <t>Proyecto de Inversión</t>
  </si>
  <si>
    <t>Programación plurianual</t>
  </si>
  <si>
    <t>Previsión de importes comprometidos a 31/12/2013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</si>
  <si>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</si>
  <si>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</si>
  <si>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</si>
  <si>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</si>
  <si>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</si>
  <si>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</si>
  <si>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</si>
  <si>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</si>
  <si>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</si>
  <si>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>Estado de movimientos y situación de la deuda</t>
  </si>
  <si>
    <t>Dispuesto en el ejercicio (2)</t>
  </si>
  <si>
    <t>Intereses y gastos financieros</t>
  </si>
  <si>
    <t>Deuda viva (1)</t>
  </si>
  <si>
    <t>Crédito disponible</t>
  </si>
  <si>
    <t>Ordinaria s/contrato (3)</t>
  </si>
  <si>
    <t>Extraordinaria (4)</t>
  </si>
  <si>
    <t>Deuda viva (5)=(1)+(2)-(3)-(4)</t>
  </si>
  <si>
    <t>Emisiones</t>
  </si>
  <si>
    <t>Emisiones a c/p (en euros)</t>
  </si>
  <si>
    <t>Emisiones a c/p (en moneda distinta de euros)</t>
  </si>
  <si>
    <t>Emisiones a l/p (en euros)</t>
  </si>
  <si>
    <t>Emisiones a l/p (en moneda distinta de euros)</t>
  </si>
  <si>
    <t>Operaciones con Entidades de crédito</t>
  </si>
  <si>
    <t>Con Entidades de Crédito Residentes</t>
  </si>
  <si>
    <t>Créditos a c/p (en euros)</t>
  </si>
  <si>
    <t>Créditos a c/p (en moneda distinta de euros)</t>
  </si>
  <si>
    <t>Fecha de la última actualización de la información del indicador</t>
  </si>
  <si>
    <t>Órganos de Gobierno</t>
  </si>
  <si>
    <t>Composición del saldo de Otros Resultados                  (Epígrafe 13 Pérdidas y Ganancias) (2)</t>
  </si>
  <si>
    <t>MÁS EFECTO IMPOSITIVO TRANSFERENCIAS A LA CUENTA DE RESULTADOS</t>
  </si>
  <si>
    <t>Créditos a l/p (en euros) sin operaciones de derivados asociados</t>
  </si>
  <si>
    <t xml:space="preserve">SUBVENCIONES PARA FINANCIAR ACTIVIDADES ESPECÍFICAS </t>
  </si>
  <si>
    <t>Créditos a l/p (en euros) con operaciones de derivados asociados</t>
  </si>
  <si>
    <t>Créditos a l/p (en moneda distinta de euros) sin operaciones de derivados asociados</t>
  </si>
  <si>
    <t>Créditos a l/p (en moneda distinta de euros) con operaciones de derivados asociados</t>
  </si>
  <si>
    <t>Créditos con E.C. residentes en paises Unión Europea.</t>
  </si>
  <si>
    <t>Créditos con E.C. residentes en paises fuera Unión Europea.</t>
  </si>
  <si>
    <t>Factoring sin recurso</t>
  </si>
  <si>
    <t>Avales concedidos</t>
  </si>
  <si>
    <t>a Entidades dependientes (Administraciones Públicas)</t>
  </si>
  <si>
    <t>Resto de entidades dependientes</t>
  </si>
  <si>
    <t>Entidades no dependientes</t>
  </si>
  <si>
    <t>Endeudamiento con otras Entidades</t>
  </si>
  <si>
    <t>Con la Administración General del Estado</t>
  </si>
  <si>
    <t>Con la Comunidad Autónoma</t>
  </si>
  <si>
    <t>Con la Diputación</t>
  </si>
  <si>
    <t>Con la Seguridad Social</t>
  </si>
  <si>
    <t>Con la AEAT</t>
  </si>
  <si>
    <t>Con otras Administraciones Públicas</t>
  </si>
  <si>
    <t>Otras operaciones de crédito</t>
  </si>
  <si>
    <t>Arrendamientos financieros</t>
  </si>
  <si>
    <t>Pagos aplazados</t>
  </si>
  <si>
    <t>Inversiones con abono total de precio</t>
  </si>
  <si>
    <t>Asociaciones Público privadas (APP`s)</t>
  </si>
  <si>
    <t>Otras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</si>
  <si>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</si>
  <si>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</si>
  <si>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</si>
  <si>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</si>
  <si>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</si>
  <si>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</si>
  <si>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</si>
  <si>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</si>
  <si>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</si>
  <si>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</si>
  <si>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SALDO FINAL 31/12/15 (9)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</si>
  <si>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</si>
  <si>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</si>
  <si>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</si>
  <si>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</si>
  <si>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</si>
  <si>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</si>
  <si>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</si>
  <si>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</si>
  <si>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</si>
  <si>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</si>
  <si>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</si>
  <si>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</si>
  <si>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</si>
  <si>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</si>
  <si>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</si>
  <si>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</si>
  <si>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</si>
  <si>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</si>
  <si>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</si>
  <si>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</si>
  <si>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</si>
  <si>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</si>
  <si>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</si>
  <si>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</si>
  <si>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</si>
  <si>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</si>
  <si>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</si>
  <si>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</si>
  <si>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</si>
  <si>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</si>
  <si>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</si>
  <si>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</si>
  <si>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</si>
  <si>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</si>
  <si>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</si>
  <si>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</si>
  <si>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</si>
  <si>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</si>
  <si>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</si>
  <si>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(1) VENTAS Y PRESTACIONES DE SERVICIOS: la rúbrica de "Importe neto de la cifra de negocios" recogida en la Cuenta de Pérdidas y Ganancias debe desglosarse entre el importe facturado a la propia CCLL de la cual depende la entidad, del resto de ventas y prestaciones de servicios.</t>
  </si>
  <si>
    <t>x</t>
  </si>
  <si>
    <t>Accion social-Otros gastos sociales</t>
  </si>
  <si>
    <t>(2) INGRESOS Y GASTOS EXCEPCIONALES: se detallará la naturaleza de los gastos e ingresos excepcionales contabilizados en el ejercicio y recogidos en las cuentas 678 y 778 del Plan General de Contabilidad. Pueden añadirse lineas adicionales si es necesario.</t>
  </si>
  <si>
    <t xml:space="preserve">PRESUPUESTO GENERAL DEL CABILDO INSULAR DE TENERIFE
INFORMACIÓN ADICIONAL RELATIVA A LA CUENTA DE PÉRDIDAS Y GANANCIAS </t>
  </si>
  <si>
    <t>PRESUPUESTO DE EXPLOTACIÓN: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</si>
  <si>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</si>
  <si>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</si>
  <si>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</si>
  <si>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</si>
  <si>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</si>
  <si>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</si>
  <si>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</si>
  <si>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</si>
  <si>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</si>
  <si>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</si>
  <si>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</si>
  <si>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</si>
  <si>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</si>
  <si>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</si>
  <si>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</si>
  <si>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</si>
  <si>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</si>
  <si>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</si>
  <si>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</si>
  <si>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</si>
  <si>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</si>
  <si>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</si>
  <si>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</si>
  <si>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</si>
  <si>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</si>
  <si>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</si>
  <si>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</si>
  <si>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</si>
  <si>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</si>
  <si>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</si>
  <si>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</si>
  <si>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</si>
  <si>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</si>
  <si>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</si>
  <si>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</si>
  <si>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</si>
  <si>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</si>
  <si>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</si>
  <si>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</si>
  <si>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</si>
  <si>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</si>
  <si>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</si>
  <si>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</si>
  <si>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</si>
  <si>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</si>
  <si>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</si>
  <si>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</si>
  <si>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</si>
  <si>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</si>
  <si>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</si>
  <si>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</si>
  <si>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</si>
  <si>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</si>
  <si>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</si>
  <si>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</si>
  <si>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</si>
  <si>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</si>
  <si>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</si>
  <si>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ESTADO DE FLUJOS DE EFECTIVO                                                                                                                                     (Sólo para sociedades sujetas al P.G. de Contabilidad de Empresas Modelo Ordinario)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</si>
  <si>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</si>
  <si>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</si>
  <si>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</si>
  <si>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</si>
  <si>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Periodicidad de la actualización del indicador </t>
  </si>
  <si>
    <t>Área de Presidencia</t>
  </si>
  <si>
    <t>Servicio Administrativo de Presupuestos y Gasto Público</t>
  </si>
  <si>
    <t>anual</t>
  </si>
  <si>
    <t xml:space="preserve">ESTADO DE PREVISIÓN DE INGRESOS Y GASTOS - BALANCE DE SITUACIÓN </t>
  </si>
  <si>
    <t xml:space="preserve">ESTADO DE PREVISIÓN DE INGRESOS Y GASTOS - CUENTA DE PÉRDIDAS Y GANANCIAS </t>
  </si>
  <si>
    <t>ESTIMACIÓN
2015</t>
  </si>
  <si>
    <t>A) FLUJOS DE EFECTIVO DE LAS ACTIVIDADES DE EXPLOTACIÓN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</si>
  <si>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</si>
  <si>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</si>
  <si>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</si>
  <si>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</si>
  <si>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</si>
  <si>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</si>
  <si>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</si>
  <si>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</si>
  <si>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</si>
  <si>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</si>
  <si>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</si>
  <si>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</si>
  <si>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</si>
  <si>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</si>
  <si>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</si>
  <si>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</si>
  <si>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</si>
  <si>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</si>
  <si>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</si>
  <si>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</si>
  <si>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</si>
  <si>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</si>
  <si>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</si>
  <si>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</si>
  <si>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</si>
  <si>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</si>
  <si>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</si>
  <si>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</si>
  <si>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</si>
  <si>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</si>
  <si>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</si>
  <si>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</si>
  <si>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</si>
  <si>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</si>
  <si>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</si>
  <si>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</si>
  <si>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</si>
  <si>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</si>
  <si>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Entidad beneficiaria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</si>
  <si>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</si>
  <si>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</si>
  <si>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</si>
  <si>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</si>
  <si>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</si>
  <si>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</si>
  <si>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</si>
  <si>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</si>
  <si>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</si>
  <si>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</si>
  <si>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</si>
  <si>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</si>
  <si>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</si>
  <si>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</si>
  <si>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 xml:space="preserve">      f) Otras aportaciones de socios y otros instrumentos de patrimonio (+/-)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</si>
  <si>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</si>
  <si>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</si>
  <si>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</si>
  <si>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</si>
  <si>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</si>
  <si>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</si>
  <si>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</si>
  <si>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</si>
  <si>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</si>
  <si>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</si>
  <si>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</si>
  <si>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</si>
  <si>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</si>
  <si>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</si>
  <si>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</si>
  <si>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</si>
  <si>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</si>
  <si>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</si>
  <si>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</si>
  <si>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</si>
  <si>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</si>
  <si>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</si>
  <si>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</si>
  <si>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</si>
  <si>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</si>
  <si>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</si>
  <si>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</si>
  <si>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</si>
  <si>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</si>
  <si>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</si>
  <si>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</si>
  <si>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</si>
  <si>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</si>
  <si>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nº acciones</t>
  </si>
  <si>
    <t>valor nominal</t>
  </si>
  <si>
    <t>valor teórico
(F.Propios)</t>
  </si>
  <si>
    <t>PARTICIPACIONES EN OTRAS ENTIDADES</t>
  </si>
  <si>
    <t>Nombre Entidad y C.I.F.</t>
  </si>
  <si>
    <t>desembolsos
pendientes</t>
  </si>
  <si>
    <t>ADMINISTRADORES</t>
  </si>
  <si>
    <t>Nombre</t>
  </si>
  <si>
    <t>Cargo</t>
  </si>
  <si>
    <t>Fecha
Nombramiento</t>
  </si>
  <si>
    <t>Presidente</t>
  </si>
  <si>
    <t>Secretario</t>
  </si>
  <si>
    <t>AUDITORES DE CUENTAS</t>
  </si>
  <si>
    <t>ESTRUCTURA PRESUPUESTARIA: PRESUPUESTOS 2016</t>
  </si>
  <si>
    <t>REAL 2014</t>
  </si>
  <si>
    <t>PREVISIÓN
2016</t>
  </si>
  <si>
    <t>ESTIMACIÓN 2015</t>
  </si>
  <si>
    <t>PREVISIÓN 2016</t>
  </si>
  <si>
    <t>2016             (previsión)</t>
  </si>
  <si>
    <t>2015           (estimado)</t>
  </si>
  <si>
    <t>Ejecución prevista hasta 31/12/2015</t>
  </si>
  <si>
    <t>SALDO INICIAL 31/12/14 (1)</t>
  </si>
  <si>
    <t>Estimación 2015</t>
  </si>
  <si>
    <t>SALDO INICIAL  31/12/15 (1)</t>
  </si>
  <si>
    <t>SALDO FINAL 31/12/16 (9)</t>
  </si>
  <si>
    <t>Saldo Inicial 2016</t>
  </si>
  <si>
    <t>Saldo final 2016</t>
  </si>
  <si>
    <t>% participación 31/12/16 (2)</t>
  </si>
  <si>
    <t>Dividendo a obtener 2016</t>
  </si>
  <si>
    <t>% participación 31/12/16(7)</t>
  </si>
  <si>
    <t>Previsión 2016</t>
  </si>
  <si>
    <t>Saldo a 31-12-2015</t>
  </si>
  <si>
    <t>Previsión ejercicio 2016</t>
  </si>
  <si>
    <t>Previsión a 31-12-2016</t>
  </si>
  <si>
    <t>Estimación importe dispuesto a 31/12/15</t>
  </si>
  <si>
    <t>Previsión importes dispuesto a 31/12/16</t>
  </si>
  <si>
    <t>Concedidos antes de 2016</t>
  </si>
  <si>
    <t>Pendiente de amortizar a  31/12/2015</t>
  </si>
  <si>
    <t>Importe concedido en 2016</t>
  </si>
  <si>
    <t>Cuota Amortización 2016 (3)</t>
  </si>
  <si>
    <t>Cuota Intereses 2016</t>
  </si>
  <si>
    <t>Pendiente a  31/12/2016</t>
  </si>
  <si>
    <t xml:space="preserve">Pdte. Amortiz. (2016 y siguientes) </t>
  </si>
  <si>
    <t>Pendiente a  31/12/2015= Cuota Amortización 2016 (3)</t>
  </si>
  <si>
    <t>Importe concedido 2016</t>
  </si>
  <si>
    <t>Concedidos en 2015</t>
  </si>
  <si>
    <t>Importe de la anualidad 2016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</si>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</sst>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_-* #,##0.00\ [$€]_-;\-* #,##0.00\ [$€]_-;_-* &quot;-&quot;??\ [$€]_-;_-@_-"/>
    <numFmt numFmtId="170" formatCode="#,##0_ ;\-#,##0\ "/>
    <numFmt numFmtId="171" formatCode="#,##0.00\ &quot;€&quot;"/>
    <numFmt numFmtId="172" formatCode="_-* #,##0.00\ [$€-C0A]_-;\-* #,##0.00\ [$€-C0A]_-;_-* &quot;-&quot;??\ [$€-C0A]_-;_-@_-"/>
    <numFmt numFmtId="173" formatCode="_-* #,##0.00\ [$€-42D]_-;\-* #,##0.00\ [$€-42D]_-;_-* &quot;-&quot;??\ [$€-42D]_-;_-@_-"/>
    <numFmt numFmtId="174" formatCode="_(* #,##0\ &quot;pta&quot;_);_(* \(#,##0\ &quot;pta&quot;\);_(* &quot;-&quot;??\ &quot;pta&quot;_);_(@_)"/>
    <numFmt numFmtId="175" formatCode="0.0%"/>
    <numFmt numFmtId="176" formatCode="#,##0.0"/>
    <numFmt numFmtId="177" formatCode="#,##0.00;\(#,##0.00\)"/>
    <numFmt numFmtId="178" formatCode="\ #,##0.00;\(\ #,##0.00\)"/>
    <numFmt numFmtId="179" formatCode="#,##0.00_ ;\-#,##0.00\ 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ahoma"/>
      <family val="2"/>
    </font>
    <font>
      <b/>
      <sz val="9.5"/>
      <name val="Tahoma"/>
      <family val="2"/>
    </font>
    <font>
      <sz val="10"/>
      <color indexed="9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i/>
      <sz val="10"/>
      <color indexed="9"/>
      <name val="Tahoma"/>
      <family val="2"/>
    </font>
    <font>
      <b/>
      <i/>
      <sz val="10"/>
      <color indexed="9"/>
      <name val="Tahoma"/>
      <family val="2"/>
    </font>
    <font>
      <b/>
      <sz val="9"/>
      <color indexed="9"/>
      <name val="Tahoma"/>
      <family val="2"/>
    </font>
    <font>
      <b/>
      <sz val="11"/>
      <color indexed="9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41"/>
      </left>
      <right style="medium"/>
      <top style="double"/>
      <bottom>
        <color indexed="63"/>
      </bottom>
    </border>
    <border>
      <left style="thin">
        <color indexed="41"/>
      </left>
      <right style="medium"/>
      <top>
        <color indexed="63"/>
      </top>
      <bottom style="double"/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 style="thin">
        <color indexed="41"/>
      </bottom>
    </border>
    <border>
      <left>
        <color indexed="63"/>
      </left>
      <right style="medium"/>
      <top style="thin">
        <color indexed="41"/>
      </top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7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174" fontId="0" fillId="0" borderId="0" applyFont="0" applyFill="0" applyBorder="0" applyAlignment="0" applyProtection="0"/>
  </cellStyleXfs>
  <cellXfs count="1305">
    <xf numFmtId="0" fontId="0" fillId="0" borderId="0" xfId="0" applyAlignment="1">
      <alignment/>
    </xf>
    <xf numFmtId="3" fontId="0" fillId="0" borderId="0" xfId="68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8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10" xfId="68" applyNumberFormat="1" applyFont="1" applyBorder="1" applyAlignment="1">
      <alignment vertical="center"/>
      <protection/>
    </xf>
    <xf numFmtId="3" fontId="0" fillId="0" borderId="0" xfId="68" applyNumberFormat="1" applyFont="1" applyFill="1" applyBorder="1">
      <alignment/>
      <protection/>
    </xf>
    <xf numFmtId="3" fontId="1" fillId="0" borderId="0" xfId="68" applyNumberFormat="1" applyFont="1" applyFill="1" applyBorder="1">
      <alignment/>
      <protection/>
    </xf>
    <xf numFmtId="3" fontId="1" fillId="0" borderId="0" xfId="68" applyNumberFormat="1" applyFont="1" applyBorder="1">
      <alignment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0" fillId="0" borderId="10" xfId="68" applyNumberFormat="1" applyFont="1" applyBorder="1" applyAlignment="1">
      <alignment vertical="center"/>
      <protection/>
    </xf>
    <xf numFmtId="3" fontId="1" fillId="0" borderId="10" xfId="68" applyNumberFormat="1" applyFont="1" applyBorder="1" applyAlignment="1">
      <alignment horizontal="left" vertical="center" wrapText="1"/>
      <protection/>
    </xf>
    <xf numFmtId="3" fontId="0" fillId="0" borderId="10" xfId="68" applyNumberFormat="1" applyFont="1" applyBorder="1" applyAlignment="1">
      <alignment horizontal="left" vertical="center" wrapText="1"/>
      <protection/>
    </xf>
    <xf numFmtId="3" fontId="29" fillId="8" borderId="12" xfId="59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" fontId="29" fillId="8" borderId="13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 wrapText="1"/>
      <protection/>
    </xf>
    <xf numFmtId="3" fontId="1" fillId="0" borderId="14" xfId="59" applyNumberFormat="1" applyFont="1" applyFill="1" applyBorder="1" applyAlignment="1">
      <alignment horizontal="center" vertical="center" wrapText="1"/>
      <protection/>
    </xf>
    <xf numFmtId="3" fontId="1" fillId="0" borderId="15" xfId="68" applyNumberFormat="1" applyFont="1" applyBorder="1" applyAlignment="1">
      <alignment horizontal="centerContinuous" vertical="center"/>
      <protection/>
    </xf>
    <xf numFmtId="3" fontId="1" fillId="0" borderId="16" xfId="68" applyNumberFormat="1" applyFont="1" applyBorder="1" applyAlignment="1">
      <alignment vertical="center"/>
      <protection/>
    </xf>
    <xf numFmtId="177" fontId="1" fillId="0" borderId="17" xfId="68" applyNumberFormat="1" applyFont="1" applyBorder="1" applyAlignment="1">
      <alignment horizontal="right" vertical="center"/>
      <protection/>
    </xf>
    <xf numFmtId="177" fontId="1" fillId="0" borderId="12" xfId="68" applyNumberFormat="1" applyFont="1" applyBorder="1" applyAlignment="1">
      <alignment horizontal="right" vertical="center"/>
      <protection/>
    </xf>
    <xf numFmtId="177" fontId="1" fillId="0" borderId="17" xfId="68" applyNumberFormat="1" applyFont="1" applyBorder="1" applyAlignment="1" applyProtection="1">
      <alignment horizontal="right" vertical="center"/>
      <protection locked="0"/>
    </xf>
    <xf numFmtId="177" fontId="1" fillId="0" borderId="12" xfId="68" applyNumberFormat="1" applyFont="1" applyBorder="1" applyAlignment="1" applyProtection="1">
      <alignment horizontal="right" vertical="center"/>
      <protection locked="0"/>
    </xf>
    <xf numFmtId="177" fontId="0" fillId="0" borderId="17" xfId="68" applyNumberFormat="1" applyFont="1" applyBorder="1" applyAlignment="1" applyProtection="1">
      <alignment horizontal="right" vertical="center"/>
      <protection locked="0"/>
    </xf>
    <xf numFmtId="177" fontId="0" fillId="0" borderId="12" xfId="68" applyNumberFormat="1" applyFont="1" applyBorder="1" applyAlignment="1" applyProtection="1">
      <alignment horizontal="right" vertical="center"/>
      <protection locked="0"/>
    </xf>
    <xf numFmtId="177" fontId="0" fillId="0" borderId="18" xfId="68" applyNumberFormat="1" applyFont="1" applyBorder="1" applyAlignment="1" applyProtection="1">
      <alignment horizontal="right" vertical="center"/>
      <protection locked="0"/>
    </xf>
    <xf numFmtId="177" fontId="0" fillId="0" borderId="12" xfId="68" applyNumberFormat="1" applyFont="1" applyFill="1" applyBorder="1" applyAlignment="1" applyProtection="1">
      <alignment horizontal="right" vertical="center"/>
      <protection locked="0"/>
    </xf>
    <xf numFmtId="177" fontId="0" fillId="0" borderId="17" xfId="68" applyNumberFormat="1" applyFont="1" applyBorder="1" applyAlignment="1">
      <alignment horizontal="right" vertical="center"/>
      <protection/>
    </xf>
    <xf numFmtId="177" fontId="0" fillId="0" borderId="12" xfId="68" applyNumberFormat="1" applyFont="1" applyBorder="1" applyAlignment="1">
      <alignment horizontal="right" vertical="center"/>
      <protection/>
    </xf>
    <xf numFmtId="177" fontId="1" fillId="0" borderId="19" xfId="68" applyNumberFormat="1" applyFont="1" applyBorder="1" applyAlignment="1">
      <alignment horizontal="right" vertical="center"/>
      <protection/>
    </xf>
    <xf numFmtId="177" fontId="1" fillId="0" borderId="20" xfId="68" applyNumberFormat="1" applyFont="1" applyBorder="1" applyAlignment="1">
      <alignment horizontal="right" vertical="center"/>
      <protection/>
    </xf>
    <xf numFmtId="177" fontId="0" fillId="0" borderId="0" xfId="68" applyNumberFormat="1" applyFont="1" applyBorder="1">
      <alignment/>
      <protection/>
    </xf>
    <xf numFmtId="177" fontId="0" fillId="0" borderId="0" xfId="68" applyNumberFormat="1" applyFont="1" applyBorder="1" applyAlignment="1">
      <alignment horizontal="center"/>
      <protection/>
    </xf>
    <xf numFmtId="177" fontId="0" fillId="0" borderId="0" xfId="68" applyNumberFormat="1" applyFont="1" applyFill="1" applyBorder="1" applyAlignment="1">
      <alignment horizontal="center"/>
      <protection/>
    </xf>
    <xf numFmtId="0" fontId="1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7" fontId="1" fillId="0" borderId="17" xfId="68" applyNumberFormat="1" applyFont="1" applyFill="1" applyBorder="1" applyAlignment="1" applyProtection="1">
      <alignment horizontal="right" vertical="center"/>
      <protection locked="0"/>
    </xf>
    <xf numFmtId="10" fontId="0" fillId="0" borderId="0" xfId="71" applyNumberFormat="1" applyFont="1" applyBorder="1" applyAlignment="1">
      <alignment vertical="center"/>
    </xf>
    <xf numFmtId="3" fontId="1" fillId="0" borderId="0" xfId="68" applyNumberFormat="1" applyFont="1" applyBorder="1" applyAlignment="1">
      <alignment vertical="center"/>
      <protection/>
    </xf>
    <xf numFmtId="3" fontId="0" fillId="0" borderId="0" xfId="67" applyNumberFormat="1" applyFont="1" applyBorder="1">
      <alignment/>
      <protection/>
    </xf>
    <xf numFmtId="0" fontId="0" fillId="0" borderId="0" xfId="58" applyFont="1" applyAlignment="1">
      <alignment vertical="center"/>
      <protection/>
    </xf>
    <xf numFmtId="4" fontId="1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22" xfId="0" applyNumberFormat="1" applyFont="1" applyBorder="1" applyAlignment="1">
      <alignment/>
    </xf>
    <xf numFmtId="0" fontId="0" fillId="0" borderId="0" xfId="58" applyFont="1">
      <alignment/>
      <protection/>
    </xf>
    <xf numFmtId="0" fontId="1" fillId="0" borderId="0" xfId="58" applyFont="1">
      <alignment/>
      <protection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7" fontId="0" fillId="0" borderId="27" xfId="52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7" fontId="0" fillId="0" borderId="27" xfId="52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177" fontId="0" fillId="0" borderId="14" xfId="52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3" fontId="1" fillId="8" borderId="15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>
      <alignment vertical="center"/>
    </xf>
    <xf numFmtId="177" fontId="1" fillId="8" borderId="27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 applyProtection="1">
      <alignment vertical="center"/>
      <protection/>
    </xf>
    <xf numFmtId="177" fontId="1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1" fillId="8" borderId="34" xfId="0" applyNumberFormat="1" applyFont="1" applyFill="1" applyBorder="1" applyAlignment="1">
      <alignment vertical="center"/>
    </xf>
    <xf numFmtId="177" fontId="1" fillId="8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8" borderId="37" xfId="0" applyNumberFormat="1" applyFont="1" applyFill="1" applyBorder="1" applyAlignment="1">
      <alignment vertical="center"/>
    </xf>
    <xf numFmtId="177" fontId="1" fillId="8" borderId="38" xfId="0" applyNumberFormat="1" applyFont="1" applyFill="1" applyBorder="1" applyAlignment="1">
      <alignment vertical="center"/>
    </xf>
    <xf numFmtId="3" fontId="0" fillId="0" borderId="26" xfId="63" applyNumberFormat="1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>
      <alignment vertical="center"/>
    </xf>
    <xf numFmtId="3" fontId="1" fillId="0" borderId="33" xfId="0" applyNumberFormat="1" applyFont="1" applyBorder="1" applyAlignment="1" applyProtection="1">
      <alignment vertical="center"/>
      <protection/>
    </xf>
    <xf numFmtId="3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 applyProtection="1">
      <alignment vertical="center"/>
      <protection/>
    </xf>
    <xf numFmtId="3" fontId="1" fillId="0" borderId="15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177" fontId="1" fillId="0" borderId="2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" fontId="1" fillId="24" borderId="15" xfId="0" applyNumberFormat="1" applyFont="1" applyFill="1" applyBorder="1" applyAlignment="1" applyProtection="1">
      <alignment vertical="center"/>
      <protection/>
    </xf>
    <xf numFmtId="3" fontId="1" fillId="24" borderId="26" xfId="0" applyNumberFormat="1" applyFont="1" applyFill="1" applyBorder="1" applyAlignment="1">
      <alignment vertical="center"/>
    </xf>
    <xf numFmtId="177" fontId="1" fillId="24" borderId="27" xfId="52" applyNumberFormat="1" applyFont="1" applyFill="1" applyBorder="1" applyAlignment="1" applyProtection="1">
      <alignment vertical="center"/>
      <protection/>
    </xf>
    <xf numFmtId="177" fontId="1" fillId="24" borderId="27" xfId="0" applyNumberFormat="1" applyFont="1" applyFill="1" applyBorder="1" applyAlignment="1" applyProtection="1">
      <alignment vertical="center"/>
      <protection/>
    </xf>
    <xf numFmtId="0" fontId="10" fillId="3" borderId="0" xfId="58" applyFont="1" applyFill="1">
      <alignment/>
      <protection/>
    </xf>
    <xf numFmtId="3" fontId="0" fillId="3" borderId="0" xfId="67" applyNumberFormat="1" applyFont="1" applyFill="1" applyBorder="1">
      <alignment/>
      <protection/>
    </xf>
    <xf numFmtId="3" fontId="1" fillId="8" borderId="39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1" fillId="8" borderId="40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1" fillId="8" borderId="42" xfId="0" applyNumberFormat="1" applyFont="1" applyFill="1" applyBorder="1" applyAlignment="1">
      <alignment vertical="center"/>
    </xf>
    <xf numFmtId="3" fontId="1" fillId="8" borderId="43" xfId="0" applyNumberFormat="1" applyFont="1" applyFill="1" applyBorder="1" applyAlignment="1">
      <alignment vertical="center"/>
    </xf>
    <xf numFmtId="3" fontId="1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 vertical="justify" wrapText="1"/>
    </xf>
    <xf numFmtId="0" fontId="8" fillId="25" borderId="13" xfId="60" applyFont="1" applyFill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0" fillId="0" borderId="0" xfId="57" applyFill="1">
      <alignment/>
      <protection/>
    </xf>
    <xf numFmtId="0" fontId="32" fillId="0" borderId="17" xfId="57" applyFont="1" applyBorder="1" applyAlignment="1">
      <alignment horizontal="center" vertical="center" wrapText="1"/>
      <protection/>
    </xf>
    <xf numFmtId="0" fontId="33" fillId="0" borderId="17" xfId="57" applyFont="1" applyBorder="1" applyAlignment="1">
      <alignment horizontal="center" vertical="center" wrapText="1"/>
      <protection/>
    </xf>
    <xf numFmtId="0" fontId="0" fillId="0" borderId="17" xfId="57" applyBorder="1">
      <alignment/>
      <protection/>
    </xf>
    <xf numFmtId="0" fontId="34" fillId="0" borderId="17" xfId="57" applyFont="1" applyBorder="1" applyAlignment="1">
      <alignment horizontal="left" wrapText="1"/>
      <protection/>
    </xf>
    <xf numFmtId="0" fontId="0" fillId="0" borderId="45" xfId="57" applyBorder="1">
      <alignment/>
      <protection/>
    </xf>
    <xf numFmtId="0" fontId="36" fillId="0" borderId="46" xfId="57" applyFont="1" applyBorder="1" applyAlignment="1">
      <alignment wrapText="1"/>
      <protection/>
    </xf>
    <xf numFmtId="172" fontId="35" fillId="0" borderId="46" xfId="57" applyNumberFormat="1" applyFont="1" applyBorder="1" applyAlignment="1">
      <alignment wrapText="1"/>
      <protection/>
    </xf>
    <xf numFmtId="172" fontId="37" fillId="0" borderId="46" xfId="57" applyNumberFormat="1" applyFont="1" applyBorder="1">
      <alignment/>
      <protection/>
    </xf>
    <xf numFmtId="172" fontId="37" fillId="0" borderId="47" xfId="57" applyNumberFormat="1" applyFont="1" applyBorder="1">
      <alignment/>
      <protection/>
    </xf>
    <xf numFmtId="2" fontId="8" fillId="8" borderId="25" xfId="60" applyNumberFormat="1" applyFont="1" applyFill="1" applyBorder="1" applyAlignment="1">
      <alignment horizontal="center" vertical="center" wrapText="1"/>
      <protection/>
    </xf>
    <xf numFmtId="0" fontId="0" fillId="0" borderId="46" xfId="57" applyFont="1" applyBorder="1">
      <alignment/>
      <protection/>
    </xf>
    <xf numFmtId="0" fontId="0" fillId="0" borderId="47" xfId="57" applyFont="1" applyBorder="1">
      <alignment/>
      <protection/>
    </xf>
    <xf numFmtId="0" fontId="0" fillId="0" borderId="0" xfId="57" applyFont="1">
      <alignment/>
      <protection/>
    </xf>
    <xf numFmtId="172" fontId="38" fillId="0" borderId="17" xfId="57" applyNumberFormat="1" applyFont="1" applyBorder="1" applyAlignment="1">
      <alignment horizontal="center" vertical="center" wrapText="1"/>
      <protection/>
    </xf>
    <xf numFmtId="172" fontId="39" fillId="0" borderId="17" xfId="57" applyNumberFormat="1" applyFont="1" applyBorder="1" applyAlignment="1">
      <alignment horizontal="center" wrapText="1"/>
      <protection/>
    </xf>
    <xf numFmtId="172" fontId="39" fillId="0" borderId="17" xfId="57" applyNumberFormat="1" applyFont="1" applyBorder="1" applyAlignment="1">
      <alignment horizontal="center" vertical="center" wrapText="1"/>
      <protection/>
    </xf>
    <xf numFmtId="172" fontId="38" fillId="0" borderId="48" xfId="57" applyNumberFormat="1" applyFont="1" applyBorder="1" applyAlignment="1">
      <alignment horizontal="center" wrapText="1"/>
      <protection/>
    </xf>
    <xf numFmtId="169" fontId="39" fillId="0" borderId="17" xfId="46" applyFont="1" applyBorder="1" applyAlignment="1">
      <alignment horizontal="center" wrapText="1"/>
    </xf>
    <xf numFmtId="169" fontId="39" fillId="0" borderId="17" xfId="46" applyFont="1" applyBorder="1" applyAlignment="1">
      <alignment horizontal="right" vertical="center" wrapText="1"/>
    </xf>
    <xf numFmtId="169" fontId="39" fillId="0" borderId="17" xfId="46" applyFont="1" applyBorder="1" applyAlignment="1">
      <alignment horizontal="right" wrapText="1"/>
    </xf>
    <xf numFmtId="169" fontId="38" fillId="0" borderId="48" xfId="46" applyFont="1" applyBorder="1" applyAlignment="1">
      <alignment horizont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7" fontId="43" fillId="0" borderId="0" xfId="0" applyNumberFormat="1" applyFont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177" fontId="42" fillId="0" borderId="25" xfId="0" applyNumberFormat="1" applyFont="1" applyBorder="1" applyAlignment="1">
      <alignment vertical="center"/>
    </xf>
    <xf numFmtId="3" fontId="43" fillId="0" borderId="15" xfId="0" applyNumberFormat="1" applyFont="1" applyBorder="1" applyAlignment="1" applyProtection="1">
      <alignment horizontal="right" vertical="center"/>
      <protection/>
    </xf>
    <xf numFmtId="3" fontId="43" fillId="0" borderId="26" xfId="0" applyNumberFormat="1" applyFont="1" applyBorder="1" applyAlignment="1" applyProtection="1">
      <alignment vertical="center"/>
      <protection/>
    </xf>
    <xf numFmtId="177" fontId="43" fillId="0" borderId="27" xfId="52" applyNumberFormat="1" applyFont="1" applyBorder="1" applyAlignment="1" applyProtection="1">
      <alignment vertical="center"/>
      <protection/>
    </xf>
    <xf numFmtId="3" fontId="43" fillId="0" borderId="15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77" fontId="43" fillId="0" borderId="27" xfId="52" applyNumberFormat="1" applyFont="1" applyBorder="1" applyAlignment="1">
      <alignment vertical="center"/>
    </xf>
    <xf numFmtId="3" fontId="42" fillId="24" borderId="15" xfId="0" applyNumberFormat="1" applyFont="1" applyFill="1" applyBorder="1" applyAlignment="1" applyProtection="1">
      <alignment vertical="center"/>
      <protection/>
    </xf>
    <xf numFmtId="3" fontId="42" fillId="24" borderId="26" xfId="0" applyNumberFormat="1" applyFont="1" applyFill="1" applyBorder="1" applyAlignment="1">
      <alignment vertical="center"/>
    </xf>
    <xf numFmtId="177" fontId="42" fillId="24" borderId="27" xfId="52" applyNumberFormat="1" applyFont="1" applyFill="1" applyBorder="1" applyAlignment="1" applyProtection="1">
      <alignment vertical="center"/>
      <protection/>
    </xf>
    <xf numFmtId="3" fontId="42" fillId="0" borderId="28" xfId="0" applyNumberFormat="1" applyFont="1" applyBorder="1" applyAlignment="1">
      <alignment vertical="center"/>
    </xf>
    <xf numFmtId="3" fontId="42" fillId="0" borderId="29" xfId="0" applyNumberFormat="1" applyFont="1" applyBorder="1" applyAlignment="1">
      <alignment vertical="center"/>
    </xf>
    <xf numFmtId="177" fontId="43" fillId="0" borderId="14" xfId="52" applyNumberFormat="1" applyFont="1" applyBorder="1" applyAlignment="1">
      <alignment vertical="center"/>
    </xf>
    <xf numFmtId="177" fontId="42" fillId="24" borderId="27" xfId="0" applyNumberFormat="1" applyFont="1" applyFill="1" applyBorder="1" applyAlignment="1" applyProtection="1">
      <alignment vertical="center"/>
      <protection/>
    </xf>
    <xf numFmtId="3" fontId="42" fillId="0" borderId="15" xfId="0" applyNumberFormat="1" applyFont="1" applyBorder="1" applyAlignment="1">
      <alignment vertical="center"/>
    </xf>
    <xf numFmtId="3" fontId="42" fillId="0" borderId="26" xfId="0" applyNumberFormat="1" applyFont="1" applyBorder="1" applyAlignment="1">
      <alignment vertical="center"/>
    </xf>
    <xf numFmtId="177" fontId="43" fillId="0" borderId="27" xfId="0" applyNumberFormat="1" applyFont="1" applyBorder="1" applyAlignment="1">
      <alignment vertical="center"/>
    </xf>
    <xf numFmtId="3" fontId="42" fillId="8" borderId="15" xfId="0" applyNumberFormat="1" applyFont="1" applyFill="1" applyBorder="1" applyAlignment="1">
      <alignment vertical="center"/>
    </xf>
    <xf numFmtId="177" fontId="42" fillId="8" borderId="27" xfId="0" applyNumberFormat="1" applyFont="1" applyFill="1" applyBorder="1" applyAlignment="1">
      <alignment vertical="center"/>
    </xf>
    <xf numFmtId="3" fontId="42" fillId="8" borderId="26" xfId="0" applyNumberFormat="1" applyFont="1" applyFill="1" applyBorder="1" applyAlignment="1" applyProtection="1">
      <alignment vertical="center"/>
      <protection/>
    </xf>
    <xf numFmtId="177" fontId="42" fillId="8" borderId="27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3" fontId="42" fillId="8" borderId="43" xfId="0" applyNumberFormat="1" applyFont="1" applyFill="1" applyBorder="1" applyAlignment="1">
      <alignment vertical="center"/>
    </xf>
    <xf numFmtId="3" fontId="42" fillId="8" borderId="44" xfId="0" applyNumberFormat="1" applyFont="1" applyFill="1" applyBorder="1" applyAlignment="1">
      <alignment vertical="center"/>
    </xf>
    <xf numFmtId="177" fontId="42" fillId="8" borderId="49" xfId="0" applyNumberFormat="1" applyFont="1" applyFill="1" applyBorder="1" applyAlignment="1">
      <alignment vertical="center"/>
    </xf>
    <xf numFmtId="3" fontId="43" fillId="8" borderId="41" xfId="0" applyNumberFormat="1" applyFont="1" applyFill="1" applyBorder="1" applyAlignment="1">
      <alignment vertical="center"/>
    </xf>
    <xf numFmtId="3" fontId="42" fillId="8" borderId="42" xfId="0" applyNumberFormat="1" applyFont="1" applyFill="1" applyBorder="1" applyAlignment="1">
      <alignment vertical="center"/>
    </xf>
    <xf numFmtId="177" fontId="42" fillId="8" borderId="38" xfId="0" applyNumberFormat="1" applyFont="1" applyFill="1" applyBorder="1" applyAlignment="1">
      <alignment vertical="center"/>
    </xf>
    <xf numFmtId="3" fontId="43" fillId="0" borderId="26" xfId="63" applyNumberFormat="1" applyFont="1" applyBorder="1" applyAlignment="1" applyProtection="1">
      <alignment vertical="center"/>
      <protection/>
    </xf>
    <xf numFmtId="177" fontId="43" fillId="0" borderId="27" xfId="0" applyNumberFormat="1" applyFont="1" applyBorder="1" applyAlignment="1" applyProtection="1">
      <alignment vertical="center"/>
      <protection/>
    </xf>
    <xf numFmtId="4" fontId="43" fillId="0" borderId="0" xfId="0" applyNumberFormat="1" applyFont="1" applyAlignment="1">
      <alignment vertical="center"/>
    </xf>
    <xf numFmtId="177" fontId="43" fillId="0" borderId="14" xfId="0" applyNumberFormat="1" applyFont="1" applyBorder="1" applyAlignment="1">
      <alignment vertical="center"/>
    </xf>
    <xf numFmtId="3" fontId="42" fillId="0" borderId="33" xfId="0" applyNumberFormat="1" applyFont="1" applyBorder="1" applyAlignment="1" applyProtection="1">
      <alignment vertical="center"/>
      <protection/>
    </xf>
    <xf numFmtId="3" fontId="42" fillId="0" borderId="34" xfId="0" applyNumberFormat="1" applyFont="1" applyBorder="1" applyAlignment="1">
      <alignment vertical="center"/>
    </xf>
    <xf numFmtId="177" fontId="42" fillId="0" borderId="35" xfId="0" applyNumberFormat="1" applyFont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0" fontId="43" fillId="3" borderId="0" xfId="0" applyFont="1" applyFill="1" applyAlignment="1">
      <alignment vertical="center"/>
    </xf>
    <xf numFmtId="0" fontId="46" fillId="3" borderId="0" xfId="58" applyFont="1" applyFill="1" applyAlignment="1">
      <alignment vertical="center"/>
      <protection/>
    </xf>
    <xf numFmtId="3" fontId="43" fillId="3" borderId="0" xfId="67" applyNumberFormat="1" applyFont="1" applyFill="1" applyBorder="1" applyAlignment="1">
      <alignment vertical="center"/>
      <protection/>
    </xf>
    <xf numFmtId="0" fontId="43" fillId="0" borderId="0" xfId="58" applyFont="1" applyAlignment="1">
      <alignment vertical="center"/>
      <protection/>
    </xf>
    <xf numFmtId="3" fontId="43" fillId="0" borderId="0" xfId="67" applyNumberFormat="1" applyFont="1" applyBorder="1" applyAlignment="1">
      <alignment vertical="center"/>
      <protection/>
    </xf>
    <xf numFmtId="0" fontId="42" fillId="0" borderId="0" xfId="58" applyFont="1" applyAlignment="1">
      <alignment vertical="center" wrapText="1"/>
      <protection/>
    </xf>
    <xf numFmtId="0" fontId="42" fillId="0" borderId="0" xfId="58" applyFont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177" fontId="45" fillId="0" borderId="17" xfId="0" applyNumberFormat="1" applyFont="1" applyBorder="1" applyAlignment="1" applyProtection="1">
      <alignment vertical="center"/>
      <protection/>
    </xf>
    <xf numFmtId="177" fontId="43" fillId="0" borderId="17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3" fontId="42" fillId="8" borderId="24" xfId="0" applyNumberFormat="1" applyFont="1" applyFill="1" applyBorder="1" applyAlignment="1">
      <alignment vertical="center"/>
    </xf>
    <xf numFmtId="3" fontId="43" fillId="8" borderId="1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>
      <alignment vertical="center"/>
    </xf>
    <xf numFmtId="3" fontId="42" fillId="0" borderId="50" xfId="0" applyNumberFormat="1" applyFont="1" applyFill="1" applyBorder="1" applyAlignment="1">
      <alignment vertical="center"/>
    </xf>
    <xf numFmtId="3" fontId="42" fillId="0" borderId="51" xfId="0" applyNumberFormat="1" applyFont="1" applyFill="1" applyBorder="1" applyAlignment="1">
      <alignment vertical="center"/>
    </xf>
    <xf numFmtId="177" fontId="42" fillId="0" borderId="52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3" fontId="42" fillId="8" borderId="53" xfId="0" applyNumberFormat="1" applyFont="1" applyFill="1" applyBorder="1" applyAlignment="1">
      <alignment vertical="center"/>
    </xf>
    <xf numFmtId="3" fontId="42" fillId="8" borderId="54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 applyProtection="1">
      <alignment vertical="center"/>
      <protection/>
    </xf>
    <xf numFmtId="0" fontId="43" fillId="0" borderId="43" xfId="0" applyFont="1" applyBorder="1" applyAlignment="1">
      <alignment vertical="center"/>
    </xf>
    <xf numFmtId="3" fontId="42" fillId="0" borderId="43" xfId="0" applyNumberFormat="1" applyFont="1" applyFill="1" applyBorder="1" applyAlignment="1" quotePrefix="1">
      <alignment vertical="center"/>
    </xf>
    <xf numFmtId="3" fontId="42" fillId="0" borderId="41" xfId="0" applyNumberFormat="1" applyFont="1" applyFill="1" applyBorder="1" applyAlignment="1">
      <alignment vertical="center"/>
    </xf>
    <xf numFmtId="3" fontId="42" fillId="24" borderId="41" xfId="0" applyNumberFormat="1" applyFont="1" applyFill="1" applyBorder="1" applyAlignment="1" applyProtection="1">
      <alignment vertical="center"/>
      <protection/>
    </xf>
    <xf numFmtId="3" fontId="43" fillId="0" borderId="0" xfId="63" applyNumberFormat="1" applyFont="1" applyBorder="1" applyAlignment="1" applyProtection="1">
      <alignment vertical="center"/>
      <protection/>
    </xf>
    <xf numFmtId="3" fontId="42" fillId="24" borderId="0" xfId="0" applyNumberFormat="1" applyFont="1" applyFill="1" applyBorder="1" applyAlignment="1">
      <alignment vertical="center"/>
    </xf>
    <xf numFmtId="3" fontId="42" fillId="0" borderId="55" xfId="0" applyNumberFormat="1" applyFont="1" applyBorder="1" applyAlignment="1">
      <alignment vertical="center"/>
    </xf>
    <xf numFmtId="3" fontId="42" fillId="0" borderId="39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5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43" fontId="43" fillId="0" borderId="17" xfId="0" applyNumberFormat="1" applyFont="1" applyBorder="1" applyAlignment="1">
      <alignment vertical="center"/>
    </xf>
    <xf numFmtId="43" fontId="43" fillId="0" borderId="12" xfId="0" applyNumberFormat="1" applyFont="1" applyBorder="1" applyAlignment="1">
      <alignment vertical="center"/>
    </xf>
    <xf numFmtId="43" fontId="43" fillId="0" borderId="59" xfId="0" applyNumberFormat="1" applyFont="1" applyBorder="1" applyAlignment="1">
      <alignment vertical="center"/>
    </xf>
    <xf numFmtId="43" fontId="43" fillId="0" borderId="19" xfId="0" applyNumberFormat="1" applyFont="1" applyBorder="1" applyAlignment="1">
      <alignment vertical="center"/>
    </xf>
    <xf numFmtId="43" fontId="43" fillId="0" borderId="20" xfId="0" applyNumberFormat="1" applyFont="1" applyBorder="1" applyAlignment="1">
      <alignment vertical="center"/>
    </xf>
    <xf numFmtId="43" fontId="43" fillId="0" borderId="57" xfId="0" applyNumberFormat="1" applyFont="1" applyBorder="1" applyAlignment="1">
      <alignment vertical="center"/>
    </xf>
    <xf numFmtId="0" fontId="43" fillId="0" borderId="0" xfId="56" applyFont="1" applyAlignment="1">
      <alignment vertical="center"/>
      <protection/>
    </xf>
    <xf numFmtId="0" fontId="43" fillId="0" borderId="0" xfId="56" applyFont="1" applyFill="1" applyAlignment="1">
      <alignment vertical="center"/>
      <protection/>
    </xf>
    <xf numFmtId="173" fontId="43" fillId="0" borderId="0" xfId="56" applyNumberFormat="1" applyFont="1" applyAlignment="1">
      <alignment vertical="center"/>
      <protection/>
    </xf>
    <xf numFmtId="0" fontId="42" fillId="0" borderId="0" xfId="56" applyFont="1" applyAlignment="1">
      <alignment vertical="center"/>
      <protection/>
    </xf>
    <xf numFmtId="0" fontId="43" fillId="0" borderId="0" xfId="56" applyFont="1" applyBorder="1" applyAlignment="1">
      <alignment vertical="center"/>
      <protection/>
    </xf>
    <xf numFmtId="4" fontId="43" fillId="0" borderId="0" xfId="56" applyNumberFormat="1" applyFont="1" applyAlignment="1">
      <alignment vertical="center"/>
      <protection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1" fontId="47" fillId="8" borderId="13" xfId="59" applyNumberFormat="1" applyFont="1" applyFill="1" applyBorder="1" applyAlignment="1">
      <alignment horizontal="center" vertical="center"/>
      <protection/>
    </xf>
    <xf numFmtId="2" fontId="47" fillId="8" borderId="12" xfId="59" applyNumberFormat="1" applyFont="1" applyFill="1" applyBorder="1" applyAlignment="1">
      <alignment horizontal="center" vertical="center"/>
      <protection/>
    </xf>
    <xf numFmtId="0" fontId="42" fillId="0" borderId="51" xfId="56" applyFont="1" applyBorder="1" applyAlignment="1">
      <alignment horizontal="center" vertical="center" wrapText="1"/>
      <protection/>
    </xf>
    <xf numFmtId="0" fontId="42" fillId="0" borderId="52" xfId="56" applyFont="1" applyBorder="1" applyAlignment="1">
      <alignment horizontal="center" vertical="center" wrapText="1"/>
      <protection/>
    </xf>
    <xf numFmtId="0" fontId="42" fillId="0" borderId="0" xfId="56" applyFont="1" applyBorder="1" applyAlignment="1">
      <alignment horizontal="center" vertical="center" wrapText="1"/>
      <protection/>
    </xf>
    <xf numFmtId="177" fontId="42" fillId="0" borderId="19" xfId="53" applyNumberFormat="1" applyFont="1" applyBorder="1" applyAlignment="1">
      <alignment vertical="center"/>
    </xf>
    <xf numFmtId="0" fontId="42" fillId="0" borderId="20" xfId="56" applyFont="1" applyBorder="1" applyAlignment="1">
      <alignment vertical="center"/>
      <protection/>
    </xf>
    <xf numFmtId="177" fontId="42" fillId="22" borderId="0" xfId="56" applyNumberFormat="1" applyFont="1" applyFill="1" applyBorder="1" applyAlignment="1">
      <alignment vertical="center"/>
      <protection/>
    </xf>
    <xf numFmtId="177" fontId="43" fillId="26" borderId="11" xfId="53" applyNumberFormat="1" applyFont="1" applyFill="1" applyBorder="1" applyAlignment="1">
      <alignment vertical="center"/>
    </xf>
    <xf numFmtId="0" fontId="43" fillId="0" borderId="14" xfId="56" applyFont="1" applyFill="1" applyBorder="1" applyAlignment="1">
      <alignment vertical="center"/>
      <protection/>
    </xf>
    <xf numFmtId="177" fontId="43" fillId="26" borderId="17" xfId="53" applyNumberFormat="1" applyFont="1" applyFill="1" applyBorder="1" applyAlignment="1">
      <alignment vertical="center"/>
    </xf>
    <xf numFmtId="0" fontId="43" fillId="0" borderId="60" xfId="56" applyFont="1" applyBorder="1" applyAlignment="1">
      <alignment vertical="center"/>
      <protection/>
    </xf>
    <xf numFmtId="177" fontId="42" fillId="0" borderId="0" xfId="53" applyNumberFormat="1" applyFont="1" applyBorder="1" applyAlignment="1">
      <alignment vertical="center"/>
    </xf>
    <xf numFmtId="0" fontId="42" fillId="0" borderId="0" xfId="56" applyFont="1" applyBorder="1" applyAlignment="1">
      <alignment vertical="center"/>
      <protection/>
    </xf>
    <xf numFmtId="0" fontId="43" fillId="0" borderId="0" xfId="64" applyFont="1" applyAlignment="1">
      <alignment vertical="center"/>
      <protection/>
    </xf>
    <xf numFmtId="4" fontId="43" fillId="0" borderId="0" xfId="64" applyNumberFormat="1" applyFont="1" applyAlignment="1">
      <alignment vertical="center"/>
      <protection/>
    </xf>
    <xf numFmtId="4" fontId="43" fillId="26" borderId="11" xfId="64" applyNumberFormat="1" applyFont="1" applyFill="1" applyBorder="1" applyAlignment="1" applyProtection="1">
      <alignment horizontal="center" vertical="center"/>
      <protection locked="0"/>
    </xf>
    <xf numFmtId="177" fontId="43" fillId="0" borderId="11" xfId="53" applyNumberFormat="1" applyFont="1" applyBorder="1" applyAlignment="1" applyProtection="1">
      <alignment horizontal="right" vertical="center"/>
      <protection locked="0"/>
    </xf>
    <xf numFmtId="0" fontId="43" fillId="0" borderId="61" xfId="64" applyNumberFormat="1" applyFont="1" applyFill="1" applyBorder="1" applyAlignment="1" applyProtection="1">
      <alignment vertical="center"/>
      <protection locked="0"/>
    </xf>
    <xf numFmtId="0" fontId="43" fillId="0" borderId="27" xfId="64" applyNumberFormat="1" applyFont="1" applyFill="1" applyBorder="1" applyAlignment="1" applyProtection="1">
      <alignment vertical="center"/>
      <protection locked="0"/>
    </xf>
    <xf numFmtId="177" fontId="43" fillId="0" borderId="17" xfId="53" applyNumberFormat="1" applyFont="1" applyBorder="1" applyAlignment="1" applyProtection="1">
      <alignment horizontal="right" vertical="center"/>
      <protection locked="0"/>
    </xf>
    <xf numFmtId="49" fontId="43" fillId="0" borderId="62" xfId="64" applyNumberFormat="1" applyFont="1" applyFill="1" applyBorder="1" applyAlignment="1" applyProtection="1">
      <alignment horizontal="center" vertical="center"/>
      <protection locked="0"/>
    </xf>
    <xf numFmtId="49" fontId="43" fillId="0" borderId="25" xfId="64" applyNumberFormat="1" applyFont="1" applyFill="1" applyBorder="1" applyAlignment="1" applyProtection="1">
      <alignment horizontal="center" vertical="center"/>
      <protection locked="0"/>
    </xf>
    <xf numFmtId="0" fontId="43" fillId="0" borderId="62" xfId="64" applyNumberFormat="1" applyFont="1" applyFill="1" applyBorder="1" applyAlignment="1" applyProtection="1">
      <alignment vertical="center"/>
      <protection locked="0"/>
    </xf>
    <xf numFmtId="0" fontId="43" fillId="0" borderId="25" xfId="64" applyNumberFormat="1" applyFont="1" applyFill="1" applyBorder="1" applyAlignment="1" applyProtection="1">
      <alignment vertical="center"/>
      <protection locked="0"/>
    </xf>
    <xf numFmtId="4" fontId="43" fillId="26" borderId="56" xfId="64" applyNumberFormat="1" applyFont="1" applyFill="1" applyBorder="1" applyAlignment="1" applyProtection="1">
      <alignment horizontal="center" vertical="center"/>
      <protection locked="0"/>
    </xf>
    <xf numFmtId="177" fontId="43" fillId="0" borderId="48" xfId="53" applyNumberFormat="1" applyFont="1" applyBorder="1" applyAlignment="1" applyProtection="1">
      <alignment horizontal="right" vertical="center"/>
      <protection locked="0"/>
    </xf>
    <xf numFmtId="0" fontId="43" fillId="0" borderId="63" xfId="64" applyNumberFormat="1" applyFont="1" applyFill="1" applyBorder="1" applyAlignment="1" applyProtection="1">
      <alignment vertical="center"/>
      <protection locked="0"/>
    </xf>
    <xf numFmtId="0" fontId="43" fillId="0" borderId="20" xfId="64" applyNumberFormat="1" applyFont="1" applyFill="1" applyBorder="1" applyAlignment="1" applyProtection="1">
      <alignment vertical="center"/>
      <protection locked="0"/>
    </xf>
    <xf numFmtId="4" fontId="43" fillId="0" borderId="17" xfId="64" applyNumberFormat="1" applyFont="1" applyBorder="1" applyAlignment="1" applyProtection="1">
      <alignment horizontal="center" vertical="center"/>
      <protection locked="0"/>
    </xf>
    <xf numFmtId="177" fontId="43" fillId="0" borderId="17" xfId="64" applyNumberFormat="1" applyFont="1" applyBorder="1" applyAlignment="1" applyProtection="1">
      <alignment horizontal="right" vertical="center"/>
      <protection locked="0"/>
    </xf>
    <xf numFmtId="4" fontId="43" fillId="0" borderId="48" xfId="64" applyNumberFormat="1" applyFont="1" applyBorder="1" applyAlignment="1" applyProtection="1">
      <alignment horizontal="center" vertical="center"/>
      <protection locked="0"/>
    </xf>
    <xf numFmtId="177" fontId="43" fillId="0" borderId="48" xfId="64" applyNumberFormat="1" applyFont="1" applyBorder="1" applyAlignment="1" applyProtection="1">
      <alignment horizontal="right" vertical="center"/>
      <protection locked="0"/>
    </xf>
    <xf numFmtId="0" fontId="42" fillId="0" borderId="0" xfId="64" applyFont="1" applyBorder="1" applyAlignment="1">
      <alignment horizontal="center" vertical="center"/>
      <protection/>
    </xf>
    <xf numFmtId="0" fontId="43" fillId="0" borderId="0" xfId="64" applyFont="1" applyBorder="1" applyAlignment="1">
      <alignment vertical="center"/>
      <protection/>
    </xf>
    <xf numFmtId="177" fontId="42" fillId="0" borderId="0" xfId="64" applyNumberFormat="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3" fontId="43" fillId="0" borderId="15" xfId="0" applyNumberFormat="1" applyFont="1" applyBorder="1" applyAlignment="1">
      <alignment vertical="center"/>
    </xf>
    <xf numFmtId="43" fontId="43" fillId="0" borderId="22" xfId="0" applyNumberFormat="1" applyFont="1" applyBorder="1" applyAlignment="1">
      <alignment vertical="center"/>
    </xf>
    <xf numFmtId="43" fontId="43" fillId="0" borderId="0" xfId="0" applyNumberFormat="1" applyFont="1" applyBorder="1" applyAlignment="1">
      <alignment vertical="center"/>
    </xf>
    <xf numFmtId="0" fontId="43" fillId="0" borderId="0" xfId="65" applyFont="1" applyAlignment="1">
      <alignment vertical="center"/>
      <protection/>
    </xf>
    <xf numFmtId="4" fontId="43" fillId="0" borderId="0" xfId="65" applyNumberFormat="1" applyFont="1" applyAlignment="1">
      <alignment vertical="center"/>
      <protection/>
    </xf>
    <xf numFmtId="0" fontId="42" fillId="0" borderId="18" xfId="65" applyFont="1" applyFill="1" applyBorder="1" applyAlignment="1">
      <alignment horizontal="center" vertical="center" wrapText="1"/>
      <protection/>
    </xf>
    <xf numFmtId="0" fontId="42" fillId="0" borderId="17" xfId="65" applyFont="1" applyFill="1" applyBorder="1" applyAlignment="1">
      <alignment horizontal="center" vertical="center" wrapText="1"/>
      <protection/>
    </xf>
    <xf numFmtId="0" fontId="42" fillId="0" borderId="60" xfId="65" applyFont="1" applyFill="1" applyBorder="1" applyAlignment="1">
      <alignment vertical="center" wrapText="1"/>
      <protection/>
    </xf>
    <xf numFmtId="4" fontId="43" fillId="0" borderId="66" xfId="65" applyNumberFormat="1" applyFont="1" applyBorder="1" applyAlignment="1">
      <alignment vertical="center"/>
      <protection/>
    </xf>
    <xf numFmtId="4" fontId="43" fillId="0" borderId="17" xfId="65" applyNumberFormat="1" applyFont="1" applyFill="1" applyBorder="1" applyAlignment="1">
      <alignment horizontal="center" vertical="center" wrapText="1"/>
      <protection/>
    </xf>
    <xf numFmtId="4" fontId="43" fillId="0" borderId="66" xfId="65" applyNumberFormat="1" applyFont="1" applyFill="1" applyBorder="1" applyAlignment="1">
      <alignment vertical="center" wrapText="1"/>
      <protection/>
    </xf>
    <xf numFmtId="0" fontId="42" fillId="0" borderId="48" xfId="65" applyFont="1" applyFill="1" applyBorder="1" applyAlignment="1">
      <alignment horizontal="center" vertical="center" wrapText="1"/>
      <protection/>
    </xf>
    <xf numFmtId="4" fontId="42" fillId="0" borderId="12" xfId="65" applyNumberFormat="1" applyFont="1" applyFill="1" applyBorder="1" applyAlignment="1">
      <alignment horizontal="center" vertical="center" wrapText="1"/>
      <protection/>
    </xf>
    <xf numFmtId="4" fontId="55" fillId="0" borderId="0" xfId="65" applyNumberFormat="1" applyFont="1" applyAlignment="1">
      <alignment vertical="center"/>
      <protection/>
    </xf>
    <xf numFmtId="4" fontId="43" fillId="0" borderId="59" xfId="65" applyNumberFormat="1" applyFont="1" applyFill="1" applyBorder="1" applyAlignment="1" quotePrefix="1">
      <alignment horizontal="center" vertical="center" wrapText="1"/>
      <protection/>
    </xf>
    <xf numFmtId="0" fontId="43" fillId="0" borderId="17" xfId="65" applyFont="1" applyFill="1" applyBorder="1" applyAlignment="1">
      <alignment horizontal="center" vertical="center"/>
      <protection/>
    </xf>
    <xf numFmtId="177" fontId="43" fillId="0" borderId="17" xfId="65" applyNumberFormat="1" applyFont="1" applyFill="1" applyBorder="1" applyAlignment="1">
      <alignment horizontal="center" vertical="center" wrapText="1"/>
      <protection/>
    </xf>
    <xf numFmtId="177" fontId="43" fillId="0" borderId="17" xfId="65" applyNumberFormat="1" applyFont="1" applyFill="1" applyBorder="1" applyAlignment="1">
      <alignment horizontal="right" vertical="center" wrapText="1"/>
      <protection/>
    </xf>
    <xf numFmtId="177" fontId="43" fillId="0" borderId="17" xfId="65" applyNumberFormat="1" applyFont="1" applyBorder="1" applyAlignment="1">
      <alignment horizontal="center" vertical="center"/>
      <protection/>
    </xf>
    <xf numFmtId="4" fontId="43" fillId="0" borderId="12" xfId="65" applyNumberFormat="1" applyFont="1" applyFill="1" applyBorder="1" applyAlignment="1">
      <alignment horizontal="center" vertical="center" wrapText="1"/>
      <protection/>
    </xf>
    <xf numFmtId="0" fontId="43" fillId="0" borderId="0" xfId="65" applyFont="1" applyAlignment="1">
      <alignment horizontal="center" vertical="center"/>
      <protection/>
    </xf>
    <xf numFmtId="4" fontId="55" fillId="0" borderId="0" xfId="65" applyNumberFormat="1" applyFont="1" applyAlignment="1">
      <alignment horizontal="center" vertical="center"/>
      <protection/>
    </xf>
    <xf numFmtId="4" fontId="43" fillId="0" borderId="0" xfId="65" applyNumberFormat="1" applyFont="1" applyAlignment="1">
      <alignment horizontal="center" vertical="center"/>
      <protection/>
    </xf>
    <xf numFmtId="4" fontId="43" fillId="0" borderId="59" xfId="65" applyNumberFormat="1" applyFont="1" applyFill="1" applyBorder="1" applyAlignment="1">
      <alignment horizontal="center" vertical="center" wrapText="1"/>
      <protection/>
    </xf>
    <xf numFmtId="171" fontId="43" fillId="0" borderId="17" xfId="65" applyNumberFormat="1" applyFont="1" applyFill="1" applyBorder="1" applyAlignment="1">
      <alignment horizontal="right" vertical="center" wrapText="1"/>
      <protection/>
    </xf>
    <xf numFmtId="0" fontId="43" fillId="0" borderId="17" xfId="65" applyNumberFormat="1" applyFont="1" applyBorder="1" applyAlignment="1">
      <alignment horizontal="center" vertical="center"/>
      <protection/>
    </xf>
    <xf numFmtId="4" fontId="43" fillId="0" borderId="64" xfId="65" applyNumberFormat="1" applyFont="1" applyFill="1" applyBorder="1" applyAlignment="1">
      <alignment horizontal="center" vertical="center" wrapText="1"/>
      <protection/>
    </xf>
    <xf numFmtId="0" fontId="43" fillId="0" borderId="48" xfId="65" applyFont="1" applyFill="1" applyBorder="1" applyAlignment="1">
      <alignment horizontal="center" vertical="center"/>
      <protection/>
    </xf>
    <xf numFmtId="4" fontId="43" fillId="0" borderId="48" xfId="65" applyNumberFormat="1" applyFont="1" applyFill="1" applyBorder="1" applyAlignment="1">
      <alignment horizontal="center" vertical="center" wrapText="1"/>
      <protection/>
    </xf>
    <xf numFmtId="171" fontId="43" fillId="0" borderId="48" xfId="65" applyNumberFormat="1" applyFont="1" applyFill="1" applyBorder="1" applyAlignment="1">
      <alignment horizontal="right" vertical="center" wrapText="1"/>
      <protection/>
    </xf>
    <xf numFmtId="0" fontId="43" fillId="0" borderId="48" xfId="65" applyNumberFormat="1" applyFont="1" applyBorder="1" applyAlignment="1">
      <alignment horizontal="center" vertical="center"/>
      <protection/>
    </xf>
    <xf numFmtId="4" fontId="43" fillId="0" borderId="25" xfId="65" applyNumberFormat="1" applyFont="1" applyFill="1" applyBorder="1" applyAlignment="1">
      <alignment horizontal="center" vertical="center" wrapText="1"/>
      <protection/>
    </xf>
    <xf numFmtId="49" fontId="43" fillId="0" borderId="67" xfId="65" applyNumberFormat="1" applyFont="1" applyBorder="1" applyAlignment="1">
      <alignment horizontal="center" vertical="center"/>
      <protection/>
    </xf>
    <xf numFmtId="0" fontId="43" fillId="0" borderId="68" xfId="65" applyFont="1" applyBorder="1" applyAlignment="1">
      <alignment horizontal="center" vertical="center"/>
      <protection/>
    </xf>
    <xf numFmtId="0" fontId="43" fillId="0" borderId="67" xfId="65" applyFont="1" applyBorder="1" applyAlignment="1">
      <alignment horizontal="center" vertical="center"/>
      <protection/>
    </xf>
    <xf numFmtId="0" fontId="43" fillId="0" borderId="67" xfId="65" applyNumberFormat="1" applyFont="1" applyBorder="1" applyAlignment="1" applyProtection="1">
      <alignment horizontal="center" vertical="center"/>
      <protection locked="0"/>
    </xf>
    <xf numFmtId="4" fontId="43" fillId="0" borderId="67" xfId="65" applyNumberFormat="1" applyFont="1" applyBorder="1" applyAlignment="1">
      <alignment horizontal="center" vertical="center"/>
      <protection/>
    </xf>
    <xf numFmtId="4" fontId="43" fillId="0" borderId="0" xfId="65" applyNumberFormat="1" applyFont="1" applyFill="1" applyBorder="1" applyAlignment="1">
      <alignment horizontal="center" vertical="center" wrapText="1"/>
      <protection/>
    </xf>
    <xf numFmtId="0" fontId="43" fillId="0" borderId="0" xfId="65" applyFont="1" applyFill="1" applyBorder="1" applyAlignment="1">
      <alignment horizontal="center" vertical="center"/>
      <protection/>
    </xf>
    <xf numFmtId="0" fontId="43" fillId="0" borderId="0" xfId="65" applyNumberFormat="1" applyFont="1" applyFill="1" applyBorder="1" applyAlignment="1">
      <alignment horizontal="center" vertical="center" wrapText="1"/>
      <protection/>
    </xf>
    <xf numFmtId="0" fontId="43" fillId="0" borderId="0" xfId="65" applyNumberFormat="1" applyFont="1" applyBorder="1" applyAlignment="1">
      <alignment horizontal="center" vertical="center"/>
      <protection/>
    </xf>
    <xf numFmtId="3" fontId="43" fillId="0" borderId="0" xfId="65" applyNumberFormat="1" applyFont="1" applyFill="1" applyBorder="1" applyAlignment="1">
      <alignment horizontal="center" vertical="center" wrapText="1"/>
      <protection/>
    </xf>
    <xf numFmtId="0" fontId="42" fillId="0" borderId="0" xfId="65" applyFont="1" applyAlignment="1">
      <alignment vertical="center"/>
      <protection/>
    </xf>
    <xf numFmtId="0" fontId="42" fillId="0" borderId="0" xfId="65" applyFont="1" applyAlignment="1">
      <alignment horizontal="center" vertical="center"/>
      <protection/>
    </xf>
    <xf numFmtId="0" fontId="32" fillId="8" borderId="69" xfId="0" applyFont="1" applyFill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4" fontId="43" fillId="0" borderId="12" xfId="0" applyNumberFormat="1" applyFont="1" applyBorder="1" applyAlignment="1">
      <alignment horizontal="right" vertical="center" wrapText="1"/>
    </xf>
    <xf numFmtId="4" fontId="42" fillId="0" borderId="19" xfId="0" applyNumberFormat="1" applyFont="1" applyBorder="1" applyAlignment="1">
      <alignment horizontal="right" vertical="center" wrapText="1"/>
    </xf>
    <xf numFmtId="4" fontId="42" fillId="0" borderId="20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/>
    </xf>
    <xf numFmtId="4" fontId="43" fillId="0" borderId="12" xfId="0" applyNumberFormat="1" applyFont="1" applyBorder="1" applyAlignment="1">
      <alignment horizontal="right" vertical="center"/>
    </xf>
    <xf numFmtId="0" fontId="43" fillId="0" borderId="42" xfId="0" applyFont="1" applyBorder="1" applyAlignment="1">
      <alignment horizontal="right" vertical="center" wrapText="1"/>
    </xf>
    <xf numFmtId="0" fontId="43" fillId="0" borderId="42" xfId="0" applyFont="1" applyBorder="1" applyAlignment="1">
      <alignment vertical="center"/>
    </xf>
    <xf numFmtId="4" fontId="42" fillId="0" borderId="2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70" xfId="0" applyFont="1" applyBorder="1" applyAlignment="1">
      <alignment vertical="center"/>
    </xf>
    <xf numFmtId="1" fontId="47" fillId="8" borderId="71" xfId="59" applyNumberFormat="1" applyFont="1" applyFill="1" applyBorder="1" applyAlignment="1">
      <alignment horizontal="center" vertical="center"/>
      <protection/>
    </xf>
    <xf numFmtId="2" fontId="47" fillId="8" borderId="72" xfId="59" applyNumberFormat="1" applyFont="1" applyFill="1" applyBorder="1" applyAlignment="1">
      <alignment horizontal="center" vertical="center" wrapText="1"/>
      <protection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73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72" xfId="0" applyFont="1" applyBorder="1" applyAlignment="1" applyProtection="1">
      <alignment horizontal="center" vertical="center"/>
      <protection locked="0"/>
    </xf>
    <xf numFmtId="0" fontId="43" fillId="0" borderId="74" xfId="0" applyFont="1" applyBorder="1" applyAlignment="1" applyProtection="1">
      <alignment horizontal="left" vertical="center"/>
      <protection locked="0"/>
    </xf>
    <xf numFmtId="4" fontId="43" fillId="0" borderId="11" xfId="0" applyNumberFormat="1" applyFont="1" applyBorder="1" applyAlignment="1" applyProtection="1">
      <alignment horizontal="right" vertical="center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4" fontId="43" fillId="0" borderId="75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Border="1" applyAlignment="1" applyProtection="1">
      <alignment horizontal="left" vertical="center"/>
      <protection locked="0"/>
    </xf>
    <xf numFmtId="4" fontId="43" fillId="0" borderId="17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4" fontId="43" fillId="0" borderId="72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right" vertical="center"/>
      <protection locked="0"/>
    </xf>
    <xf numFmtId="4" fontId="43" fillId="0" borderId="72" xfId="0" applyNumberFormat="1" applyFont="1" applyFill="1" applyBorder="1" applyAlignment="1" applyProtection="1">
      <alignment horizontal="right" vertical="center"/>
      <protection locked="0"/>
    </xf>
    <xf numFmtId="4" fontId="56" fillId="0" borderId="17" xfId="0" applyNumberFormat="1" applyFont="1" applyBorder="1" applyAlignment="1" applyProtection="1">
      <alignment horizontal="right" vertical="center"/>
      <protection locked="0"/>
    </xf>
    <xf numFmtId="4" fontId="56" fillId="0" borderId="72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Border="1" applyAlignment="1" applyProtection="1">
      <alignment horizontal="left" vertical="center" wrapText="1"/>
      <protection locked="0"/>
    </xf>
    <xf numFmtId="0" fontId="42" fillId="0" borderId="76" xfId="0" applyFont="1" applyBorder="1" applyAlignment="1">
      <alignment horizontal="center" vertical="center"/>
    </xf>
    <xf numFmtId="4" fontId="42" fillId="0" borderId="77" xfId="0" applyNumberFormat="1" applyFont="1" applyBorder="1" applyAlignment="1" applyProtection="1">
      <alignment horizontal="right" vertical="center"/>
      <protection/>
    </xf>
    <xf numFmtId="0" fontId="42" fillId="0" borderId="77" xfId="0" applyFont="1" applyBorder="1" applyAlignment="1">
      <alignment horizontal="center" vertical="center"/>
    </xf>
    <xf numFmtId="4" fontId="42" fillId="0" borderId="78" xfId="0" applyNumberFormat="1" applyFont="1" applyBorder="1" applyAlignment="1">
      <alignment horizontal="right" vertical="center"/>
    </xf>
    <xf numFmtId="3" fontId="43" fillId="0" borderId="0" xfId="0" applyNumberFormat="1" applyFont="1" applyAlignment="1">
      <alignment/>
    </xf>
    <xf numFmtId="0" fontId="58" fillId="0" borderId="0" xfId="0" applyFont="1" applyAlignment="1">
      <alignment/>
    </xf>
    <xf numFmtId="2" fontId="47" fillId="8" borderId="12" xfId="59" applyNumberFormat="1" applyFont="1" applyFill="1" applyBorder="1" applyAlignment="1">
      <alignment horizontal="center" vertical="center" wrapText="1"/>
      <protection/>
    </xf>
    <xf numFmtId="0" fontId="42" fillId="0" borderId="59" xfId="0" applyFont="1" applyFill="1" applyBorder="1" applyAlignment="1" applyProtection="1">
      <alignment horizontal="center" vertical="center"/>
      <protection locked="0"/>
    </xf>
    <xf numFmtId="0" fontId="42" fillId="0" borderId="60" xfId="0" applyFont="1" applyFill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/>
      <protection locked="0"/>
    </xf>
    <xf numFmtId="4" fontId="43" fillId="0" borderId="66" xfId="0" applyNumberFormat="1" applyFont="1" applyBorder="1" applyAlignment="1" applyProtection="1">
      <alignment horizontal="left" vertical="center"/>
      <protection locked="0"/>
    </xf>
    <xf numFmtId="4" fontId="43" fillId="0" borderId="12" xfId="0" applyNumberFormat="1" applyFont="1" applyBorder="1" applyAlignment="1" applyProtection="1">
      <alignment horizontal="right" vertical="center"/>
      <protection locked="0"/>
    </xf>
    <xf numFmtId="4" fontId="43" fillId="0" borderId="18" xfId="0" applyNumberFormat="1" applyFont="1" applyBorder="1" applyAlignment="1" applyProtection="1">
      <alignment horizontal="right" vertical="center"/>
      <protection locked="0"/>
    </xf>
    <xf numFmtId="4" fontId="43" fillId="0" borderId="17" xfId="0" applyNumberFormat="1" applyFont="1" applyBorder="1" applyAlignment="1" applyProtection="1">
      <alignment horizontal="left" vertical="center"/>
      <protection locked="0"/>
    </xf>
    <xf numFmtId="0" fontId="42" fillId="0" borderId="57" xfId="0" applyFont="1" applyBorder="1" applyAlignment="1">
      <alignment horizontal="center" vertical="center"/>
    </xf>
    <xf numFmtId="4" fontId="42" fillId="0" borderId="19" xfId="0" applyNumberFormat="1" applyFont="1" applyBorder="1" applyAlignment="1" applyProtection="1">
      <alignment horizontal="right" vertical="center"/>
      <protection/>
    </xf>
    <xf numFmtId="3" fontId="42" fillId="8" borderId="23" xfId="0" applyNumberFormat="1" applyFont="1" applyFill="1" applyBorder="1" applyAlignment="1">
      <alignment vertical="center"/>
    </xf>
    <xf numFmtId="177" fontId="42" fillId="8" borderId="25" xfId="0" applyNumberFormat="1" applyFont="1" applyFill="1" applyBorder="1" applyAlignment="1">
      <alignment vertical="center"/>
    </xf>
    <xf numFmtId="4" fontId="43" fillId="26" borderId="58" xfId="64" applyNumberFormat="1" applyFont="1" applyFill="1" applyBorder="1" applyAlignment="1" applyProtection="1">
      <alignment horizontal="center" vertical="center"/>
      <protection locked="0"/>
    </xf>
    <xf numFmtId="177" fontId="43" fillId="0" borderId="19" xfId="53" applyNumberFormat="1" applyFont="1" applyBorder="1" applyAlignment="1" applyProtection="1">
      <alignment horizontal="right" vertical="center"/>
      <protection locked="0"/>
    </xf>
    <xf numFmtId="177" fontId="43" fillId="0" borderId="14" xfId="64" applyNumberFormat="1" applyFont="1" applyBorder="1" applyAlignment="1" applyProtection="1">
      <alignment horizontal="right" vertical="center"/>
      <protection locked="0"/>
    </xf>
    <xf numFmtId="177" fontId="43" fillId="0" borderId="12" xfId="64" applyNumberFormat="1" applyFont="1" applyBorder="1" applyAlignment="1" applyProtection="1">
      <alignment horizontal="right" vertical="center"/>
      <protection locked="0"/>
    </xf>
    <xf numFmtId="177" fontId="43" fillId="0" borderId="25" xfId="64" applyNumberFormat="1" applyFont="1" applyBorder="1" applyAlignment="1" applyProtection="1">
      <alignment horizontal="right" vertical="center"/>
      <protection locked="0"/>
    </xf>
    <xf numFmtId="3" fontId="43" fillId="0" borderId="0" xfId="66" applyNumberFormat="1" applyFont="1">
      <alignment/>
      <protection/>
    </xf>
    <xf numFmtId="3" fontId="43" fillId="0" borderId="0" xfId="66" applyNumberFormat="1" applyFont="1" applyBorder="1">
      <alignment/>
      <protection/>
    </xf>
    <xf numFmtId="4" fontId="43" fillId="0" borderId="0" xfId="66" applyNumberFormat="1" applyFont="1">
      <alignment/>
      <protection/>
    </xf>
    <xf numFmtId="1" fontId="47" fillId="8" borderId="79" xfId="61" applyNumberFormat="1" applyFont="1" applyFill="1" applyBorder="1" applyAlignment="1">
      <alignment horizontal="center" vertical="center"/>
      <protection/>
    </xf>
    <xf numFmtId="3" fontId="43" fillId="0" borderId="0" xfId="66" applyNumberFormat="1" applyFont="1" applyAlignment="1">
      <alignment horizontal="centerContinuous"/>
      <protection/>
    </xf>
    <xf numFmtId="4" fontId="43" fillId="0" borderId="0" xfId="66" applyNumberFormat="1" applyFont="1" applyAlignment="1">
      <alignment horizontal="centerContinuous"/>
      <protection/>
    </xf>
    <xf numFmtId="3" fontId="47" fillId="8" borderId="80" xfId="61" applyNumberFormat="1" applyFont="1" applyFill="1" applyBorder="1" applyAlignment="1">
      <alignment horizontal="center" vertical="center" wrapText="1"/>
      <protection/>
    </xf>
    <xf numFmtId="3" fontId="42" fillId="0" borderId="64" xfId="66" applyNumberFormat="1" applyFont="1" applyBorder="1" applyAlignment="1">
      <alignment vertical="center"/>
      <protection/>
    </xf>
    <xf numFmtId="3" fontId="43" fillId="0" borderId="48" xfId="66" applyNumberFormat="1" applyFont="1" applyBorder="1" applyAlignment="1">
      <alignment vertical="center"/>
      <protection/>
    </xf>
    <xf numFmtId="1" fontId="42" fillId="0" borderId="62" xfId="0" applyNumberFormat="1" applyFont="1" applyBorder="1" applyAlignment="1">
      <alignment horizontal="center" vertical="center" wrapText="1"/>
    </xf>
    <xf numFmtId="3" fontId="42" fillId="0" borderId="25" xfId="0" applyNumberFormat="1" applyFont="1" applyBorder="1" applyAlignment="1">
      <alignment horizontal="center" vertical="center" wrapText="1"/>
    </xf>
    <xf numFmtId="3" fontId="42" fillId="0" borderId="50" xfId="66" applyNumberFormat="1" applyFont="1" applyFill="1" applyBorder="1" applyAlignment="1">
      <alignment horizontal="left" vertical="center" wrapText="1"/>
      <protection/>
    </xf>
    <xf numFmtId="3" fontId="43" fillId="0" borderId="51" xfId="66" applyNumberFormat="1" applyFont="1" applyFill="1" applyBorder="1" applyAlignment="1">
      <alignment vertical="center"/>
      <protection/>
    </xf>
    <xf numFmtId="43" fontId="42" fillId="0" borderId="51" xfId="66" applyNumberFormat="1" applyFont="1" applyFill="1" applyBorder="1" applyAlignment="1">
      <alignment vertical="center"/>
      <protection/>
    </xf>
    <xf numFmtId="43" fontId="42" fillId="0" borderId="47" xfId="66" applyNumberFormat="1" applyFont="1" applyFill="1" applyBorder="1" applyAlignment="1">
      <alignment vertical="center"/>
      <protection/>
    </xf>
    <xf numFmtId="3" fontId="42" fillId="0" borderId="81" xfId="66" applyNumberFormat="1" applyFont="1" applyBorder="1" applyAlignment="1">
      <alignment horizontal="left" vertical="center" wrapText="1"/>
      <protection/>
    </xf>
    <xf numFmtId="3" fontId="43" fillId="0" borderId="82" xfId="66" applyNumberFormat="1" applyFont="1" applyBorder="1" applyAlignment="1">
      <alignment vertical="center"/>
      <protection/>
    </xf>
    <xf numFmtId="3" fontId="42" fillId="0" borderId="59" xfId="66" applyNumberFormat="1" applyFont="1" applyBorder="1" applyAlignment="1">
      <alignment horizontal="left" vertical="center" wrapText="1"/>
      <protection/>
    </xf>
    <xf numFmtId="3" fontId="43" fillId="0" borderId="17" xfId="66" applyNumberFormat="1" applyFont="1" applyBorder="1" applyAlignment="1">
      <alignment vertical="center"/>
      <protection/>
    </xf>
    <xf numFmtId="3" fontId="43" fillId="0" borderId="10" xfId="69" applyNumberFormat="1" applyFont="1" applyBorder="1" applyAlignment="1">
      <alignment vertical="center"/>
      <protection/>
    </xf>
    <xf numFmtId="0" fontId="43" fillId="0" borderId="10" xfId="69" applyNumberFormat="1" applyFont="1" applyBorder="1" applyAlignment="1">
      <alignment horizontal="left" vertical="center" wrapText="1"/>
      <protection/>
    </xf>
    <xf numFmtId="3" fontId="43" fillId="0" borderId="0" xfId="66" applyNumberFormat="1" applyFont="1" applyFill="1">
      <alignment/>
      <protection/>
    </xf>
    <xf numFmtId="3" fontId="43" fillId="0" borderId="77" xfId="66" applyNumberFormat="1" applyFont="1" applyBorder="1" applyAlignment="1">
      <alignment vertical="center"/>
      <protection/>
    </xf>
    <xf numFmtId="3" fontId="43" fillId="0" borderId="83" xfId="69" applyNumberFormat="1" applyFont="1" applyBorder="1" applyAlignment="1">
      <alignment vertical="center"/>
      <protection/>
    </xf>
    <xf numFmtId="3" fontId="43" fillId="0" borderId="66" xfId="69" applyNumberFormat="1" applyFont="1" applyBorder="1" applyAlignment="1">
      <alignment vertical="center"/>
      <protection/>
    </xf>
    <xf numFmtId="3" fontId="42" fillId="16" borderId="57" xfId="66" applyNumberFormat="1" applyFont="1" applyFill="1" applyBorder="1" applyAlignment="1">
      <alignment horizontal="left" vertical="center" wrapText="1"/>
      <protection/>
    </xf>
    <xf numFmtId="3" fontId="43" fillId="16" borderId="84" xfId="69" applyNumberFormat="1" applyFont="1" applyFill="1" applyBorder="1" applyAlignment="1">
      <alignment vertical="center"/>
      <protection/>
    </xf>
    <xf numFmtId="3" fontId="42" fillId="0" borderId="65" xfId="66" applyNumberFormat="1" applyFont="1" applyBorder="1" applyAlignment="1">
      <alignment horizontal="left" vertical="center" wrapText="1"/>
      <protection/>
    </xf>
    <xf numFmtId="3" fontId="43" fillId="0" borderId="29" xfId="69" applyNumberFormat="1" applyFont="1" applyBorder="1" applyAlignment="1">
      <alignment vertical="center"/>
      <protection/>
    </xf>
    <xf numFmtId="3" fontId="43" fillId="0" borderId="85" xfId="69" applyNumberFormat="1" applyFont="1" applyBorder="1" applyAlignment="1">
      <alignment vertical="center"/>
      <protection/>
    </xf>
    <xf numFmtId="3" fontId="42" fillId="26" borderId="50" xfId="66" applyNumberFormat="1" applyFont="1" applyFill="1" applyBorder="1" applyAlignment="1">
      <alignment horizontal="left" vertical="center" wrapText="1"/>
      <protection/>
    </xf>
    <xf numFmtId="3" fontId="43" fillId="26" borderId="51" xfId="66" applyNumberFormat="1" applyFont="1" applyFill="1" applyBorder="1" applyAlignment="1">
      <alignment vertical="center"/>
      <protection/>
    </xf>
    <xf numFmtId="3" fontId="42" fillId="16" borderId="86" xfId="66" applyNumberFormat="1" applyFont="1" applyFill="1" applyBorder="1" applyAlignment="1">
      <alignment horizontal="left" vertical="center" wrapText="1"/>
      <protection/>
    </xf>
    <xf numFmtId="3" fontId="43" fillId="16" borderId="87" xfId="66" applyNumberFormat="1" applyFont="1" applyFill="1" applyBorder="1" applyAlignment="1">
      <alignment vertical="center"/>
      <protection/>
    </xf>
    <xf numFmtId="3" fontId="43" fillId="0" borderId="81" xfId="69" applyNumberFormat="1" applyFont="1" applyBorder="1" applyAlignment="1">
      <alignment vertical="center"/>
      <protection/>
    </xf>
    <xf numFmtId="3" fontId="43" fillId="0" borderId="82" xfId="69" applyNumberFormat="1" applyFont="1" applyBorder="1" applyAlignment="1">
      <alignment vertical="center"/>
      <protection/>
    </xf>
    <xf numFmtId="3" fontId="43" fillId="0" borderId="57" xfId="69" applyNumberFormat="1" applyFont="1" applyBorder="1" applyAlignment="1">
      <alignment vertical="center"/>
      <protection/>
    </xf>
    <xf numFmtId="3" fontId="43" fillId="0" borderId="19" xfId="69" applyNumberFormat="1" applyFont="1" applyBorder="1" applyAlignment="1">
      <alignment vertical="center"/>
      <protection/>
    </xf>
    <xf numFmtId="177" fontId="43" fillId="0" borderId="0" xfId="66" applyNumberFormat="1" applyFont="1">
      <alignment/>
      <protection/>
    </xf>
    <xf numFmtId="0" fontId="59" fillId="8" borderId="17" xfId="60" applyNumberFormat="1" applyFont="1" applyFill="1" applyBorder="1" applyAlignment="1">
      <alignment horizontal="center" vertical="center"/>
      <protection/>
    </xf>
    <xf numFmtId="0" fontId="59" fillId="0" borderId="0" xfId="60" applyNumberFormat="1" applyFont="1" applyFill="1" applyBorder="1" applyAlignment="1">
      <alignment horizontal="center" vertical="center"/>
      <protection/>
    </xf>
    <xf numFmtId="0" fontId="41" fillId="0" borderId="0" xfId="60" applyNumberFormat="1" applyFont="1" applyFill="1" applyBorder="1" applyAlignment="1">
      <alignment horizontal="center" vertical="center"/>
      <protection/>
    </xf>
    <xf numFmtId="3" fontId="40" fillId="0" borderId="0" xfId="68" applyNumberFormat="1" applyFont="1" applyBorder="1">
      <alignment/>
      <protection/>
    </xf>
    <xf numFmtId="3" fontId="43" fillId="0" borderId="0" xfId="68" applyNumberFormat="1" applyFont="1" applyBorder="1">
      <alignment/>
      <protection/>
    </xf>
    <xf numFmtId="2" fontId="59" fillId="8" borderId="17" xfId="60" applyNumberFormat="1" applyFont="1" applyFill="1" applyBorder="1" applyAlignment="1">
      <alignment horizontal="center" vertical="center"/>
      <protection/>
    </xf>
    <xf numFmtId="2" fontId="59" fillId="0" borderId="0" xfId="60" applyNumberFormat="1" applyFont="1" applyFill="1" applyBorder="1" applyAlignment="1">
      <alignment horizontal="center" vertical="center"/>
      <protection/>
    </xf>
    <xf numFmtId="2" fontId="41" fillId="0" borderId="0" xfId="60" applyNumberFormat="1" applyFont="1" applyFill="1" applyBorder="1" applyAlignment="1">
      <alignment horizontal="center" vertical="center"/>
      <protection/>
    </xf>
    <xf numFmtId="2" fontId="61" fillId="0" borderId="0" xfId="60" applyNumberFormat="1" applyFont="1" applyFill="1" applyBorder="1" applyAlignment="1">
      <alignment horizontal="center" vertical="center"/>
      <protection/>
    </xf>
    <xf numFmtId="2" fontId="62" fillId="0" borderId="0" xfId="60" applyNumberFormat="1" applyFont="1" applyFill="1" applyBorder="1" applyAlignment="1">
      <alignment horizontal="center" vertical="center"/>
      <protection/>
    </xf>
    <xf numFmtId="3" fontId="44" fillId="0" borderId="62" xfId="68" applyNumberFormat="1" applyFont="1" applyFill="1" applyBorder="1" applyAlignment="1">
      <alignment horizontal="centerContinuous" vertical="center"/>
      <protection/>
    </xf>
    <xf numFmtId="0" fontId="42" fillId="0" borderId="17" xfId="0" applyFont="1" applyFill="1" applyBorder="1" applyAlignment="1">
      <alignment horizontal="center" vertical="center" wrapText="1"/>
    </xf>
    <xf numFmtId="2" fontId="42" fillId="0" borderId="4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1" fillId="0" borderId="0" xfId="68" applyNumberFormat="1" applyFont="1" applyBorder="1" applyAlignment="1">
      <alignment horizontal="center" vertical="center" wrapText="1"/>
      <protection/>
    </xf>
    <xf numFmtId="3" fontId="32" fillId="0" borderId="18" xfId="68" applyNumberFormat="1" applyFont="1" applyFill="1" applyBorder="1" applyAlignment="1">
      <alignment vertical="center"/>
      <protection/>
    </xf>
    <xf numFmtId="4" fontId="44" fillId="0" borderId="0" xfId="68" applyNumberFormat="1" applyFont="1" applyBorder="1" applyAlignment="1">
      <alignment horizontal="right" vertical="center"/>
      <protection/>
    </xf>
    <xf numFmtId="3" fontId="43" fillId="0" borderId="0" xfId="68" applyNumberFormat="1" applyFont="1" applyBorder="1" applyAlignment="1">
      <alignment vertical="center"/>
      <protection/>
    </xf>
    <xf numFmtId="3" fontId="42" fillId="0" borderId="17" xfId="68" applyNumberFormat="1" applyFont="1" applyFill="1" applyBorder="1" applyAlignment="1">
      <alignment vertical="center"/>
      <protection/>
    </xf>
    <xf numFmtId="179" fontId="44" fillId="0" borderId="0" xfId="51" applyNumberFormat="1" applyFont="1" applyBorder="1" applyAlignment="1" applyProtection="1">
      <alignment horizontal="right" vertical="center"/>
      <protection locked="0"/>
    </xf>
    <xf numFmtId="179" fontId="41" fillId="0" borderId="0" xfId="51" applyNumberFormat="1" applyFont="1" applyBorder="1" applyAlignment="1" applyProtection="1">
      <alignment horizontal="right" vertical="center"/>
      <protection locked="0"/>
    </xf>
    <xf numFmtId="4" fontId="41" fillId="0" borderId="0" xfId="68" applyNumberFormat="1" applyFont="1" applyBorder="1" applyAlignment="1">
      <alignment vertical="center"/>
      <protection/>
    </xf>
    <xf numFmtId="3" fontId="43" fillId="0" borderId="17" xfId="68" applyNumberFormat="1" applyFont="1" applyFill="1" applyBorder="1" applyAlignment="1">
      <alignment vertical="center"/>
      <protection/>
    </xf>
    <xf numFmtId="179" fontId="56" fillId="0" borderId="0" xfId="51" applyNumberFormat="1" applyFont="1" applyBorder="1" applyAlignment="1" applyProtection="1">
      <alignment horizontal="right" vertical="center"/>
      <protection locked="0"/>
    </xf>
    <xf numFmtId="179" fontId="40" fillId="0" borderId="0" xfId="51" applyNumberFormat="1" applyFont="1" applyBorder="1" applyAlignment="1" applyProtection="1">
      <alignment horizontal="right" vertical="center"/>
      <protection locked="0"/>
    </xf>
    <xf numFmtId="3" fontId="40" fillId="0" borderId="0" xfId="68" applyNumberFormat="1" applyFont="1" applyBorder="1" applyAlignment="1">
      <alignment vertical="center"/>
      <protection/>
    </xf>
    <xf numFmtId="179" fontId="56" fillId="0" borderId="0" xfId="51" applyNumberFormat="1" applyFont="1" applyFill="1" applyBorder="1" applyAlignment="1" applyProtection="1">
      <alignment horizontal="right" vertical="center"/>
      <protection locked="0"/>
    </xf>
    <xf numFmtId="3" fontId="42" fillId="0" borderId="17" xfId="68" applyNumberFormat="1" applyFont="1" applyFill="1" applyBorder="1" applyAlignment="1">
      <alignment vertical="center" wrapText="1"/>
      <protection/>
    </xf>
    <xf numFmtId="179" fontId="44" fillId="0" borderId="0" xfId="51" applyNumberFormat="1" applyFont="1" applyFill="1" applyBorder="1" applyAlignment="1" applyProtection="1">
      <alignment horizontal="right" vertical="center"/>
      <protection locked="0"/>
    </xf>
    <xf numFmtId="179" fontId="41" fillId="0" borderId="0" xfId="51" applyNumberFormat="1" applyFont="1" applyFill="1" applyBorder="1" applyAlignment="1" applyProtection="1">
      <alignment horizontal="right" vertical="center"/>
      <protection locked="0"/>
    </xf>
    <xf numFmtId="3" fontId="42" fillId="0" borderId="17" xfId="68" applyNumberFormat="1" applyFont="1" applyFill="1" applyBorder="1" applyAlignment="1">
      <alignment horizontal="left" vertical="center" wrapText="1"/>
      <protection/>
    </xf>
    <xf numFmtId="179" fontId="40" fillId="0" borderId="0" xfId="51" applyNumberFormat="1" applyFont="1" applyFill="1" applyBorder="1" applyAlignment="1" applyProtection="1">
      <alignment horizontal="right" vertical="center"/>
      <protection locked="0"/>
    </xf>
    <xf numFmtId="3" fontId="40" fillId="0" borderId="0" xfId="68" applyNumberFormat="1" applyFont="1" applyFill="1" applyBorder="1" applyAlignment="1">
      <alignment vertical="center"/>
      <protection/>
    </xf>
    <xf numFmtId="179" fontId="44" fillId="0" borderId="0" xfId="51" applyNumberFormat="1" applyFont="1" applyBorder="1" applyAlignment="1">
      <alignment horizontal="right" vertical="center"/>
    </xf>
    <xf numFmtId="179" fontId="41" fillId="0" borderId="0" xfId="51" applyNumberFormat="1" applyFont="1" applyBorder="1" applyAlignment="1">
      <alignment horizontal="right" vertical="center"/>
    </xf>
    <xf numFmtId="179" fontId="56" fillId="0" borderId="0" xfId="51" applyNumberFormat="1" applyFont="1" applyFill="1" applyBorder="1" applyAlignment="1">
      <alignment horizontal="right" vertical="center"/>
    </xf>
    <xf numFmtId="179" fontId="40" fillId="0" borderId="0" xfId="51" applyNumberFormat="1" applyFont="1" applyFill="1" applyBorder="1" applyAlignment="1">
      <alignment horizontal="right" vertical="center"/>
    </xf>
    <xf numFmtId="179" fontId="44" fillId="0" borderId="0" xfId="51" applyNumberFormat="1" applyFont="1" applyFill="1" applyBorder="1" applyAlignment="1">
      <alignment horizontal="right" vertical="center"/>
    </xf>
    <xf numFmtId="179" fontId="41" fillId="0" borderId="0" xfId="51" applyNumberFormat="1" applyFont="1" applyFill="1" applyBorder="1" applyAlignment="1">
      <alignment horizontal="right" vertical="center"/>
    </xf>
    <xf numFmtId="3" fontId="43" fillId="0" borderId="17" xfId="68" applyNumberFormat="1" applyFont="1" applyFill="1" applyBorder="1" applyAlignment="1">
      <alignment vertical="center" wrapText="1"/>
      <protection/>
    </xf>
    <xf numFmtId="3" fontId="32" fillId="0" borderId="17" xfId="68" applyNumberFormat="1" applyFont="1" applyFill="1" applyBorder="1" applyAlignment="1">
      <alignment vertical="center"/>
      <protection/>
    </xf>
    <xf numFmtId="179" fontId="44" fillId="0" borderId="0" xfId="51" applyNumberFormat="1" applyFont="1" applyBorder="1" applyAlignment="1" applyProtection="1">
      <alignment vertical="center"/>
      <protection locked="0"/>
    </xf>
    <xf numFmtId="179" fontId="44" fillId="0" borderId="0" xfId="51" applyNumberFormat="1" applyFont="1" applyFill="1" applyBorder="1" applyAlignment="1">
      <alignment vertical="center"/>
    </xf>
    <xf numFmtId="3" fontId="32" fillId="0" borderId="17" xfId="68" applyNumberFormat="1" applyFont="1" applyFill="1" applyBorder="1" applyAlignment="1">
      <alignment vertical="center" wrapText="1"/>
      <protection/>
    </xf>
    <xf numFmtId="3" fontId="44" fillId="0" borderId="17" xfId="68" applyNumberFormat="1" applyFont="1" applyFill="1" applyBorder="1" applyAlignment="1">
      <alignment vertical="center"/>
      <protection/>
    </xf>
    <xf numFmtId="4" fontId="43" fillId="0" borderId="0" xfId="68" applyNumberFormat="1" applyFont="1" applyBorder="1">
      <alignment/>
      <protection/>
    </xf>
    <xf numFmtId="4" fontId="40" fillId="0" borderId="0" xfId="68" applyNumberFormat="1" applyFont="1" applyBorder="1">
      <alignment/>
      <protection/>
    </xf>
    <xf numFmtId="0" fontId="40" fillId="0" borderId="0" xfId="0" applyFont="1" applyAlignment="1">
      <alignment/>
    </xf>
    <xf numFmtId="3" fontId="42" fillId="0" borderId="0" xfId="68" applyNumberFormat="1" applyFont="1" applyBorder="1">
      <alignment/>
      <protection/>
    </xf>
    <xf numFmtId="4" fontId="43" fillId="0" borderId="0" xfId="68" applyNumberFormat="1" applyFont="1" applyBorder="1" applyAlignment="1">
      <alignment horizontal="center"/>
      <protection/>
    </xf>
    <xf numFmtId="4" fontId="40" fillId="0" borderId="0" xfId="68" applyNumberFormat="1" applyFont="1" applyBorder="1" applyAlignment="1">
      <alignment horizontal="center"/>
      <protection/>
    </xf>
    <xf numFmtId="177" fontId="43" fillId="0" borderId="0" xfId="68" applyNumberFormat="1" applyFont="1" applyBorder="1">
      <alignment/>
      <protection/>
    </xf>
    <xf numFmtId="177" fontId="40" fillId="0" borderId="0" xfId="68" applyNumberFormat="1" applyFont="1" applyBorder="1">
      <alignment/>
      <protection/>
    </xf>
    <xf numFmtId="177" fontId="43" fillId="22" borderId="0" xfId="68" applyNumberFormat="1" applyFont="1" applyFill="1" applyBorder="1">
      <alignment/>
      <protection/>
    </xf>
    <xf numFmtId="177" fontId="40" fillId="22" borderId="0" xfId="68" applyNumberFormat="1" applyFont="1" applyFill="1" applyBorder="1">
      <alignment/>
      <protection/>
    </xf>
    <xf numFmtId="3" fontId="43" fillId="0" borderId="0" xfId="68" applyNumberFormat="1" applyFont="1" applyFill="1" applyBorder="1">
      <alignment/>
      <protection/>
    </xf>
    <xf numFmtId="177" fontId="43" fillId="0" borderId="0" xfId="68" applyNumberFormat="1" applyFont="1" applyFill="1" applyBorder="1">
      <alignment/>
      <protection/>
    </xf>
    <xf numFmtId="177" fontId="40" fillId="0" borderId="0" xfId="68" applyNumberFormat="1" applyFont="1" applyFill="1" applyBorder="1">
      <alignment/>
      <protection/>
    </xf>
    <xf numFmtId="3" fontId="40" fillId="0" borderId="0" xfId="68" applyNumberFormat="1" applyFont="1" applyFill="1" applyBorder="1">
      <alignment/>
      <protection/>
    </xf>
    <xf numFmtId="3" fontId="43" fillId="22" borderId="0" xfId="68" applyNumberFormat="1" applyFont="1" applyFill="1" applyBorder="1" applyAlignment="1">
      <alignment horizontal="right"/>
      <protection/>
    </xf>
    <xf numFmtId="4" fontId="43" fillId="22" borderId="0" xfId="68" applyNumberFormat="1" applyFont="1" applyFill="1" applyBorder="1">
      <alignment/>
      <protection/>
    </xf>
    <xf numFmtId="4" fontId="40" fillId="22" borderId="0" xfId="68" applyNumberFormat="1" applyFont="1" applyFill="1" applyBorder="1">
      <alignment/>
      <protection/>
    </xf>
    <xf numFmtId="0" fontId="59" fillId="25" borderId="17" xfId="60" applyFont="1" applyFill="1" applyBorder="1" applyAlignment="1">
      <alignment horizontal="center" vertical="center" wrapText="1"/>
      <protection/>
    </xf>
    <xf numFmtId="0" fontId="43" fillId="0" borderId="0" xfId="60" applyFont="1" applyAlignment="1">
      <alignment vertical="center"/>
      <protection/>
    </xf>
    <xf numFmtId="168" fontId="61" fillId="0" borderId="0" xfId="60" applyNumberFormat="1" applyFont="1" applyFill="1" applyBorder="1" applyAlignment="1">
      <alignment horizontal="center" vertical="center" wrapText="1"/>
      <protection/>
    </xf>
    <xf numFmtId="0" fontId="32" fillId="0" borderId="17" xfId="60" applyFont="1" applyFill="1" applyBorder="1" applyAlignment="1">
      <alignment horizontal="center" vertical="center"/>
      <protection/>
    </xf>
    <xf numFmtId="0" fontId="42" fillId="0" borderId="17" xfId="60" applyFont="1" applyFill="1" applyBorder="1" applyAlignment="1">
      <alignment horizontal="center" vertical="center"/>
      <protection/>
    </xf>
    <xf numFmtId="0" fontId="42" fillId="0" borderId="17" xfId="60" applyFont="1" applyFill="1" applyBorder="1" applyAlignment="1">
      <alignment horizontal="center" vertical="center" wrapText="1"/>
      <protection/>
    </xf>
    <xf numFmtId="0" fontId="42" fillId="0" borderId="0" xfId="60" applyFont="1" applyFill="1" applyBorder="1" applyAlignment="1">
      <alignment horizontal="center" vertical="center" wrapText="1"/>
      <protection/>
    </xf>
    <xf numFmtId="0" fontId="42" fillId="0" borderId="17" xfId="60" applyFont="1" applyFill="1" applyBorder="1" applyAlignment="1">
      <alignment vertical="center"/>
      <protection/>
    </xf>
    <xf numFmtId="4" fontId="42" fillId="0" borderId="0" xfId="60" applyNumberFormat="1" applyFont="1" applyFill="1" applyBorder="1" applyAlignment="1">
      <alignment horizontal="right" vertical="center"/>
      <protection/>
    </xf>
    <xf numFmtId="4" fontId="43" fillId="0" borderId="0" xfId="60" applyNumberFormat="1" applyFont="1" applyFill="1" applyBorder="1" applyAlignment="1">
      <alignment horizontal="right" vertical="center"/>
      <protection/>
    </xf>
    <xf numFmtId="0" fontId="43" fillId="0" borderId="17" xfId="60" applyFont="1" applyFill="1" applyBorder="1" applyAlignment="1">
      <alignment vertical="center"/>
      <protection/>
    </xf>
    <xf numFmtId="4" fontId="43" fillId="0" borderId="0" xfId="60" applyNumberFormat="1" applyFont="1" applyAlignment="1">
      <alignment vertical="center"/>
      <protection/>
    </xf>
    <xf numFmtId="0" fontId="43" fillId="0" borderId="0" xfId="60" applyFont="1" applyFill="1" applyAlignment="1">
      <alignment vertical="center"/>
      <protection/>
    </xf>
    <xf numFmtId="0" fontId="44" fillId="0" borderId="17" xfId="60" applyFont="1" applyFill="1" applyBorder="1" applyAlignment="1">
      <alignment horizontal="left" vertical="center"/>
      <protection/>
    </xf>
    <xf numFmtId="0" fontId="44" fillId="0" borderId="0" xfId="60" applyFont="1" applyFill="1" applyBorder="1" applyAlignment="1">
      <alignment horizontal="left" vertical="center"/>
      <protection/>
    </xf>
    <xf numFmtId="4" fontId="42" fillId="0" borderId="0" xfId="60" applyNumberFormat="1" applyFont="1" applyBorder="1" applyAlignment="1">
      <alignment horizontal="right" vertical="center"/>
      <protection/>
    </xf>
    <xf numFmtId="0" fontId="45" fillId="0" borderId="0" xfId="60" applyFont="1" applyAlignment="1" quotePrefix="1">
      <alignment vertical="center"/>
      <protection/>
    </xf>
    <xf numFmtId="2" fontId="43" fillId="0" borderId="0" xfId="60" applyNumberFormat="1" applyFont="1" applyAlignment="1">
      <alignment vertical="center"/>
      <protection/>
    </xf>
    <xf numFmtId="2" fontId="43" fillId="0" borderId="0" xfId="60" applyNumberFormat="1" applyFont="1" applyFill="1" applyAlignment="1">
      <alignment vertical="center"/>
      <protection/>
    </xf>
    <xf numFmtId="4" fontId="43" fillId="0" borderId="17" xfId="60" applyNumberFormat="1" applyFont="1" applyFill="1" applyBorder="1" applyAlignment="1">
      <alignment vertical="center"/>
      <protection/>
    </xf>
    <xf numFmtId="4" fontId="43" fillId="0" borderId="0" xfId="60" applyNumberFormat="1" applyFont="1" applyFill="1" applyBorder="1" applyAlignment="1">
      <alignment vertical="center"/>
      <protection/>
    </xf>
    <xf numFmtId="0" fontId="43" fillId="0" borderId="0" xfId="60" applyFont="1" applyFill="1" applyBorder="1" applyAlignment="1">
      <alignment vertical="center"/>
      <protection/>
    </xf>
    <xf numFmtId="4" fontId="43" fillId="27" borderId="0" xfId="60" applyNumberFormat="1" applyFont="1" applyFill="1" applyBorder="1" applyAlignment="1">
      <alignment vertical="center"/>
      <protection/>
    </xf>
    <xf numFmtId="177" fontId="43" fillId="0" borderId="66" xfId="59" applyNumberFormat="1" applyFont="1" applyFill="1" applyBorder="1" applyAlignment="1">
      <alignment vertical="center"/>
      <protection/>
    </xf>
    <xf numFmtId="0" fontId="43" fillId="0" borderId="66" xfId="59" applyFont="1" applyBorder="1" applyAlignment="1">
      <alignment vertical="center"/>
      <protection/>
    </xf>
    <xf numFmtId="4" fontId="43" fillId="11" borderId="17" xfId="60" applyNumberFormat="1" applyFont="1" applyFill="1" applyBorder="1" applyAlignment="1">
      <alignment vertical="center"/>
      <protection/>
    </xf>
    <xf numFmtId="0" fontId="42" fillId="0" borderId="0" xfId="60" applyFont="1" applyFill="1" applyBorder="1" applyAlignment="1">
      <alignment vertical="center"/>
      <protection/>
    </xf>
    <xf numFmtId="4" fontId="42" fillId="0" borderId="0" xfId="60" applyNumberFormat="1" applyFont="1" applyFill="1" applyBorder="1" applyAlignment="1">
      <alignment vertical="center"/>
      <protection/>
    </xf>
    <xf numFmtId="2" fontId="43" fillId="0" borderId="0" xfId="60" applyNumberFormat="1" applyFont="1" applyFill="1" applyBorder="1" applyAlignment="1">
      <alignment vertical="center"/>
      <protection/>
    </xf>
    <xf numFmtId="0" fontId="43" fillId="0" borderId="0" xfId="60" applyFont="1">
      <alignment/>
      <protection/>
    </xf>
    <xf numFmtId="2" fontId="43" fillId="0" borderId="0" xfId="60" applyNumberFormat="1" applyFont="1">
      <alignment/>
      <protection/>
    </xf>
    <xf numFmtId="2" fontId="43" fillId="0" borderId="0" xfId="60" applyNumberFormat="1" applyFont="1" applyFill="1">
      <alignment/>
      <protection/>
    </xf>
    <xf numFmtId="0" fontId="43" fillId="0" borderId="0" xfId="60" applyFont="1" applyFill="1">
      <alignment/>
      <protection/>
    </xf>
    <xf numFmtId="0" fontId="59" fillId="0" borderId="0" xfId="60" applyFont="1" applyFill="1" applyBorder="1" applyAlignment="1">
      <alignment horizontal="center" vertical="center" wrapText="1"/>
      <protection/>
    </xf>
    <xf numFmtId="2" fontId="42" fillId="0" borderId="17" xfId="0" applyNumberFormat="1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32" fillId="0" borderId="17" xfId="60" applyFont="1" applyFill="1" applyBorder="1" applyAlignment="1">
      <alignment horizontal="left" vertical="center"/>
      <protection/>
    </xf>
    <xf numFmtId="0" fontId="42" fillId="0" borderId="17" xfId="60" applyFont="1" applyBorder="1" applyAlignment="1">
      <alignment vertical="center"/>
      <protection/>
    </xf>
    <xf numFmtId="0" fontId="43" fillId="0" borderId="17" xfId="60" applyFont="1" applyBorder="1" applyAlignment="1">
      <alignment vertical="center"/>
      <protection/>
    </xf>
    <xf numFmtId="4" fontId="43" fillId="0" borderId="0" xfId="68" applyNumberFormat="1" applyFont="1" applyFill="1" applyBorder="1" applyAlignment="1">
      <alignment horizontal="right" vertical="center"/>
      <protection/>
    </xf>
    <xf numFmtId="0" fontId="43" fillId="0" borderId="17" xfId="60" applyFont="1" applyFill="1" applyBorder="1" applyAlignment="1">
      <alignment vertical="center" wrapText="1"/>
      <protection/>
    </xf>
    <xf numFmtId="0" fontId="42" fillId="0" borderId="17" xfId="60" applyFont="1" applyFill="1" applyBorder="1" applyAlignment="1">
      <alignment vertical="center" wrapText="1"/>
      <protection/>
    </xf>
    <xf numFmtId="4" fontId="43" fillId="0" borderId="0" xfId="60" applyNumberFormat="1" applyFont="1" applyFill="1" applyAlignment="1">
      <alignment vertical="center"/>
      <protection/>
    </xf>
    <xf numFmtId="177" fontId="43" fillId="0" borderId="27" xfId="0" applyNumberFormat="1" applyFont="1" applyFill="1" applyBorder="1" applyAlignment="1" applyProtection="1">
      <alignment vertical="center"/>
      <protection/>
    </xf>
    <xf numFmtId="177" fontId="43" fillId="0" borderId="22" xfId="52" applyNumberFormat="1" applyFont="1" applyBorder="1" applyAlignment="1" applyProtection="1">
      <alignment vertical="center"/>
      <protection/>
    </xf>
    <xf numFmtId="177" fontId="43" fillId="0" borderId="22" xfId="52" applyNumberFormat="1" applyFont="1" applyBorder="1" applyAlignment="1">
      <alignment vertical="center"/>
    </xf>
    <xf numFmtId="177" fontId="42" fillId="24" borderId="22" xfId="52" applyNumberFormat="1" applyFont="1" applyFill="1" applyBorder="1" applyAlignment="1" applyProtection="1">
      <alignment vertical="center"/>
      <protection/>
    </xf>
    <xf numFmtId="177" fontId="43" fillId="0" borderId="88" xfId="52" applyNumberFormat="1" applyFont="1" applyBorder="1" applyAlignment="1">
      <alignment vertical="center"/>
    </xf>
    <xf numFmtId="177" fontId="42" fillId="24" borderId="70" xfId="0" applyNumberFormat="1" applyFont="1" applyFill="1" applyBorder="1" applyAlignment="1" applyProtection="1">
      <alignment vertical="center"/>
      <protection/>
    </xf>
    <xf numFmtId="3" fontId="42" fillId="24" borderId="53" xfId="0" applyNumberFormat="1" applyFont="1" applyFill="1" applyBorder="1" applyAlignment="1">
      <alignment vertical="center"/>
    </xf>
    <xf numFmtId="177" fontId="42" fillId="8" borderId="89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 applyProtection="1">
      <alignment vertical="center"/>
      <protection/>
    </xf>
    <xf numFmtId="177" fontId="42" fillId="8" borderId="70" xfId="0" applyNumberFormat="1" applyFont="1" applyFill="1" applyBorder="1" applyAlignment="1">
      <alignment vertical="center"/>
    </xf>
    <xf numFmtId="177" fontId="43" fillId="0" borderId="89" xfId="0" applyNumberFormat="1" applyFont="1" applyBorder="1" applyAlignment="1">
      <alignment vertical="center"/>
    </xf>
    <xf numFmtId="177" fontId="42" fillId="0" borderId="70" xfId="0" applyNumberFormat="1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3" fontId="42" fillId="0" borderId="53" xfId="0" applyNumberFormat="1" applyFont="1" applyFill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177" fontId="43" fillId="0" borderId="22" xfId="0" applyNumberFormat="1" applyFont="1" applyFill="1" applyBorder="1" applyAlignment="1" applyProtection="1">
      <alignment vertical="center"/>
      <protection/>
    </xf>
    <xf numFmtId="177" fontId="43" fillId="0" borderId="22" xfId="0" applyNumberFormat="1" applyFont="1" applyBorder="1" applyAlignment="1" applyProtection="1">
      <alignment vertical="center"/>
      <protection/>
    </xf>
    <xf numFmtId="177" fontId="42" fillId="24" borderId="22" xfId="0" applyNumberFormat="1" applyFont="1" applyFill="1" applyBorder="1" applyAlignment="1" applyProtection="1">
      <alignment vertical="center"/>
      <protection/>
    </xf>
    <xf numFmtId="177" fontId="43" fillId="0" borderId="88" xfId="0" applyNumberFormat="1" applyFont="1" applyBorder="1" applyAlignment="1">
      <alignment vertical="center"/>
    </xf>
    <xf numFmtId="177" fontId="42" fillId="0" borderId="89" xfId="0" applyNumberFormat="1" applyFont="1" applyFill="1" applyBorder="1" applyAlignment="1" applyProtection="1">
      <alignment vertical="center"/>
      <protection/>
    </xf>
    <xf numFmtId="177" fontId="42" fillId="0" borderId="22" xfId="0" applyNumberFormat="1" applyFont="1" applyFill="1" applyBorder="1" applyAlignment="1">
      <alignment vertical="center"/>
    </xf>
    <xf numFmtId="177" fontId="42" fillId="0" borderId="70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>
      <alignment vertical="center"/>
    </xf>
    <xf numFmtId="3" fontId="42" fillId="0" borderId="44" xfId="0" applyNumberFormat="1" applyFont="1" applyFill="1" applyBorder="1" applyAlignment="1" applyProtection="1">
      <alignment vertical="center"/>
      <protection/>
    </xf>
    <xf numFmtId="3" fontId="42" fillId="8" borderId="26" xfId="0" applyNumberFormat="1" applyFont="1" applyFill="1" applyBorder="1" applyAlignment="1">
      <alignment vertical="center"/>
    </xf>
    <xf numFmtId="0" fontId="42" fillId="0" borderId="17" xfId="56" applyFont="1" applyBorder="1" applyAlignment="1">
      <alignment horizontal="center" vertical="center" wrapText="1"/>
      <protection/>
    </xf>
    <xf numFmtId="0" fontId="42" fillId="0" borderId="59" xfId="56" applyFont="1" applyBorder="1" applyAlignment="1">
      <alignment vertical="center" wrapText="1"/>
      <protection/>
    </xf>
    <xf numFmtId="0" fontId="42" fillId="0" borderId="59" xfId="56" applyFont="1" applyBorder="1" applyAlignment="1">
      <alignment horizontal="left" vertical="center" wrapText="1"/>
      <protection/>
    </xf>
    <xf numFmtId="0" fontId="43" fillId="0" borderId="59" xfId="56" applyFont="1" applyBorder="1" applyAlignment="1">
      <alignment vertical="center"/>
      <protection/>
    </xf>
    <xf numFmtId="0" fontId="42" fillId="0" borderId="57" xfId="56" applyFont="1" applyBorder="1" applyAlignment="1">
      <alignment horizontal="left" vertical="center" wrapText="1"/>
      <protection/>
    </xf>
    <xf numFmtId="171" fontId="42" fillId="0" borderId="67" xfId="65" applyNumberFormat="1" applyFont="1" applyFill="1" applyBorder="1" applyAlignment="1">
      <alignment horizontal="right" vertical="center" wrapText="1"/>
      <protection/>
    </xf>
    <xf numFmtId="179" fontId="42" fillId="0" borderId="17" xfId="51" applyNumberFormat="1" applyFont="1" applyFill="1" applyBorder="1" applyAlignment="1" applyProtection="1">
      <alignment horizontal="right" vertical="center"/>
      <protection locked="0"/>
    </xf>
    <xf numFmtId="179" fontId="43" fillId="0" borderId="17" xfId="51" applyNumberFormat="1" applyFont="1" applyFill="1" applyBorder="1" applyAlignment="1" applyProtection="1">
      <alignment horizontal="right" vertical="center"/>
      <protection locked="0"/>
    </xf>
    <xf numFmtId="179" fontId="42" fillId="0" borderId="17" xfId="51" applyNumberFormat="1" applyFont="1" applyFill="1" applyBorder="1" applyAlignment="1" applyProtection="1">
      <alignment vertical="center"/>
      <protection locked="0"/>
    </xf>
    <xf numFmtId="179" fontId="42" fillId="0" borderId="17" xfId="51" applyNumberFormat="1" applyFont="1" applyFill="1" applyBorder="1" applyAlignment="1" applyProtection="1">
      <alignment horizontal="right" vertical="center"/>
      <protection/>
    </xf>
    <xf numFmtId="179" fontId="43" fillId="0" borderId="17" xfId="51" applyNumberFormat="1" applyFont="1" applyFill="1" applyBorder="1" applyAlignment="1" applyProtection="1">
      <alignment horizontal="right" vertical="center"/>
      <protection/>
    </xf>
    <xf numFmtId="179" fontId="42" fillId="0" borderId="17" xfId="51" applyNumberFormat="1" applyFont="1" applyFill="1" applyBorder="1" applyAlignment="1" applyProtection="1">
      <alignment vertical="center"/>
      <protection/>
    </xf>
    <xf numFmtId="4" fontId="42" fillId="0" borderId="17" xfId="60" applyNumberFormat="1" applyFont="1" applyFill="1" applyBorder="1" applyAlignment="1" applyProtection="1">
      <alignment horizontal="right" vertical="center"/>
      <protection/>
    </xf>
    <xf numFmtId="0" fontId="49" fillId="0" borderId="90" xfId="0" applyFont="1" applyBorder="1" applyAlignment="1" applyProtection="1">
      <alignment vertical="center" wrapText="1"/>
      <protection locked="0"/>
    </xf>
    <xf numFmtId="169" fontId="49" fillId="0" borderId="90" xfId="46" applyFont="1" applyBorder="1" applyAlignment="1" applyProtection="1">
      <alignment vertical="center" wrapText="1"/>
      <protection locked="0"/>
    </xf>
    <xf numFmtId="169" fontId="43" fillId="0" borderId="90" xfId="46" applyFont="1" applyBorder="1" applyAlignment="1" applyProtection="1">
      <alignment vertical="center" wrapText="1"/>
      <protection locked="0"/>
    </xf>
    <xf numFmtId="177" fontId="43" fillId="0" borderId="90" xfId="46" applyNumberFormat="1" applyFont="1" applyBorder="1" applyAlignment="1" applyProtection="1">
      <alignment vertical="center" wrapText="1"/>
      <protection locked="0"/>
    </xf>
    <xf numFmtId="10" fontId="48" fillId="0" borderId="90" xfId="71" applyNumberFormat="1" applyFont="1" applyBorder="1" applyAlignment="1" applyProtection="1">
      <alignment vertical="center" wrapText="1"/>
      <protection locked="0"/>
    </xf>
    <xf numFmtId="177" fontId="43" fillId="0" borderId="90" xfId="71" applyNumberFormat="1" applyFont="1" applyBorder="1" applyAlignment="1" applyProtection="1">
      <alignment vertical="center" wrapText="1"/>
      <protection locked="0"/>
    </xf>
    <xf numFmtId="177" fontId="43" fillId="0" borderId="91" xfId="0" applyNumberFormat="1" applyFont="1" applyBorder="1" applyAlignment="1" applyProtection="1">
      <alignment vertical="center" wrapText="1"/>
      <protection locked="0"/>
    </xf>
    <xf numFmtId="177" fontId="43" fillId="0" borderId="90" xfId="0" applyNumberFormat="1" applyFont="1" applyBorder="1" applyAlignment="1" applyProtection="1">
      <alignment vertical="center" wrapText="1"/>
      <protection locked="0"/>
    </xf>
    <xf numFmtId="10" fontId="43" fillId="0" borderId="90" xfId="71" applyNumberFormat="1" applyFont="1" applyBorder="1" applyAlignment="1" applyProtection="1">
      <alignment horizontal="center" vertical="center" wrapText="1"/>
      <protection locked="0"/>
    </xf>
    <xf numFmtId="177" fontId="42" fillId="0" borderId="90" xfId="0" applyNumberFormat="1" applyFont="1" applyBorder="1" applyAlignment="1" applyProtection="1">
      <alignment horizontal="left" vertical="center" wrapText="1"/>
      <protection locked="0"/>
    </xf>
    <xf numFmtId="177" fontId="42" fillId="0" borderId="90" xfId="46" applyNumberFormat="1" applyFont="1" applyBorder="1" applyAlignment="1" applyProtection="1">
      <alignment vertical="center" wrapText="1"/>
      <protection locked="0"/>
    </xf>
    <xf numFmtId="177" fontId="42" fillId="0" borderId="91" xfId="0" applyNumberFormat="1" applyFont="1" applyBorder="1" applyAlignment="1" applyProtection="1">
      <alignment horizontal="left" vertical="center" wrapText="1"/>
      <protection locked="0"/>
    </xf>
    <xf numFmtId="177" fontId="43" fillId="0" borderId="92" xfId="0" applyNumberFormat="1" applyFont="1" applyBorder="1" applyAlignment="1" applyProtection="1">
      <alignment vertical="center" wrapText="1"/>
      <protection locked="0"/>
    </xf>
    <xf numFmtId="177" fontId="43" fillId="0" borderId="92" xfId="71" applyNumberFormat="1" applyFont="1" applyBorder="1" applyAlignment="1" applyProtection="1">
      <alignment vertical="center" wrapText="1"/>
      <protection locked="0"/>
    </xf>
    <xf numFmtId="177" fontId="43" fillId="0" borderId="93" xfId="0" applyNumberFormat="1" applyFont="1" applyBorder="1" applyAlignment="1" applyProtection="1">
      <alignment vertical="center" wrapText="1"/>
      <protection locked="0"/>
    </xf>
    <xf numFmtId="177" fontId="42" fillId="0" borderId="94" xfId="0" applyNumberFormat="1" applyFont="1" applyBorder="1" applyAlignment="1" applyProtection="1">
      <alignment horizontal="left" vertical="center" wrapText="1"/>
      <protection locked="0"/>
    </xf>
    <xf numFmtId="177" fontId="42" fillId="0" borderId="94" xfId="46" applyNumberFormat="1" applyFont="1" applyBorder="1" applyAlignment="1" applyProtection="1">
      <alignment vertical="center" wrapText="1"/>
      <protection locked="0"/>
    </xf>
    <xf numFmtId="177" fontId="42" fillId="0" borderId="95" xfId="0" applyNumberFormat="1" applyFont="1" applyBorder="1" applyAlignment="1" applyProtection="1">
      <alignment horizontal="left" vertical="center" wrapText="1"/>
      <protection locked="0"/>
    </xf>
    <xf numFmtId="179" fontId="42" fillId="0" borderId="90" xfId="46" applyNumberFormat="1" applyFont="1" applyBorder="1" applyAlignment="1" applyProtection="1">
      <alignment vertical="center" wrapText="1"/>
      <protection/>
    </xf>
    <xf numFmtId="177" fontId="43" fillId="0" borderId="17" xfId="46" applyNumberFormat="1" applyFont="1" applyBorder="1" applyAlignment="1" applyProtection="1">
      <alignment vertical="center" wrapText="1"/>
      <protection locked="0"/>
    </xf>
    <xf numFmtId="0" fontId="43" fillId="0" borderId="12" xfId="56" applyFont="1" applyBorder="1" applyAlignment="1" applyProtection="1">
      <alignment horizontal="left" vertical="center" wrapText="1"/>
      <protection locked="0"/>
    </xf>
    <xf numFmtId="0" fontId="43" fillId="0" borderId="12" xfId="56" applyFont="1" applyBorder="1" applyAlignment="1" applyProtection="1">
      <alignment horizontal="center" vertical="center" wrapText="1"/>
      <protection locked="0"/>
    </xf>
    <xf numFmtId="177" fontId="42" fillId="0" borderId="12" xfId="46" applyNumberFormat="1" applyFont="1" applyBorder="1" applyAlignment="1" applyProtection="1">
      <alignment vertical="center"/>
      <protection locked="0"/>
    </xf>
    <xf numFmtId="0" fontId="43" fillId="0" borderId="17" xfId="56" applyFont="1" applyBorder="1" applyAlignment="1" applyProtection="1">
      <alignment vertical="center"/>
      <protection locked="0"/>
    </xf>
    <xf numFmtId="2" fontId="43" fillId="0" borderId="17" xfId="56" applyNumberFormat="1" applyFont="1" applyBorder="1" applyAlignment="1" applyProtection="1">
      <alignment vertical="center"/>
      <protection locked="0"/>
    </xf>
    <xf numFmtId="0" fontId="43" fillId="0" borderId="12" xfId="56" applyFont="1" applyBorder="1" applyAlignment="1" applyProtection="1">
      <alignment vertical="center"/>
      <protection locked="0"/>
    </xf>
    <xf numFmtId="0" fontId="42" fillId="0" borderId="12" xfId="56" applyFont="1" applyBorder="1" applyAlignment="1" applyProtection="1">
      <alignment vertical="center"/>
      <protection locked="0"/>
    </xf>
    <xf numFmtId="0" fontId="43" fillId="0" borderId="20" xfId="56" applyFont="1" applyBorder="1" applyAlignment="1" applyProtection="1">
      <alignment horizontal="center" vertical="center" wrapText="1"/>
      <protection locked="0"/>
    </xf>
    <xf numFmtId="177" fontId="43" fillId="0" borderId="17" xfId="46" applyNumberFormat="1" applyFont="1" applyBorder="1" applyAlignment="1" applyProtection="1">
      <alignment vertical="center" wrapText="1"/>
      <protection/>
    </xf>
    <xf numFmtId="177" fontId="42" fillId="0" borderId="17" xfId="46" applyNumberFormat="1" applyFont="1" applyBorder="1" applyAlignment="1" applyProtection="1">
      <alignment vertical="center"/>
      <protection/>
    </xf>
    <xf numFmtId="177" fontId="43" fillId="0" borderId="19" xfId="46" applyNumberFormat="1" applyFont="1" applyBorder="1" applyAlignment="1" applyProtection="1">
      <alignment vertical="center" wrapText="1"/>
      <protection/>
    </xf>
    <xf numFmtId="4" fontId="43" fillId="0" borderId="17" xfId="60" applyNumberFormat="1" applyFont="1" applyBorder="1" applyAlignment="1" applyProtection="1">
      <alignment vertical="center"/>
      <protection locked="0"/>
    </xf>
    <xf numFmtId="4" fontId="43" fillId="0" borderId="17" xfId="60" applyNumberFormat="1" applyFont="1" applyFill="1" applyBorder="1" applyAlignment="1" applyProtection="1">
      <alignment vertical="center"/>
      <protection locked="0"/>
    </xf>
    <xf numFmtId="4" fontId="43" fillId="0" borderId="17" xfId="68" applyNumberFormat="1" applyFont="1" applyBorder="1" applyAlignment="1" applyProtection="1">
      <alignment horizontal="right" vertical="center"/>
      <protection locked="0"/>
    </xf>
    <xf numFmtId="4" fontId="43" fillId="0" borderId="17" xfId="68" applyNumberFormat="1" applyFont="1" applyFill="1" applyBorder="1" applyAlignment="1" applyProtection="1">
      <alignment horizontal="right" vertical="center"/>
      <protection locked="0"/>
    </xf>
    <xf numFmtId="4" fontId="42" fillId="0" borderId="17" xfId="60" applyNumberFormat="1" applyFont="1" applyFill="1" applyBorder="1" applyAlignment="1" applyProtection="1">
      <alignment vertical="center"/>
      <protection locked="0"/>
    </xf>
    <xf numFmtId="4" fontId="42" fillId="0" borderId="17" xfId="60" applyNumberFormat="1" applyFont="1" applyBorder="1" applyAlignment="1" applyProtection="1">
      <alignment vertical="center"/>
      <protection/>
    </xf>
    <xf numFmtId="4" fontId="43" fillId="0" borderId="17" xfId="60" applyNumberFormat="1" applyFont="1" applyBorder="1" applyAlignment="1" applyProtection="1">
      <alignment vertical="center"/>
      <protection/>
    </xf>
    <xf numFmtId="4" fontId="42" fillId="0" borderId="17" xfId="60" applyNumberFormat="1" applyFont="1" applyFill="1" applyBorder="1" applyAlignment="1" applyProtection="1">
      <alignment vertical="center"/>
      <protection/>
    </xf>
    <xf numFmtId="4" fontId="42" fillId="0" borderId="17" xfId="60" applyNumberFormat="1" applyFont="1" applyBorder="1" applyAlignment="1" applyProtection="1">
      <alignment horizontal="right" vertical="center"/>
      <protection/>
    </xf>
    <xf numFmtId="4" fontId="44" fillId="0" borderId="17" xfId="68" applyNumberFormat="1" applyFont="1" applyFill="1" applyBorder="1" applyAlignment="1" applyProtection="1">
      <alignment horizontal="right" vertical="center"/>
      <protection locked="0"/>
    </xf>
    <xf numFmtId="4" fontId="42" fillId="0" borderId="17" xfId="60" applyNumberFormat="1" applyFont="1" applyFill="1" applyBorder="1" applyAlignment="1" applyProtection="1">
      <alignment horizontal="right" vertical="center"/>
      <protection locked="0"/>
    </xf>
    <xf numFmtId="4" fontId="43" fillId="0" borderId="17" xfId="60" applyNumberFormat="1" applyFont="1" applyFill="1" applyBorder="1" applyAlignment="1" applyProtection="1">
      <alignment horizontal="right" vertical="center"/>
      <protection locked="0"/>
    </xf>
    <xf numFmtId="4" fontId="43" fillId="0" borderId="17" xfId="60" applyNumberFormat="1" applyFont="1" applyFill="1" applyBorder="1" applyAlignment="1" applyProtection="1">
      <alignment horizontal="right" vertical="center"/>
      <protection/>
    </xf>
    <xf numFmtId="179" fontId="42" fillId="0" borderId="90" xfId="46" applyNumberFormat="1" applyFont="1" applyFill="1" applyBorder="1" applyAlignment="1" applyProtection="1">
      <alignment vertical="center" wrapText="1"/>
      <protection/>
    </xf>
    <xf numFmtId="179" fontId="42" fillId="0" borderId="90" xfId="46" applyNumberFormat="1" applyFont="1" applyFill="1" applyBorder="1" applyAlignment="1" applyProtection="1">
      <alignment vertical="center" wrapText="1"/>
      <protection locked="0"/>
    </xf>
    <xf numFmtId="177" fontId="42" fillId="0" borderId="90" xfId="46" applyNumberFormat="1" applyFont="1" applyFill="1" applyBorder="1" applyAlignment="1" applyProtection="1">
      <alignment vertical="center" wrapText="1"/>
      <protection/>
    </xf>
    <xf numFmtId="179" fontId="42" fillId="0" borderId="94" xfId="46" applyNumberFormat="1" applyFont="1" applyFill="1" applyBorder="1" applyAlignment="1" applyProtection="1">
      <alignment vertical="center" wrapText="1"/>
      <protection/>
    </xf>
    <xf numFmtId="179" fontId="42" fillId="0" borderId="94" xfId="46" applyNumberFormat="1" applyFont="1" applyFill="1" applyBorder="1" applyAlignment="1" applyProtection="1">
      <alignment vertical="center" wrapText="1"/>
      <protection locked="0"/>
    </xf>
    <xf numFmtId="177" fontId="42" fillId="0" borderId="94" xfId="46" applyNumberFormat="1" applyFont="1" applyFill="1" applyBorder="1" applyAlignment="1" applyProtection="1">
      <alignment vertical="center" wrapText="1"/>
      <protection/>
    </xf>
    <xf numFmtId="177" fontId="42" fillId="0" borderId="17" xfId="46" applyNumberFormat="1" applyFont="1" applyFill="1" applyBorder="1" applyAlignment="1" applyProtection="1">
      <alignment vertical="center"/>
      <protection/>
    </xf>
    <xf numFmtId="0" fontId="43" fillId="0" borderId="17" xfId="65" applyNumberFormat="1" applyFont="1" applyFill="1" applyBorder="1" applyAlignment="1">
      <alignment horizontal="right" vertical="center" wrapText="1"/>
      <protection/>
    </xf>
    <xf numFmtId="0" fontId="43" fillId="0" borderId="48" xfId="65" applyNumberFormat="1" applyFont="1" applyFill="1" applyBorder="1" applyAlignment="1">
      <alignment horizontal="right" vertical="center" wrapText="1"/>
      <protection/>
    </xf>
    <xf numFmtId="43" fontId="42" fillId="0" borderId="82" xfId="0" applyNumberFormat="1" applyFont="1" applyBorder="1" applyAlignment="1" applyProtection="1">
      <alignment horizontal="center" vertical="center" wrapText="1"/>
      <protection locked="0"/>
    </xf>
    <xf numFmtId="43" fontId="42" fillId="0" borderId="13" xfId="0" applyNumberFormat="1" applyFont="1" applyBorder="1" applyAlignment="1" applyProtection="1">
      <alignment horizontal="center" vertical="center" wrapText="1"/>
      <protection locked="0"/>
    </xf>
    <xf numFmtId="43" fontId="42" fillId="0" borderId="17" xfId="0" applyNumberFormat="1" applyFont="1" applyBorder="1" applyAlignment="1" applyProtection="1">
      <alignment horizontal="center" vertical="center" wrapText="1"/>
      <protection locked="0"/>
    </xf>
    <xf numFmtId="43" fontId="42" fillId="0" borderId="12" xfId="0" applyNumberFormat="1" applyFont="1" applyBorder="1" applyAlignment="1" applyProtection="1">
      <alignment horizontal="center" vertical="center" wrapText="1"/>
      <protection locked="0"/>
    </xf>
    <xf numFmtId="43" fontId="42" fillId="26" borderId="51" xfId="66" applyNumberFormat="1" applyFont="1" applyFill="1" applyBorder="1" applyAlignment="1" applyProtection="1">
      <alignment vertical="center"/>
      <protection locked="0"/>
    </xf>
    <xf numFmtId="43" fontId="42" fillId="26" borderId="52" xfId="66" applyNumberFormat="1" applyFont="1" applyFill="1" applyBorder="1" applyAlignment="1" applyProtection="1">
      <alignment vertical="center"/>
      <protection locked="0"/>
    </xf>
    <xf numFmtId="177" fontId="43" fillId="0" borderId="82" xfId="66" applyNumberFormat="1" applyFont="1" applyBorder="1" applyAlignment="1" applyProtection="1">
      <alignment vertical="center" wrapText="1"/>
      <protection locked="0"/>
    </xf>
    <xf numFmtId="177" fontId="43" fillId="0" borderId="13" xfId="66" applyNumberFormat="1" applyFont="1" applyBorder="1" applyAlignment="1" applyProtection="1">
      <alignment vertical="center" wrapText="1"/>
      <protection locked="0"/>
    </xf>
    <xf numFmtId="177" fontId="43" fillId="0" borderId="19" xfId="66" applyNumberFormat="1" applyFont="1" applyBorder="1" applyAlignment="1" applyProtection="1">
      <alignment vertical="center" wrapText="1"/>
      <protection locked="0"/>
    </xf>
    <xf numFmtId="177" fontId="43" fillId="0" borderId="96" xfId="66" applyNumberFormat="1" applyFont="1" applyBorder="1" applyAlignment="1" applyProtection="1">
      <alignment vertical="center" wrapText="1"/>
      <protection locked="0"/>
    </xf>
    <xf numFmtId="43" fontId="42" fillId="0" borderId="17" xfId="0" applyNumberFormat="1" applyFont="1" applyBorder="1" applyAlignment="1" applyProtection="1">
      <alignment horizontal="center" vertical="center" wrapText="1"/>
      <protection/>
    </xf>
    <xf numFmtId="43" fontId="42" fillId="16" borderId="19" xfId="0" applyNumberFormat="1" applyFont="1" applyFill="1" applyBorder="1" applyAlignment="1" applyProtection="1">
      <alignment horizontal="center" vertical="center" wrapText="1"/>
      <protection/>
    </xf>
    <xf numFmtId="43" fontId="42" fillId="16" borderId="20" xfId="0" applyNumberFormat="1" applyFont="1" applyFill="1" applyBorder="1" applyAlignment="1" applyProtection="1">
      <alignment horizontal="center" vertical="center" wrapText="1"/>
      <protection/>
    </xf>
    <xf numFmtId="43" fontId="42" fillId="0" borderId="51" xfId="0" applyNumberFormat="1" applyFont="1" applyFill="1" applyBorder="1" applyAlignment="1" applyProtection="1">
      <alignment horizontal="center" vertical="center" wrapText="1"/>
      <protection/>
    </xf>
    <xf numFmtId="43" fontId="42" fillId="0" borderId="52" xfId="0" applyNumberFormat="1" applyFont="1" applyFill="1" applyBorder="1" applyAlignment="1" applyProtection="1">
      <alignment horizontal="center" vertical="center" wrapText="1"/>
      <protection/>
    </xf>
    <xf numFmtId="43" fontId="42" fillId="0" borderId="82" xfId="0" applyNumberFormat="1" applyFont="1" applyBorder="1" applyAlignment="1" applyProtection="1">
      <alignment horizontal="center" vertical="center" wrapText="1"/>
      <protection/>
    </xf>
    <xf numFmtId="43" fontId="42" fillId="0" borderId="11" xfId="0" applyNumberFormat="1" applyFont="1" applyBorder="1" applyAlignment="1" applyProtection="1">
      <alignment horizontal="center" vertical="center" wrapText="1"/>
      <protection/>
    </xf>
    <xf numFmtId="43" fontId="42" fillId="16" borderId="48" xfId="0" applyNumberFormat="1" applyFont="1" applyFill="1" applyBorder="1" applyAlignment="1" applyProtection="1">
      <alignment horizontal="center" vertical="center" wrapText="1"/>
      <protection/>
    </xf>
    <xf numFmtId="43" fontId="42" fillId="16" borderId="25" xfId="0" applyNumberFormat="1" applyFont="1" applyFill="1" applyBorder="1" applyAlignment="1" applyProtection="1">
      <alignment horizontal="center" vertical="center" wrapText="1"/>
      <protection/>
    </xf>
    <xf numFmtId="43" fontId="42" fillId="16" borderId="87" xfId="0" applyNumberFormat="1" applyFont="1" applyFill="1" applyBorder="1" applyAlignment="1" applyProtection="1">
      <alignment horizontal="center" vertical="center" wrapText="1"/>
      <protection/>
    </xf>
    <xf numFmtId="43" fontId="42" fillId="16" borderId="49" xfId="0" applyNumberFormat="1" applyFont="1" applyFill="1" applyBorder="1" applyAlignment="1" applyProtection="1">
      <alignment horizontal="center" vertical="center" wrapText="1"/>
      <protection/>
    </xf>
    <xf numFmtId="0" fontId="43" fillId="0" borderId="65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43" fontId="43" fillId="0" borderId="11" xfId="0" applyNumberFormat="1" applyFont="1" applyBorder="1" applyAlignment="1" applyProtection="1">
      <alignment vertical="center"/>
      <protection locked="0"/>
    </xf>
    <xf numFmtId="43" fontId="43" fillId="0" borderId="14" xfId="0" applyNumberFormat="1" applyFont="1" applyBorder="1" applyAlignment="1" applyProtection="1">
      <alignment vertical="center"/>
      <protection locked="0"/>
    </xf>
    <xf numFmtId="43" fontId="43" fillId="0" borderId="65" xfId="0" applyNumberFormat="1" applyFont="1" applyBorder="1" applyAlignment="1" applyProtection="1">
      <alignment vertical="center"/>
      <protection locked="0"/>
    </xf>
    <xf numFmtId="0" fontId="43" fillId="0" borderId="59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43" fontId="43" fillId="0" borderId="17" xfId="0" applyNumberFormat="1" applyFont="1" applyBorder="1" applyAlignment="1" applyProtection="1">
      <alignment vertical="center"/>
      <protection locked="0"/>
    </xf>
    <xf numFmtId="43" fontId="43" fillId="0" borderId="12" xfId="0" applyNumberFormat="1" applyFont="1" applyBorder="1" applyAlignment="1" applyProtection="1">
      <alignment vertical="center"/>
      <protection locked="0"/>
    </xf>
    <xf numFmtId="43" fontId="43" fillId="0" borderId="59" xfId="0" applyNumberFormat="1" applyFont="1" applyBorder="1" applyAlignment="1" applyProtection="1">
      <alignment vertical="center"/>
      <protection locked="0"/>
    </xf>
    <xf numFmtId="0" fontId="43" fillId="0" borderId="57" xfId="0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 vertical="center"/>
      <protection locked="0"/>
    </xf>
    <xf numFmtId="43" fontId="43" fillId="0" borderId="19" xfId="0" applyNumberFormat="1" applyFont="1" applyBorder="1" applyAlignment="1" applyProtection="1">
      <alignment vertical="center"/>
      <protection locked="0"/>
    </xf>
    <xf numFmtId="43" fontId="43" fillId="0" borderId="20" xfId="0" applyNumberFormat="1" applyFont="1" applyBorder="1" applyAlignment="1" applyProtection="1">
      <alignment vertical="center"/>
      <protection locked="0"/>
    </xf>
    <xf numFmtId="43" fontId="43" fillId="0" borderId="57" xfId="0" applyNumberFormat="1" applyFont="1" applyBorder="1" applyAlignment="1" applyProtection="1">
      <alignment vertical="center"/>
      <protection locked="0"/>
    </xf>
    <xf numFmtId="177" fontId="43" fillId="0" borderId="11" xfId="53" applyNumberFormat="1" applyFont="1" applyBorder="1" applyAlignment="1" applyProtection="1">
      <alignment vertical="center"/>
      <protection locked="0"/>
    </xf>
    <xf numFmtId="0" fontId="43" fillId="0" borderId="14" xfId="56" applyFont="1" applyBorder="1" applyAlignment="1" applyProtection="1">
      <alignment vertical="center"/>
      <protection locked="0"/>
    </xf>
    <xf numFmtId="177" fontId="43" fillId="0" borderId="17" xfId="53" applyNumberFormat="1" applyFont="1" applyBorder="1" applyAlignment="1" applyProtection="1">
      <alignment vertical="center"/>
      <protection locked="0"/>
    </xf>
    <xf numFmtId="177" fontId="43" fillId="0" borderId="48" xfId="53" applyNumberFormat="1" applyFont="1" applyBorder="1" applyAlignment="1" applyProtection="1">
      <alignment vertical="center"/>
      <protection locked="0"/>
    </xf>
    <xf numFmtId="0" fontId="43" fillId="0" borderId="25" xfId="56" applyFont="1" applyBorder="1" applyAlignment="1" applyProtection="1">
      <alignment vertical="center"/>
      <protection locked="0"/>
    </xf>
    <xf numFmtId="177" fontId="43" fillId="0" borderId="56" xfId="53" applyNumberFormat="1" applyFont="1" applyBorder="1" applyAlignment="1" applyProtection="1">
      <alignment vertical="center"/>
      <protection locked="0"/>
    </xf>
    <xf numFmtId="0" fontId="43" fillId="0" borderId="27" xfId="56" applyFont="1" applyBorder="1" applyAlignment="1" applyProtection="1">
      <alignment vertical="center"/>
      <protection locked="0"/>
    </xf>
    <xf numFmtId="0" fontId="42" fillId="2" borderId="50" xfId="64" applyFont="1" applyFill="1" applyBorder="1" applyAlignment="1" applyProtection="1">
      <alignment horizontal="left" vertical="center" wrapText="1"/>
      <protection/>
    </xf>
    <xf numFmtId="0" fontId="43" fillId="0" borderId="51" xfId="64" applyFont="1" applyBorder="1" applyAlignment="1" applyProtection="1">
      <alignment vertical="center"/>
      <protection/>
    </xf>
    <xf numFmtId="0" fontId="42" fillId="0" borderId="51" xfId="64" applyFont="1" applyBorder="1" applyAlignment="1" applyProtection="1">
      <alignment horizontal="center" vertical="center"/>
      <protection/>
    </xf>
    <xf numFmtId="0" fontId="42" fillId="0" borderId="47" xfId="64" applyFont="1" applyBorder="1" applyAlignment="1" applyProtection="1">
      <alignment horizontal="center" vertical="center"/>
      <protection/>
    </xf>
    <xf numFmtId="0" fontId="42" fillId="0" borderId="97" xfId="64" applyFont="1" applyBorder="1" applyAlignment="1" applyProtection="1">
      <alignment vertical="center"/>
      <protection/>
    </xf>
    <xf numFmtId="0" fontId="43" fillId="0" borderId="58" xfId="64" applyFont="1" applyBorder="1" applyAlignment="1" applyProtection="1">
      <alignment vertical="center"/>
      <protection/>
    </xf>
    <xf numFmtId="4" fontId="43" fillId="28" borderId="98" xfId="64" applyNumberFormat="1" applyFont="1" applyFill="1" applyBorder="1" applyAlignment="1" applyProtection="1">
      <alignment horizontal="center" vertical="center"/>
      <protection/>
    </xf>
    <xf numFmtId="177" fontId="51" fillId="7" borderId="99" xfId="45" applyNumberFormat="1" applyFont="1" applyBorder="1" applyAlignment="1" applyProtection="1">
      <alignment horizontal="right" vertical="center"/>
      <protection/>
    </xf>
    <xf numFmtId="177" fontId="51" fillId="7" borderId="100" xfId="45" applyNumberFormat="1" applyFont="1" applyBorder="1" applyAlignment="1" applyProtection="1">
      <alignment horizontal="right" vertical="center"/>
      <protection/>
    </xf>
    <xf numFmtId="4" fontId="43" fillId="28" borderId="53" xfId="64" applyNumberFormat="1" applyFont="1" applyFill="1" applyBorder="1" applyAlignment="1" applyProtection="1">
      <alignment horizontal="center" vertical="center"/>
      <protection/>
    </xf>
    <xf numFmtId="4" fontId="43" fillId="28" borderId="58" xfId="64" applyNumberFormat="1" applyFont="1" applyFill="1" applyBorder="1" applyAlignment="1" applyProtection="1">
      <alignment horizontal="center" vertical="center"/>
      <protection/>
    </xf>
    <xf numFmtId="4" fontId="43" fillId="28" borderId="38" xfId="64" applyNumberFormat="1" applyFont="1" applyFill="1" applyBorder="1" applyAlignment="1" applyProtection="1">
      <alignment horizontal="center" vertical="center"/>
      <protection/>
    </xf>
    <xf numFmtId="0" fontId="43" fillId="0" borderId="11" xfId="64" applyFont="1" applyBorder="1" applyAlignment="1" applyProtection="1">
      <alignment vertical="center"/>
      <protection/>
    </xf>
    <xf numFmtId="0" fontId="43" fillId="0" borderId="64" xfId="64" applyFont="1" applyBorder="1" applyAlignment="1" applyProtection="1">
      <alignment vertical="center"/>
      <protection/>
    </xf>
    <xf numFmtId="0" fontId="42" fillId="0" borderId="67" xfId="64" applyFont="1" applyBorder="1" applyAlignment="1" applyProtection="1">
      <alignment vertical="center"/>
      <protection/>
    </xf>
    <xf numFmtId="0" fontId="43" fillId="0" borderId="101" xfId="64" applyFont="1" applyBorder="1" applyAlignment="1" applyProtection="1">
      <alignment vertical="center"/>
      <protection/>
    </xf>
    <xf numFmtId="4" fontId="43" fillId="28" borderId="67" xfId="64" applyNumberFormat="1" applyFont="1" applyFill="1" applyBorder="1" applyAlignment="1" applyProtection="1">
      <alignment horizontal="center" vertical="center"/>
      <protection/>
    </xf>
    <xf numFmtId="0" fontId="43" fillId="0" borderId="65" xfId="64" applyFont="1" applyBorder="1" applyAlignment="1" applyProtection="1">
      <alignment horizontal="left" vertical="center" wrapText="1"/>
      <protection/>
    </xf>
    <xf numFmtId="0" fontId="43" fillId="0" borderId="56" xfId="64" applyFont="1" applyBorder="1" applyAlignment="1" applyProtection="1">
      <alignment vertical="center"/>
      <protection/>
    </xf>
    <xf numFmtId="0" fontId="42" fillId="0" borderId="102" xfId="64" applyFont="1" applyBorder="1" applyAlignment="1" applyProtection="1">
      <alignment vertical="center"/>
      <protection/>
    </xf>
    <xf numFmtId="0" fontId="43" fillId="0" borderId="103" xfId="64" applyFont="1" applyBorder="1" applyAlignment="1" applyProtection="1">
      <alignment vertical="center"/>
      <protection/>
    </xf>
    <xf numFmtId="0" fontId="42" fillId="0" borderId="104" xfId="64" applyFont="1" applyFill="1" applyBorder="1" applyAlignment="1" applyProtection="1">
      <alignment horizontal="center" vertical="center"/>
      <protection/>
    </xf>
    <xf numFmtId="4" fontId="43" fillId="28" borderId="51" xfId="64" applyNumberFormat="1" applyFont="1" applyFill="1" applyBorder="1" applyAlignment="1" applyProtection="1">
      <alignment horizontal="center" vertical="center"/>
      <protection/>
    </xf>
    <xf numFmtId="177" fontId="52" fillId="7" borderId="105" xfId="45" applyNumberFormat="1" applyFont="1" applyBorder="1" applyAlignment="1" applyProtection="1">
      <alignment horizontal="center" vertical="center"/>
      <protection/>
    </xf>
    <xf numFmtId="0" fontId="42" fillId="0" borderId="67" xfId="64" applyFont="1" applyBorder="1" applyAlignment="1" applyProtection="1">
      <alignment horizontal="center" vertical="center"/>
      <protection/>
    </xf>
    <xf numFmtId="4" fontId="43" fillId="29" borderId="51" xfId="64" applyNumberFormat="1" applyFont="1" applyFill="1" applyBorder="1" applyAlignment="1" applyProtection="1">
      <alignment horizontal="center" vertical="center"/>
      <protection/>
    </xf>
    <xf numFmtId="0" fontId="42" fillId="14" borderId="50" xfId="64" applyFont="1" applyFill="1" applyBorder="1" applyAlignment="1" applyProtection="1">
      <alignment horizontal="left" vertical="center" wrapText="1"/>
      <protection/>
    </xf>
    <xf numFmtId="177" fontId="42" fillId="0" borderId="52" xfId="64" applyNumberFormat="1" applyFont="1" applyBorder="1" applyAlignment="1" applyProtection="1">
      <alignment horizontal="right" vertical="center"/>
      <protection/>
    </xf>
    <xf numFmtId="0" fontId="43" fillId="0" borderId="106" xfId="64" applyFont="1" applyBorder="1" applyAlignment="1" applyProtection="1">
      <alignment vertical="center"/>
      <protection locked="0"/>
    </xf>
    <xf numFmtId="0" fontId="43" fillId="0" borderId="11" xfId="64" applyFont="1" applyBorder="1" applyAlignment="1" applyProtection="1">
      <alignment vertical="center"/>
      <protection locked="0"/>
    </xf>
    <xf numFmtId="0" fontId="43" fillId="0" borderId="64" xfId="64" applyFont="1" applyBorder="1" applyAlignment="1" applyProtection="1">
      <alignment vertical="center"/>
      <protection locked="0"/>
    </xf>
    <xf numFmtId="0" fontId="43" fillId="0" borderId="57" xfId="64" applyFont="1" applyBorder="1" applyAlignment="1" applyProtection="1">
      <alignment vertical="center"/>
      <protection locked="0"/>
    </xf>
    <xf numFmtId="0" fontId="43" fillId="0" borderId="58" xfId="64" applyFont="1" applyBorder="1" applyAlignment="1" applyProtection="1">
      <alignment vertical="center"/>
      <protection locked="0"/>
    </xf>
    <xf numFmtId="0" fontId="43" fillId="0" borderId="56" xfId="64" applyFont="1" applyBorder="1" applyAlignment="1" applyProtection="1">
      <alignment vertical="center"/>
      <protection locked="0"/>
    </xf>
    <xf numFmtId="14" fontId="43" fillId="0" borderId="17" xfId="65" applyNumberFormat="1" applyFont="1" applyFill="1" applyBorder="1" applyAlignment="1">
      <alignment horizontal="center" vertical="center" wrapText="1"/>
      <protection/>
    </xf>
    <xf numFmtId="4" fontId="43" fillId="0" borderId="22" xfId="0" applyNumberFormat="1" applyFont="1" applyBorder="1" applyAlignment="1">
      <alignment vertical="center"/>
    </xf>
    <xf numFmtId="4" fontId="42" fillId="0" borderId="19" xfId="0" applyNumberFormat="1" applyFont="1" applyBorder="1" applyAlignment="1">
      <alignment horizontal="right" vertical="center"/>
    </xf>
    <xf numFmtId="0" fontId="43" fillId="0" borderId="86" xfId="64" applyFont="1" applyBorder="1" applyAlignment="1" applyProtection="1">
      <alignment vertical="center"/>
      <protection locked="0"/>
    </xf>
    <xf numFmtId="0" fontId="43" fillId="0" borderId="82" xfId="64" applyFont="1" applyBorder="1" applyAlignment="1" applyProtection="1">
      <alignment vertical="center"/>
      <protection locked="0"/>
    </xf>
    <xf numFmtId="4" fontId="43" fillId="26" borderId="82" xfId="64" applyNumberFormat="1" applyFont="1" applyFill="1" applyBorder="1" applyAlignment="1" applyProtection="1">
      <alignment horizontal="center" vertical="center"/>
      <protection locked="0"/>
    </xf>
    <xf numFmtId="177" fontId="43" fillId="0" borderId="82" xfId="53" applyNumberFormat="1" applyFont="1" applyBorder="1" applyAlignment="1" applyProtection="1">
      <alignment horizontal="right" vertical="center"/>
      <protection locked="0"/>
    </xf>
    <xf numFmtId="177" fontId="43" fillId="0" borderId="82" xfId="53" applyNumberFormat="1" applyFont="1" applyFill="1" applyBorder="1" applyAlignment="1" applyProtection="1">
      <alignment horizontal="right" vertical="center"/>
      <protection locked="0"/>
    </xf>
    <xf numFmtId="0" fontId="43" fillId="0" borderId="17" xfId="64" applyNumberFormat="1" applyFont="1" applyFill="1" applyBorder="1" applyAlignment="1" applyProtection="1">
      <alignment vertical="center"/>
      <protection locked="0"/>
    </xf>
    <xf numFmtId="0" fontId="42" fillId="0" borderId="69" xfId="64" applyFont="1" applyBorder="1" applyAlignment="1" applyProtection="1">
      <alignment horizontal="center" vertical="center"/>
      <protection/>
    </xf>
    <xf numFmtId="4" fontId="43" fillId="29" borderId="58" xfId="64" applyNumberFormat="1" applyFont="1" applyFill="1" applyBorder="1" applyAlignment="1" applyProtection="1">
      <alignment horizontal="center" vertical="center"/>
      <protection/>
    </xf>
    <xf numFmtId="0" fontId="43" fillId="0" borderId="12" xfId="64" applyNumberFormat="1" applyFont="1" applyFill="1" applyBorder="1" applyAlignment="1" applyProtection="1">
      <alignment vertical="center"/>
      <protection locked="0"/>
    </xf>
    <xf numFmtId="0" fontId="43" fillId="0" borderId="19" xfId="64" applyNumberFormat="1" applyFont="1" applyFill="1" applyBorder="1" applyAlignment="1" applyProtection="1">
      <alignment vertical="center"/>
      <protection locked="0"/>
    </xf>
    <xf numFmtId="0" fontId="42" fillId="0" borderId="0" xfId="64" applyFont="1" applyAlignment="1">
      <alignment vertical="center"/>
      <protection/>
    </xf>
    <xf numFmtId="0" fontId="42" fillId="0" borderId="0" xfId="64" applyFont="1" applyAlignment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177" fontId="43" fillId="0" borderId="11" xfId="0" applyNumberFormat="1" applyFont="1" applyBorder="1" applyAlignment="1" applyProtection="1">
      <alignment vertical="center"/>
      <protection locked="0"/>
    </xf>
    <xf numFmtId="3" fontId="43" fillId="0" borderId="0" xfId="0" applyNumberFormat="1" applyFont="1" applyAlignment="1">
      <alignment vertical="center"/>
    </xf>
    <xf numFmtId="4" fontId="43" fillId="26" borderId="17" xfId="64" applyNumberFormat="1" applyFont="1" applyFill="1" applyBorder="1" applyAlignment="1" applyProtection="1">
      <alignment horizontal="center" vertical="center"/>
      <protection locked="0"/>
    </xf>
    <xf numFmtId="177" fontId="43" fillId="0" borderId="17" xfId="65" applyNumberFormat="1" applyFont="1" applyFill="1" applyBorder="1" applyAlignment="1">
      <alignment vertical="center" wrapText="1"/>
      <protection/>
    </xf>
    <xf numFmtId="177" fontId="43" fillId="0" borderId="17" xfId="65" applyNumberFormat="1" applyFont="1" applyBorder="1" applyAlignment="1">
      <alignment horizontal="right" vertical="center"/>
      <protection/>
    </xf>
    <xf numFmtId="3" fontId="42" fillId="0" borderId="18" xfId="68" applyNumberFormat="1" applyFont="1" applyFill="1" applyBorder="1" applyAlignment="1">
      <alignment vertical="center" wrapText="1"/>
      <protection/>
    </xf>
    <xf numFmtId="3" fontId="43" fillId="0" borderId="18" xfId="68" applyNumberFormat="1" applyFont="1" applyFill="1" applyBorder="1" applyAlignment="1">
      <alignment vertical="center"/>
      <protection/>
    </xf>
    <xf numFmtId="177" fontId="43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177" fontId="40" fillId="0" borderId="0" xfId="52" applyNumberFormat="1" applyFont="1" applyBorder="1" applyAlignment="1" applyProtection="1">
      <alignment vertical="center"/>
      <protection/>
    </xf>
    <xf numFmtId="2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7" fontId="43" fillId="0" borderId="0" xfId="0" applyNumberFormat="1" applyFont="1" applyFill="1" applyAlignment="1">
      <alignment vertical="center"/>
    </xf>
    <xf numFmtId="177" fontId="42" fillId="0" borderId="0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vertical="center"/>
    </xf>
    <xf numFmtId="177" fontId="43" fillId="0" borderId="0" xfId="52" applyNumberFormat="1" applyFont="1" applyFill="1" applyBorder="1" applyAlignment="1" applyProtection="1">
      <alignment vertical="center"/>
      <protection/>
    </xf>
    <xf numFmtId="177" fontId="43" fillId="0" borderId="0" xfId="52" applyNumberFormat="1" applyFont="1" applyFill="1" applyBorder="1" applyAlignment="1">
      <alignment vertical="center"/>
    </xf>
    <xf numFmtId="177" fontId="42" fillId="0" borderId="0" xfId="52" applyNumberFormat="1" applyFont="1" applyFill="1" applyBorder="1" applyAlignment="1" applyProtection="1">
      <alignment vertical="center"/>
      <protection/>
    </xf>
    <xf numFmtId="177" fontId="42" fillId="0" borderId="0" xfId="0" applyNumberFormat="1" applyFont="1" applyFill="1" applyBorder="1" applyAlignment="1" applyProtection="1">
      <alignment vertical="center"/>
      <protection/>
    </xf>
    <xf numFmtId="177" fontId="43" fillId="0" borderId="0" xfId="0" applyNumberFormat="1" applyFont="1" applyFill="1" applyBorder="1" applyAlignment="1">
      <alignment vertical="center"/>
    </xf>
    <xf numFmtId="177" fontId="42" fillId="0" borderId="0" xfId="63" applyNumberFormat="1" applyFont="1" applyFill="1" applyBorder="1" applyAlignment="1" applyProtection="1">
      <alignment horizontal="center" vertical="center" wrapText="1"/>
      <protection/>
    </xf>
    <xf numFmtId="177" fontId="43" fillId="0" borderId="0" xfId="63" applyNumberFormat="1" applyFont="1" applyFill="1" applyBorder="1" applyAlignment="1">
      <alignment horizontal="center" vertical="center" wrapText="1"/>
      <protection/>
    </xf>
    <xf numFmtId="0" fontId="43" fillId="0" borderId="64" xfId="64" applyFont="1" applyFill="1" applyBorder="1" applyAlignment="1" applyProtection="1">
      <alignment vertical="center"/>
      <protection locked="0"/>
    </xf>
    <xf numFmtId="0" fontId="43" fillId="0" borderId="11" xfId="64" applyFont="1" applyFill="1" applyBorder="1" applyAlignment="1" applyProtection="1">
      <alignment vertical="center"/>
      <protection locked="0"/>
    </xf>
    <xf numFmtId="4" fontId="43" fillId="0" borderId="11" xfId="64" applyNumberFormat="1" applyFont="1" applyFill="1" applyBorder="1" applyAlignment="1" applyProtection="1">
      <alignment horizontal="center" vertical="center"/>
      <protection locked="0"/>
    </xf>
    <xf numFmtId="177" fontId="43" fillId="0" borderId="17" xfId="53" applyNumberFormat="1" applyFont="1" applyFill="1" applyBorder="1" applyAlignment="1" applyProtection="1">
      <alignment horizontal="right" vertical="center"/>
      <protection locked="0"/>
    </xf>
    <xf numFmtId="2" fontId="43" fillId="0" borderId="0" xfId="64" applyNumberFormat="1" applyFont="1" applyAlignment="1">
      <alignment vertical="center"/>
      <protection/>
    </xf>
    <xf numFmtId="4" fontId="63" fillId="0" borderId="17" xfId="0" applyNumberFormat="1" applyFont="1" applyFill="1" applyBorder="1" applyAlignment="1" applyProtection="1">
      <alignment horizontal="right"/>
      <protection locked="0"/>
    </xf>
    <xf numFmtId="4" fontId="64" fillId="0" borderId="17" xfId="0" applyNumberFormat="1" applyFont="1" applyFill="1" applyBorder="1" applyAlignment="1" applyProtection="1">
      <alignment horizontal="right"/>
      <protection locked="0"/>
    </xf>
    <xf numFmtId="177" fontId="43" fillId="0" borderId="17" xfId="46" applyNumberFormat="1" applyFont="1" applyFill="1" applyBorder="1" applyAlignment="1" applyProtection="1">
      <alignment vertical="center" wrapText="1"/>
      <protection locked="0"/>
    </xf>
    <xf numFmtId="177" fontId="43" fillId="0" borderId="19" xfId="46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3" fillId="0" borderId="62" xfId="64" applyNumberFormat="1" applyFont="1" applyFill="1" applyBorder="1" applyAlignment="1" applyProtection="1">
      <alignment horizontal="center" vertical="center"/>
      <protection locked="0"/>
    </xf>
    <xf numFmtId="0" fontId="43" fillId="0" borderId="25" xfId="64" applyNumberFormat="1" applyFont="1" applyFill="1" applyBorder="1" applyAlignment="1" applyProtection="1">
      <alignment horizontal="center" vertical="center"/>
      <protection locked="0"/>
    </xf>
    <xf numFmtId="177" fontId="42" fillId="0" borderId="107" xfId="64" applyNumberFormat="1" applyFont="1" applyFill="1" applyBorder="1" applyAlignment="1" applyProtection="1">
      <alignment horizontal="right" vertical="center"/>
      <protection/>
    </xf>
    <xf numFmtId="177" fontId="42" fillId="0" borderId="52" xfId="64" applyNumberFormat="1" applyFont="1" applyFill="1" applyBorder="1" applyAlignment="1" applyProtection="1">
      <alignment horizontal="right" vertical="center"/>
      <protection/>
    </xf>
    <xf numFmtId="177" fontId="42" fillId="0" borderId="103" xfId="64" applyNumberFormat="1" applyFont="1" applyFill="1" applyBorder="1" applyAlignment="1" applyProtection="1">
      <alignment vertical="center"/>
      <protection/>
    </xf>
    <xf numFmtId="177" fontId="42" fillId="0" borderId="58" xfId="64" applyNumberFormat="1" applyFont="1" applyFill="1" applyBorder="1" applyAlignment="1" applyProtection="1">
      <alignment horizontal="right" vertical="center"/>
      <protection/>
    </xf>
    <xf numFmtId="177" fontId="42" fillId="0" borderId="38" xfId="64" applyNumberFormat="1" applyFont="1" applyFill="1" applyBorder="1" applyAlignment="1" applyProtection="1">
      <alignment horizontal="right" vertical="center"/>
      <protection/>
    </xf>
    <xf numFmtId="177" fontId="42" fillId="0" borderId="51" xfId="64" applyNumberFormat="1" applyFont="1" applyFill="1" applyBorder="1" applyAlignment="1" applyProtection="1">
      <alignment horizontal="right" vertical="center"/>
      <protection/>
    </xf>
    <xf numFmtId="0" fontId="43" fillId="0" borderId="59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3" fillId="0" borderId="12" xfId="0" applyNumberFormat="1" applyFont="1" applyFill="1" applyBorder="1" applyAlignment="1" applyProtection="1">
      <alignment horizontal="right" vertical="center"/>
      <protection locked="0"/>
    </xf>
    <xf numFmtId="0" fontId="42" fillId="0" borderId="59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>
      <alignment horizontal="center" vertical="center"/>
    </xf>
    <xf numFmtId="43" fontId="42" fillId="0" borderId="12" xfId="0" applyNumberFormat="1" applyFont="1" applyBorder="1" applyAlignment="1" applyProtection="1">
      <alignment horizontal="center" vertical="center" wrapText="1"/>
      <protection/>
    </xf>
    <xf numFmtId="43" fontId="42" fillId="0" borderId="13" xfId="0" applyNumberFormat="1" applyFont="1" applyBorder="1" applyAlignment="1" applyProtection="1">
      <alignment horizontal="center" vertical="center" wrapText="1"/>
      <protection/>
    </xf>
    <xf numFmtId="43" fontId="42" fillId="0" borderId="14" xfId="0" applyNumberFormat="1" applyFont="1" applyBorder="1" applyAlignment="1" applyProtection="1">
      <alignment horizontal="center" vertical="center" wrapText="1"/>
      <protection/>
    </xf>
    <xf numFmtId="0" fontId="42" fillId="0" borderId="11" xfId="65" applyFont="1" applyFill="1" applyBorder="1" applyAlignment="1">
      <alignment vertical="center" wrapText="1"/>
      <protection/>
    </xf>
    <xf numFmtId="4" fontId="43" fillId="0" borderId="66" xfId="0" applyNumberFormat="1" applyFont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4" fontId="45" fillId="22" borderId="0" xfId="60" applyNumberFormat="1" applyFont="1" applyFill="1" applyBorder="1" applyAlignment="1">
      <alignment horizontal="left" vertical="center"/>
      <protection/>
    </xf>
    <xf numFmtId="0" fontId="43" fillId="22" borderId="0" xfId="60" applyFont="1" applyFill="1" applyAlignment="1">
      <alignment vertical="center"/>
      <protection/>
    </xf>
    <xf numFmtId="0" fontId="65" fillId="0" borderId="17" xfId="0" applyFont="1" applyFill="1" applyBorder="1" applyAlignment="1" applyProtection="1">
      <alignment horizontal="center" vertical="center"/>
      <protection locked="0"/>
    </xf>
    <xf numFmtId="0" fontId="65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70" xfId="0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70" xfId="0" applyNumberFormat="1" applyBorder="1" applyAlignment="1">
      <alignment/>
    </xf>
    <xf numFmtId="0" fontId="0" fillId="0" borderId="0" xfId="0" applyAlignment="1">
      <alignment vertical="center"/>
    </xf>
    <xf numFmtId="2" fontId="9" fillId="0" borderId="15" xfId="62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168" fontId="68" fillId="0" borderId="15" xfId="62" applyNumberFormat="1" applyFont="1" applyFill="1" applyBorder="1" applyAlignment="1">
      <alignment horizontal="left" vertical="center"/>
      <protection/>
    </xf>
    <xf numFmtId="0" fontId="69" fillId="0" borderId="1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28" xfId="0" applyFont="1" applyBorder="1" applyAlignment="1">
      <alignment vertical="center"/>
    </xf>
    <xf numFmtId="0" fontId="70" fillId="0" borderId="55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88" xfId="0" applyFont="1" applyBorder="1" applyAlignment="1">
      <alignment horizontal="center" vertical="center" wrapText="1"/>
    </xf>
    <xf numFmtId="2" fontId="69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70" fillId="0" borderId="28" xfId="0" applyFont="1" applyBorder="1" applyAlignment="1">
      <alignment/>
    </xf>
    <xf numFmtId="0" fontId="70" fillId="0" borderId="55" xfId="0" applyFont="1" applyBorder="1" applyAlignment="1">
      <alignment horizontal="left"/>
    </xf>
    <xf numFmtId="0" fontId="70" fillId="0" borderId="55" xfId="0" applyFont="1" applyBorder="1" applyAlignment="1">
      <alignment horizontal="center" wrapText="1"/>
    </xf>
    <xf numFmtId="0" fontId="69" fillId="0" borderId="1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14" fontId="69" fillId="0" borderId="0" xfId="0" applyNumberFormat="1" applyFont="1" applyBorder="1" applyAlignment="1">
      <alignment horizontal="center" vertical="center"/>
    </xf>
    <xf numFmtId="14" fontId="69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68" fontId="68" fillId="0" borderId="28" xfId="62" applyNumberFormat="1" applyFont="1" applyFill="1" applyBorder="1" applyAlignment="1">
      <alignment horizontal="left" vertical="center"/>
      <protection/>
    </xf>
    <xf numFmtId="0" fontId="0" fillId="0" borderId="5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70" xfId="0" applyBorder="1" applyAlignment="1">
      <alignment vertical="center"/>
    </xf>
    <xf numFmtId="4" fontId="42" fillId="0" borderId="67" xfId="65" applyNumberFormat="1" applyFont="1" applyBorder="1" applyAlignment="1" applyProtection="1">
      <alignment horizontal="right" vertical="center"/>
      <protection locked="0"/>
    </xf>
    <xf numFmtId="0" fontId="0" fillId="16" borderId="12" xfId="0" applyFill="1" applyBorder="1" applyAlignment="1">
      <alignment/>
    </xf>
    <xf numFmtId="4" fontId="42" fillId="16" borderId="12" xfId="0" applyNumberFormat="1" applyFont="1" applyFill="1" applyBorder="1" applyAlignment="1">
      <alignment vertical="center"/>
    </xf>
    <xf numFmtId="0" fontId="71" fillId="0" borderId="0" xfId="56" applyFont="1">
      <alignment/>
      <protection/>
    </xf>
    <xf numFmtId="0" fontId="72" fillId="0" borderId="0" xfId="56" applyFont="1">
      <alignment/>
      <protection/>
    </xf>
    <xf numFmtId="0" fontId="71" fillId="0" borderId="0" xfId="56" applyFont="1" applyAlignment="1">
      <alignment vertical="center"/>
      <protection/>
    </xf>
    <xf numFmtId="0" fontId="73" fillId="0" borderId="0" xfId="56" applyFont="1">
      <alignment/>
      <protection/>
    </xf>
    <xf numFmtId="0" fontId="72" fillId="16" borderId="17" xfId="56" applyFont="1" applyFill="1" applyBorder="1" applyAlignment="1">
      <alignment horizontal="center"/>
      <protection/>
    </xf>
    <xf numFmtId="17" fontId="72" fillId="16" borderId="17" xfId="56" applyNumberFormat="1" applyFont="1" applyFill="1" applyBorder="1" applyAlignment="1">
      <alignment horizontal="center"/>
      <protection/>
    </xf>
    <xf numFmtId="0" fontId="29" fillId="0" borderId="0" xfId="56" applyFont="1">
      <alignment/>
      <protection/>
    </xf>
    <xf numFmtId="0" fontId="73" fillId="0" borderId="0" xfId="56" applyFont="1" applyAlignment="1">
      <alignment vertical="center"/>
      <protection/>
    </xf>
    <xf numFmtId="17" fontId="29" fillId="16" borderId="17" xfId="56" applyNumberFormat="1" applyFont="1" applyFill="1" applyBorder="1" applyAlignment="1">
      <alignment horizontal="center"/>
      <protection/>
    </xf>
    <xf numFmtId="0" fontId="29" fillId="16" borderId="17" xfId="56" applyFont="1" applyFill="1" applyBorder="1" applyAlignment="1">
      <alignment horizontal="center"/>
      <protection/>
    </xf>
    <xf numFmtId="0" fontId="67" fillId="8" borderId="13" xfId="62" applyNumberFormat="1" applyFont="1" applyFill="1" applyBorder="1" applyAlignment="1">
      <alignment horizontal="center" vertical="center"/>
      <protection/>
    </xf>
    <xf numFmtId="0" fontId="74" fillId="0" borderId="0" xfId="0" applyFont="1" applyAlignment="1">
      <alignment vertical="center"/>
    </xf>
    <xf numFmtId="17" fontId="72" fillId="0" borderId="0" xfId="56" applyNumberFormat="1" applyFont="1" applyFill="1" applyBorder="1" applyAlignment="1">
      <alignment horizontal="center"/>
      <protection/>
    </xf>
    <xf numFmtId="0" fontId="72" fillId="0" borderId="0" xfId="56" applyFont="1" applyFill="1" applyBorder="1" applyAlignment="1">
      <alignment horizontal="center"/>
      <protection/>
    </xf>
    <xf numFmtId="0" fontId="75" fillId="0" borderId="17" xfId="60" applyFont="1" applyFill="1" applyBorder="1" applyAlignment="1">
      <alignment vertical="center"/>
      <protection/>
    </xf>
    <xf numFmtId="0" fontId="75" fillId="0" borderId="17" xfId="60" applyFont="1" applyBorder="1" applyAlignment="1">
      <alignment vertical="center"/>
      <protection/>
    </xf>
    <xf numFmtId="177" fontId="43" fillId="0" borderId="11" xfId="65" applyNumberFormat="1" applyFont="1" applyFill="1" applyBorder="1" applyAlignment="1">
      <alignment horizontal="right" vertical="center" wrapText="1"/>
      <protection/>
    </xf>
    <xf numFmtId="0" fontId="42" fillId="0" borderId="17" xfId="65" applyFont="1" applyFill="1" applyBorder="1" applyAlignment="1">
      <alignment vertical="center" wrapText="1"/>
      <protection/>
    </xf>
    <xf numFmtId="10" fontId="0" fillId="0" borderId="12" xfId="71" applyNumberFormat="1" applyFont="1" applyBorder="1" applyAlignment="1">
      <alignment/>
    </xf>
    <xf numFmtId="10" fontId="0" fillId="16" borderId="12" xfId="71" applyNumberFormat="1" applyFont="1" applyFill="1" applyBorder="1" applyAlignment="1">
      <alignment/>
    </xf>
    <xf numFmtId="1" fontId="43" fillId="0" borderId="12" xfId="65" applyNumberFormat="1" applyFont="1" applyFill="1" applyBorder="1" applyAlignment="1">
      <alignment horizontal="center" vertical="center" wrapText="1"/>
      <protection/>
    </xf>
    <xf numFmtId="10" fontId="69" fillId="0" borderId="0" xfId="71" applyNumberFormat="1" applyFont="1" applyBorder="1" applyAlignment="1">
      <alignment vertical="center"/>
    </xf>
    <xf numFmtId="10" fontId="69" fillId="0" borderId="0" xfId="71" applyNumberFormat="1" applyFont="1" applyBorder="1" applyAlignment="1">
      <alignment horizontal="right" vertical="center"/>
    </xf>
    <xf numFmtId="4" fontId="69" fillId="0" borderId="108" xfId="0" applyNumberFormat="1" applyFont="1" applyBorder="1" applyAlignment="1">
      <alignment vertical="center"/>
    </xf>
    <xf numFmtId="4" fontId="69" fillId="0" borderId="0" xfId="0" applyNumberFormat="1" applyFont="1" applyBorder="1" applyAlignment="1">
      <alignment vertical="center"/>
    </xf>
    <xf numFmtId="1" fontId="69" fillId="0" borderId="108" xfId="0" applyNumberFormat="1" applyFont="1" applyBorder="1" applyAlignment="1">
      <alignment horizontal="right" vertical="center"/>
    </xf>
    <xf numFmtId="1" fontId="69" fillId="0" borderId="0" xfId="0" applyNumberFormat="1" applyFont="1" applyBorder="1" applyAlignment="1">
      <alignment horizontal="right" vertical="center"/>
    </xf>
    <xf numFmtId="4" fontId="69" fillId="0" borderId="22" xfId="0" applyNumberFormat="1" applyFont="1" applyBorder="1" applyAlignment="1">
      <alignment horizontal="right" vertical="center"/>
    </xf>
    <xf numFmtId="9" fontId="69" fillId="0" borderId="0" xfId="7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4" fontId="43" fillId="0" borderId="11" xfId="0" applyNumberFormat="1" applyFont="1" applyBorder="1" applyAlignment="1" applyProtection="1">
      <alignment horizontal="left" vertical="center"/>
      <protection locked="0"/>
    </xf>
    <xf numFmtId="0" fontId="43" fillId="0" borderId="8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4" fontId="43" fillId="28" borderId="87" xfId="64" applyNumberFormat="1" applyFont="1" applyFill="1" applyBorder="1" applyAlignment="1" applyProtection="1">
      <alignment horizontal="center" vertical="center"/>
      <protection/>
    </xf>
    <xf numFmtId="4" fontId="43" fillId="28" borderId="49" xfId="64" applyNumberFormat="1" applyFont="1" applyFill="1" applyBorder="1" applyAlignment="1" applyProtection="1">
      <alignment horizontal="center" vertical="center"/>
      <protection/>
    </xf>
    <xf numFmtId="0" fontId="43" fillId="0" borderId="17" xfId="0" applyFont="1" applyBorder="1" applyAlignment="1">
      <alignment horizontal="center" vertical="center"/>
    </xf>
    <xf numFmtId="177" fontId="43" fillId="0" borderId="18" xfId="53" applyNumberFormat="1" applyFont="1" applyBorder="1" applyAlignment="1" applyProtection="1">
      <alignment horizontal="right" vertical="center"/>
      <protection locked="0"/>
    </xf>
    <xf numFmtId="177" fontId="43" fillId="0" borderId="63" xfId="53" applyNumberFormat="1" applyFont="1" applyBorder="1" applyAlignment="1" applyProtection="1">
      <alignment horizontal="right" vertical="center"/>
      <protection locked="0"/>
    </xf>
    <xf numFmtId="0" fontId="43" fillId="0" borderId="8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59" xfId="64" applyNumberFormat="1" applyFont="1" applyFill="1" applyBorder="1" applyAlignment="1" applyProtection="1">
      <alignment vertical="center"/>
      <protection locked="0"/>
    </xf>
    <xf numFmtId="0" fontId="43" fillId="0" borderId="57" xfId="64" applyNumberFormat="1" applyFont="1" applyFill="1" applyBorder="1" applyAlignment="1" applyProtection="1">
      <alignment vertical="center"/>
      <protection locked="0"/>
    </xf>
    <xf numFmtId="4" fontId="69" fillId="0" borderId="22" xfId="0" applyNumberFormat="1" applyFont="1" applyBorder="1" applyAlignment="1">
      <alignment vertical="center"/>
    </xf>
    <xf numFmtId="177" fontId="43" fillId="0" borderId="109" xfId="53" applyNumberFormat="1" applyFont="1" applyFill="1" applyBorder="1" applyAlignment="1" applyProtection="1">
      <alignment horizontal="right" vertical="center"/>
      <protection locked="0"/>
    </xf>
    <xf numFmtId="177" fontId="43" fillId="0" borderId="18" xfId="53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40" fillId="0" borderId="17" xfId="65" applyFont="1" applyFill="1" applyBorder="1" applyAlignment="1">
      <alignment horizontal="center" vertical="center"/>
      <protection/>
    </xf>
    <xf numFmtId="0" fontId="76" fillId="0" borderId="0" xfId="0" applyFont="1" applyAlignment="1">
      <alignment vertical="center"/>
    </xf>
    <xf numFmtId="177" fontId="76" fillId="0" borderId="0" xfId="0" applyNumberFormat="1" applyFont="1" applyAlignment="1">
      <alignment vertical="center"/>
    </xf>
    <xf numFmtId="177" fontId="76" fillId="0" borderId="67" xfId="0" applyNumberFormat="1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177" fontId="76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177" fontId="46" fillId="0" borderId="0" xfId="0" applyNumberFormat="1" applyFont="1" applyBorder="1" applyAlignment="1" applyProtection="1">
      <alignment vertical="center"/>
      <protection/>
    </xf>
    <xf numFmtId="0" fontId="76" fillId="0" borderId="0" xfId="56" applyFont="1" applyFill="1" applyBorder="1" applyAlignment="1">
      <alignment horizontal="left" vertical="center" wrapText="1"/>
      <protection/>
    </xf>
    <xf numFmtId="177" fontId="76" fillId="0" borderId="0" xfId="0" applyNumberFormat="1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 wrapText="1"/>
    </xf>
    <xf numFmtId="177" fontId="76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vertical="center" wrapText="1"/>
    </xf>
    <xf numFmtId="0" fontId="77" fillId="0" borderId="0" xfId="60" applyFont="1">
      <alignment/>
      <protection/>
    </xf>
    <xf numFmtId="0" fontId="76" fillId="0" borderId="0" xfId="60" applyFont="1">
      <alignment/>
      <protection/>
    </xf>
    <xf numFmtId="0" fontId="77" fillId="0" borderId="0" xfId="60" applyFont="1" applyAlignment="1">
      <alignment vertical="center"/>
      <protection/>
    </xf>
    <xf numFmtId="0" fontId="76" fillId="0" borderId="0" xfId="60" applyFont="1" applyAlignment="1">
      <alignment vertical="center"/>
      <protection/>
    </xf>
    <xf numFmtId="0" fontId="77" fillId="0" borderId="0" xfId="60" applyFont="1" applyAlignment="1">
      <alignment horizontal="center" vertical="center" wrapText="1"/>
      <protection/>
    </xf>
    <xf numFmtId="4" fontId="77" fillId="0" borderId="0" xfId="60" applyNumberFormat="1" applyFont="1" applyAlignment="1">
      <alignment vertical="center"/>
      <protection/>
    </xf>
    <xf numFmtId="4" fontId="78" fillId="0" borderId="0" xfId="60" applyNumberFormat="1" applyFont="1" applyAlignment="1">
      <alignment vertical="center"/>
      <protection/>
    </xf>
    <xf numFmtId="4" fontId="78" fillId="11" borderId="0" xfId="60" applyNumberFormat="1" applyFont="1" applyFill="1" applyAlignment="1">
      <alignment vertical="center"/>
      <protection/>
    </xf>
    <xf numFmtId="4" fontId="76" fillId="0" borderId="0" xfId="60" applyNumberFormat="1" applyFont="1" applyAlignment="1">
      <alignment vertical="center"/>
      <protection/>
    </xf>
    <xf numFmtId="4" fontId="76" fillId="0" borderId="0" xfId="60" applyNumberFormat="1" applyFont="1" applyFill="1" applyBorder="1" applyAlignment="1">
      <alignment vertical="center"/>
      <protection/>
    </xf>
    <xf numFmtId="0" fontId="76" fillId="0" borderId="0" xfId="60" applyFont="1" applyFill="1" applyBorder="1" applyAlignment="1">
      <alignment vertical="center"/>
      <protection/>
    </xf>
    <xf numFmtId="0" fontId="76" fillId="0" borderId="0" xfId="60" applyFont="1" applyBorder="1" applyAlignment="1">
      <alignment vertical="center"/>
      <protection/>
    </xf>
    <xf numFmtId="0" fontId="77" fillId="0" borderId="0" xfId="60" applyFont="1" applyBorder="1" applyAlignment="1">
      <alignment vertical="center"/>
      <protection/>
    </xf>
    <xf numFmtId="0" fontId="77" fillId="0" borderId="0" xfId="60" applyFont="1" applyBorder="1">
      <alignment/>
      <protection/>
    </xf>
    <xf numFmtId="0" fontId="78" fillId="0" borderId="0" xfId="60" applyFont="1" applyBorder="1" applyAlignment="1">
      <alignment horizontal="center" vertical="center" wrapText="1"/>
      <protection/>
    </xf>
    <xf numFmtId="4" fontId="78" fillId="0" borderId="0" xfId="60" applyNumberFormat="1" applyFont="1" applyBorder="1" applyAlignment="1">
      <alignment vertical="center"/>
      <protection/>
    </xf>
    <xf numFmtId="4" fontId="77" fillId="0" borderId="0" xfId="60" applyNumberFormat="1" applyFont="1" applyBorder="1" applyAlignment="1">
      <alignment vertical="center"/>
      <protection/>
    </xf>
    <xf numFmtId="4" fontId="78" fillId="11" borderId="0" xfId="60" applyNumberFormat="1" applyFont="1" applyFill="1" applyBorder="1" applyAlignment="1">
      <alignment vertical="center"/>
      <protection/>
    </xf>
    <xf numFmtId="0" fontId="78" fillId="11" borderId="0" xfId="60" applyFont="1" applyFill="1" applyBorder="1" applyAlignment="1">
      <alignment vertical="center"/>
      <protection/>
    </xf>
    <xf numFmtId="0" fontId="46" fillId="0" borderId="0" xfId="56" applyFont="1" applyAlignment="1">
      <alignment horizontal="left" vertical="center" wrapText="1"/>
      <protection/>
    </xf>
    <xf numFmtId="2" fontId="76" fillId="0" borderId="0" xfId="56" applyNumberFormat="1" applyFont="1" applyAlignment="1">
      <alignment vertical="center"/>
      <protection/>
    </xf>
    <xf numFmtId="0" fontId="76" fillId="0" borderId="0" xfId="56" applyFont="1" applyAlignment="1">
      <alignment vertical="center"/>
      <protection/>
    </xf>
    <xf numFmtId="4" fontId="76" fillId="0" borderId="0" xfId="56" applyNumberFormat="1" applyFont="1" applyAlignment="1">
      <alignment vertical="center"/>
      <protection/>
    </xf>
    <xf numFmtId="169" fontId="76" fillId="0" borderId="0" xfId="0" applyNumberFormat="1" applyFont="1" applyAlignment="1">
      <alignment vertical="center"/>
    </xf>
    <xf numFmtId="0" fontId="76" fillId="0" borderId="0" xfId="0" applyFont="1" applyAlignment="1">
      <alignment horizontal="right" vertical="center"/>
    </xf>
    <xf numFmtId="173" fontId="76" fillId="22" borderId="0" xfId="0" applyNumberFormat="1" applyFont="1" applyFill="1" applyAlignment="1">
      <alignment vertical="center"/>
    </xf>
    <xf numFmtId="0" fontId="80" fillId="0" borderId="0" xfId="56" applyFont="1" applyAlignment="1">
      <alignment horizontal="left" vertical="center" wrapText="1"/>
      <protection/>
    </xf>
    <xf numFmtId="4" fontId="76" fillId="0" borderId="0" xfId="64" applyNumberFormat="1" applyFont="1" applyAlignment="1">
      <alignment vertical="center"/>
      <protection/>
    </xf>
    <xf numFmtId="3" fontId="76" fillId="0" borderId="0" xfId="64" applyNumberFormat="1" applyFont="1" applyAlignment="1">
      <alignment vertical="center"/>
      <protection/>
    </xf>
    <xf numFmtId="0" fontId="76" fillId="0" borderId="0" xfId="64" applyFont="1" applyAlignment="1">
      <alignment vertical="center"/>
      <protection/>
    </xf>
    <xf numFmtId="0" fontId="76" fillId="0" borderId="0" xfId="0" applyFont="1" applyFill="1" applyBorder="1" applyAlignment="1">
      <alignment horizontal="center" vertical="center"/>
    </xf>
    <xf numFmtId="177" fontId="76" fillId="0" borderId="0" xfId="53" applyNumberFormat="1" applyFont="1" applyFill="1" applyBorder="1" applyAlignment="1" applyProtection="1">
      <alignment horizontal="right" vertical="center"/>
      <protection locked="0"/>
    </xf>
    <xf numFmtId="4" fontId="76" fillId="0" borderId="0" xfId="0" applyNumberFormat="1" applyFont="1" applyAlignment="1">
      <alignment vertical="center"/>
    </xf>
    <xf numFmtId="0" fontId="76" fillId="0" borderId="0" xfId="0" applyFont="1" applyAlignment="1">
      <alignment horizontal="center" vertical="center"/>
    </xf>
    <xf numFmtId="177" fontId="76" fillId="0" borderId="0" xfId="53" applyNumberFormat="1" applyFont="1" applyBorder="1" applyAlignment="1" applyProtection="1">
      <alignment horizontal="right" vertical="center"/>
      <protection locked="0"/>
    </xf>
    <xf numFmtId="0" fontId="76" fillId="0" borderId="55" xfId="0" applyFont="1" applyBorder="1" applyAlignment="1">
      <alignment horizontal="center" vertical="center"/>
    </xf>
    <xf numFmtId="177" fontId="76" fillId="0" borderId="55" xfId="53" applyNumberFormat="1" applyFont="1" applyBorder="1" applyAlignment="1" applyProtection="1">
      <alignment horizontal="right" vertical="center"/>
      <protection locked="0"/>
    </xf>
    <xf numFmtId="0" fontId="76" fillId="0" borderId="55" xfId="0" applyFont="1" applyBorder="1" applyAlignment="1">
      <alignment vertical="center"/>
    </xf>
    <xf numFmtId="49" fontId="77" fillId="0" borderId="0" xfId="0" applyNumberFormat="1" applyFont="1" applyAlignment="1">
      <alignment horizontal="center" vertical="center"/>
    </xf>
    <xf numFmtId="4" fontId="81" fillId="0" borderId="0" xfId="0" applyNumberFormat="1" applyFont="1" applyAlignment="1">
      <alignment vertical="center"/>
    </xf>
    <xf numFmtId="0" fontId="77" fillId="0" borderId="0" xfId="0" applyFont="1" applyAlignment="1">
      <alignment vertical="center"/>
    </xf>
    <xf numFmtId="49" fontId="78" fillId="0" borderId="0" xfId="0" applyNumberFormat="1" applyFont="1" applyAlignment="1">
      <alignment horizontal="center" vertical="center"/>
    </xf>
    <xf numFmtId="0" fontId="78" fillId="0" borderId="0" xfId="0" applyFont="1" applyAlignment="1">
      <alignment vertical="center"/>
    </xf>
    <xf numFmtId="4" fontId="46" fillId="0" borderId="0" xfId="0" applyNumberFormat="1" applyFont="1" applyAlignment="1">
      <alignment vertical="center"/>
    </xf>
    <xf numFmtId="3" fontId="76" fillId="0" borderId="0" xfId="0" applyNumberFormat="1" applyFont="1" applyAlignment="1">
      <alignment vertical="center"/>
    </xf>
    <xf numFmtId="0" fontId="76" fillId="0" borderId="0" xfId="65" applyFont="1" applyAlignment="1">
      <alignment vertical="center"/>
      <protection/>
    </xf>
    <xf numFmtId="4" fontId="76" fillId="0" borderId="0" xfId="65" applyNumberFormat="1" applyFont="1" applyAlignment="1">
      <alignment vertical="center"/>
      <protection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17" fontId="82" fillId="0" borderId="0" xfId="56" applyNumberFormat="1" applyFont="1" applyFill="1" applyBorder="1" applyAlignment="1">
      <alignment horizontal="center"/>
      <protection/>
    </xf>
    <xf numFmtId="0" fontId="82" fillId="0" borderId="0" xfId="56" applyFont="1" applyFill="1" applyBorder="1" applyAlignment="1">
      <alignment horizontal="center"/>
      <protection/>
    </xf>
    <xf numFmtId="4" fontId="78" fillId="0" borderId="0" xfId="0" applyNumberFormat="1" applyFont="1" applyAlignment="1">
      <alignment vertical="center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2" fontId="60" fillId="0" borderId="66" xfId="60" applyNumberFormat="1" applyFont="1" applyFill="1" applyBorder="1" applyAlignment="1" applyProtection="1">
      <alignment horizontal="center" vertical="center"/>
      <protection locked="0"/>
    </xf>
    <xf numFmtId="2" fontId="60" fillId="0" borderId="18" xfId="60" applyNumberFormat="1" applyFont="1" applyFill="1" applyBorder="1" applyAlignment="1" applyProtection="1">
      <alignment horizontal="center" vertical="center"/>
      <protection locked="0"/>
    </xf>
    <xf numFmtId="2" fontId="60" fillId="0" borderId="110" xfId="60" applyNumberFormat="1" applyFont="1" applyFill="1" applyBorder="1" applyAlignment="1" applyProtection="1">
      <alignment horizontal="center" vertical="center"/>
      <protection locked="0"/>
    </xf>
    <xf numFmtId="177" fontId="42" fillId="8" borderId="111" xfId="0" applyNumberFormat="1" applyFont="1" applyFill="1" applyBorder="1" applyAlignment="1" applyProtection="1">
      <alignment horizontal="center" vertical="center"/>
      <protection/>
    </xf>
    <xf numFmtId="177" fontId="43" fillId="8" borderId="112" xfId="0" applyNumberFormat="1" applyFont="1" applyFill="1" applyBorder="1" applyAlignment="1">
      <alignment horizontal="center" vertical="center"/>
    </xf>
    <xf numFmtId="177" fontId="42" fillId="8" borderId="49" xfId="63" applyNumberFormat="1" applyFont="1" applyFill="1" applyBorder="1" applyAlignment="1" applyProtection="1">
      <alignment horizontal="center" vertical="center" wrapText="1"/>
      <protection/>
    </xf>
    <xf numFmtId="177" fontId="43" fillId="8" borderId="38" xfId="63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2" fontId="67" fillId="8" borderId="12" xfId="62" applyNumberFormat="1" applyFont="1" applyFill="1" applyBorder="1" applyAlignment="1">
      <alignment horizontal="left" vertical="center"/>
      <protection/>
    </xf>
    <xf numFmtId="2" fontId="8" fillId="0" borderId="43" xfId="62" applyNumberFormat="1" applyFont="1" applyFill="1" applyBorder="1" applyAlignment="1">
      <alignment horizontal="left" vertical="center"/>
      <protection/>
    </xf>
    <xf numFmtId="2" fontId="8" fillId="0" borderId="54" xfId="62" applyNumberFormat="1" applyFont="1" applyFill="1" applyBorder="1" applyAlignment="1">
      <alignment horizontal="left" vertical="center"/>
      <protection/>
    </xf>
    <xf numFmtId="2" fontId="8" fillId="0" borderId="89" xfId="62" applyNumberFormat="1" applyFont="1" applyFill="1" applyBorder="1" applyAlignment="1">
      <alignment horizontal="left" vertical="center"/>
      <protection/>
    </xf>
    <xf numFmtId="2" fontId="67" fillId="8" borderId="17" xfId="62" applyNumberFormat="1" applyFont="1" applyFill="1" applyBorder="1" applyAlignment="1">
      <alignment horizontal="left" vertical="center"/>
      <protection/>
    </xf>
    <xf numFmtId="2" fontId="67" fillId="8" borderId="59" xfId="62" applyNumberFormat="1" applyFont="1" applyFill="1" applyBorder="1" applyAlignment="1">
      <alignment horizontal="left" vertical="center"/>
      <protection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113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7" fontId="1" fillId="0" borderId="114" xfId="0" applyNumberFormat="1" applyFont="1" applyFill="1" applyBorder="1" applyAlignment="1">
      <alignment vertical="center"/>
    </xf>
    <xf numFmtId="177" fontId="0" fillId="0" borderId="115" xfId="0" applyNumberFormat="1" applyFont="1" applyBorder="1" applyAlignment="1">
      <alignment vertical="center"/>
    </xf>
    <xf numFmtId="0" fontId="11" fillId="0" borderId="0" xfId="0" applyFont="1" applyAlignment="1">
      <alignment horizontal="justify" vertical="justify" wrapText="1"/>
    </xf>
    <xf numFmtId="2" fontId="29" fillId="0" borderId="0" xfId="59" applyNumberFormat="1" applyFont="1" applyFill="1" applyBorder="1" applyAlignment="1">
      <alignment horizontal="left" vertical="center" wrapText="1"/>
      <protection/>
    </xf>
    <xf numFmtId="3" fontId="1" fillId="8" borderId="43" xfId="0" applyNumberFormat="1" applyFont="1" applyFill="1" applyBorder="1" applyAlignment="1" applyProtection="1">
      <alignment horizontal="center" vertical="center"/>
      <protection/>
    </xf>
    <xf numFmtId="3" fontId="1" fillId="8" borderId="44" xfId="0" applyNumberFormat="1" applyFont="1" applyFill="1" applyBorder="1" applyAlignment="1" applyProtection="1">
      <alignment horizontal="center" vertical="center"/>
      <protection/>
    </xf>
    <xf numFmtId="3" fontId="1" fillId="8" borderId="15" xfId="0" applyNumberFormat="1" applyFont="1" applyFill="1" applyBorder="1" applyAlignment="1" applyProtection="1">
      <alignment horizontal="center" vertical="center"/>
      <protection/>
    </xf>
    <xf numFmtId="3" fontId="1" fillId="8" borderId="26" xfId="0" applyNumberFormat="1" applyFont="1" applyFill="1" applyBorder="1" applyAlignment="1" applyProtection="1">
      <alignment horizontal="center" vertical="center"/>
      <protection/>
    </xf>
    <xf numFmtId="3" fontId="1" fillId="8" borderId="28" xfId="0" applyNumberFormat="1" applyFont="1" applyFill="1" applyBorder="1" applyAlignment="1" applyProtection="1">
      <alignment horizontal="center" vertical="center"/>
      <protection/>
    </xf>
    <xf numFmtId="3" fontId="1" fillId="8" borderId="29" xfId="0" applyNumberFormat="1" applyFont="1" applyFill="1" applyBorder="1" applyAlignment="1" applyProtection="1">
      <alignment horizontal="center" vertical="center"/>
      <protection/>
    </xf>
    <xf numFmtId="177" fontId="1" fillId="8" borderId="49" xfId="63" applyNumberFormat="1" applyFont="1" applyFill="1" applyBorder="1" applyAlignment="1" applyProtection="1">
      <alignment horizontal="center" vertical="center" wrapText="1"/>
      <protection/>
    </xf>
    <xf numFmtId="177" fontId="0" fillId="8" borderId="27" xfId="63" applyNumberFormat="1" applyFont="1" applyFill="1" applyBorder="1" applyAlignment="1">
      <alignment horizontal="center" vertical="center" wrapText="1"/>
      <protection/>
    </xf>
    <xf numFmtId="177" fontId="0" fillId="8" borderId="14" xfId="63" applyNumberFormat="1" applyFont="1" applyFill="1" applyBorder="1" applyAlignment="1">
      <alignment horizontal="center" vertical="center" wrapText="1"/>
      <protection/>
    </xf>
    <xf numFmtId="177" fontId="1" fillId="8" borderId="111" xfId="0" applyNumberFormat="1" applyFont="1" applyFill="1" applyBorder="1" applyAlignment="1" applyProtection="1">
      <alignment horizontal="center" vertical="center"/>
      <protection/>
    </xf>
    <xf numFmtId="177" fontId="0" fillId="8" borderId="116" xfId="0" applyNumberFormat="1" applyFont="1" applyFill="1" applyBorder="1" applyAlignment="1">
      <alignment horizontal="center" vertical="center"/>
    </xf>
    <xf numFmtId="177" fontId="0" fillId="8" borderId="117" xfId="0" applyNumberFormat="1" applyFont="1" applyFill="1" applyBorder="1" applyAlignment="1">
      <alignment horizontal="center" vertical="center"/>
    </xf>
    <xf numFmtId="177" fontId="1" fillId="0" borderId="37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0" fontId="66" fillId="25" borderId="81" xfId="62" applyFont="1" applyFill="1" applyBorder="1" applyAlignment="1">
      <alignment horizontal="center" vertical="center" wrapText="1"/>
      <protection/>
    </xf>
    <xf numFmtId="0" fontId="66" fillId="25" borderId="82" xfId="62" applyFont="1" applyFill="1" applyBorder="1" applyAlignment="1">
      <alignment horizontal="center" vertical="center" wrapText="1"/>
      <protection/>
    </xf>
    <xf numFmtId="3" fontId="42" fillId="8" borderId="43" xfId="0" applyNumberFormat="1" applyFont="1" applyFill="1" applyBorder="1" applyAlignment="1" applyProtection="1">
      <alignment horizontal="center" vertical="center"/>
      <protection/>
    </xf>
    <xf numFmtId="3" fontId="42" fillId="8" borderId="44" xfId="0" applyNumberFormat="1" applyFont="1" applyFill="1" applyBorder="1" applyAlignment="1" applyProtection="1">
      <alignment horizontal="center" vertical="center"/>
      <protection/>
    </xf>
    <xf numFmtId="3" fontId="42" fillId="8" borderId="41" xfId="0" applyNumberFormat="1" applyFont="1" applyFill="1" applyBorder="1" applyAlignment="1" applyProtection="1">
      <alignment horizontal="center" vertical="center"/>
      <protection/>
    </xf>
    <xf numFmtId="3" fontId="42" fillId="8" borderId="53" xfId="0" applyNumberFormat="1" applyFont="1" applyFill="1" applyBorder="1" applyAlignment="1" applyProtection="1">
      <alignment horizontal="center" vertical="center"/>
      <protection/>
    </xf>
    <xf numFmtId="2" fontId="61" fillId="0" borderId="48" xfId="60" applyNumberFormat="1" applyFont="1" applyFill="1" applyBorder="1" applyAlignment="1">
      <alignment horizontal="center" vertical="center"/>
      <protection/>
    </xf>
    <xf numFmtId="2" fontId="61" fillId="0" borderId="17" xfId="60" applyNumberFormat="1" applyFont="1" applyFill="1" applyBorder="1" applyAlignment="1">
      <alignment horizontal="center" vertical="center"/>
      <protection/>
    </xf>
    <xf numFmtId="2" fontId="60" fillId="8" borderId="18" xfId="60" applyNumberFormat="1" applyFont="1" applyFill="1" applyBorder="1" applyAlignment="1" applyProtection="1">
      <alignment horizontal="center" vertical="center"/>
      <protection locked="0"/>
    </xf>
    <xf numFmtId="2" fontId="60" fillId="8" borderId="110" xfId="60" applyNumberFormat="1" applyFont="1" applyFill="1" applyBorder="1" applyAlignment="1" applyProtection="1">
      <alignment horizontal="center" vertical="center"/>
      <protection locked="0"/>
    </xf>
    <xf numFmtId="2" fontId="60" fillId="8" borderId="66" xfId="60" applyNumberFormat="1" applyFont="1" applyFill="1" applyBorder="1" applyAlignment="1" applyProtection="1">
      <alignment horizontal="center" vertical="center"/>
      <protection locked="0"/>
    </xf>
    <xf numFmtId="0" fontId="59" fillId="25" borderId="18" xfId="60" applyFont="1" applyFill="1" applyBorder="1" applyAlignment="1">
      <alignment horizontal="center" vertical="center" wrapText="1"/>
      <protection/>
    </xf>
    <xf numFmtId="0" fontId="59" fillId="25" borderId="110" xfId="60" applyFont="1" applyFill="1" applyBorder="1" applyAlignment="1">
      <alignment horizontal="center" vertical="center" wrapText="1"/>
      <protection/>
    </xf>
    <xf numFmtId="0" fontId="59" fillId="25" borderId="66" xfId="60" applyFont="1" applyFill="1" applyBorder="1" applyAlignment="1">
      <alignment horizontal="center" vertical="center" wrapText="1"/>
      <protection/>
    </xf>
    <xf numFmtId="0" fontId="59" fillId="25" borderId="17" xfId="60" applyFont="1" applyFill="1" applyBorder="1" applyAlignment="1">
      <alignment horizontal="center" vertical="center" wrapText="1"/>
      <protection/>
    </xf>
    <xf numFmtId="2" fontId="61" fillId="8" borderId="18" xfId="59" applyNumberFormat="1" applyFont="1" applyFill="1" applyBorder="1" applyAlignment="1">
      <alignment horizontal="center" vertical="center" wrapText="1"/>
      <protection/>
    </xf>
    <xf numFmtId="2" fontId="61" fillId="8" borderId="110" xfId="59" applyNumberFormat="1" applyFont="1" applyFill="1" applyBorder="1" applyAlignment="1">
      <alignment horizontal="center" vertical="center" wrapText="1"/>
      <protection/>
    </xf>
    <xf numFmtId="2" fontId="61" fillId="8" borderId="66" xfId="59" applyNumberFormat="1" applyFont="1" applyFill="1" applyBorder="1" applyAlignment="1">
      <alignment horizontal="center" vertical="center" wrapText="1"/>
      <protection/>
    </xf>
    <xf numFmtId="168" fontId="61" fillId="0" borderId="17" xfId="60" applyNumberFormat="1" applyFont="1" applyFill="1" applyBorder="1" applyAlignment="1">
      <alignment horizontal="center" vertical="center" wrapText="1"/>
      <protection/>
    </xf>
    <xf numFmtId="2" fontId="59" fillId="8" borderId="18" xfId="60" applyNumberFormat="1" applyFont="1" applyFill="1" applyBorder="1" applyAlignment="1">
      <alignment horizontal="center" vertical="center"/>
      <protection/>
    </xf>
    <xf numFmtId="2" fontId="59" fillId="8" borderId="110" xfId="60" applyNumberFormat="1" applyFont="1" applyFill="1" applyBorder="1" applyAlignment="1">
      <alignment horizontal="center" vertical="center"/>
      <protection/>
    </xf>
    <xf numFmtId="0" fontId="73" fillId="0" borderId="0" xfId="56" applyFont="1" applyAlignment="1">
      <alignment horizontal="left" vertical="center" wrapText="1"/>
      <protection/>
    </xf>
    <xf numFmtId="3" fontId="42" fillId="16" borderId="23" xfId="69" applyNumberFormat="1" applyFont="1" applyFill="1" applyBorder="1" applyAlignment="1">
      <alignment horizontal="left" vertical="center" wrapText="1"/>
      <protection/>
    </xf>
    <xf numFmtId="3" fontId="42" fillId="16" borderId="24" xfId="69" applyNumberFormat="1" applyFont="1" applyFill="1" applyBorder="1" applyAlignment="1">
      <alignment horizontal="left" vertical="center" wrapText="1"/>
      <protection/>
    </xf>
    <xf numFmtId="0" fontId="42" fillId="25" borderId="81" xfId="61" applyFont="1" applyFill="1" applyBorder="1" applyAlignment="1">
      <alignment horizontal="center" vertical="center" wrapText="1"/>
      <protection/>
    </xf>
    <xf numFmtId="0" fontId="42" fillId="25" borderId="82" xfId="61" applyFont="1" applyFill="1" applyBorder="1" applyAlignment="1">
      <alignment horizontal="center" vertical="center" wrapText="1"/>
      <protection/>
    </xf>
    <xf numFmtId="0" fontId="42" fillId="25" borderId="118" xfId="61" applyFont="1" applyFill="1" applyBorder="1" applyAlignment="1">
      <alignment horizontal="center" vertical="center" wrapText="1"/>
      <protection/>
    </xf>
    <xf numFmtId="2" fontId="47" fillId="8" borderId="16" xfId="61" applyNumberFormat="1" applyFont="1" applyFill="1" applyBorder="1" applyAlignment="1">
      <alignment horizontal="left" vertical="center" wrapText="1"/>
      <protection/>
    </xf>
    <xf numFmtId="2" fontId="47" fillId="8" borderId="68" xfId="61" applyNumberFormat="1" applyFont="1" applyFill="1" applyBorder="1" applyAlignment="1">
      <alignment horizontal="left" vertical="center" wrapText="1"/>
      <protection/>
    </xf>
    <xf numFmtId="2" fontId="47" fillId="0" borderId="119" xfId="61" applyNumberFormat="1" applyFont="1" applyFill="1" applyBorder="1" applyAlignment="1">
      <alignment horizontal="center" vertical="center" wrapText="1"/>
      <protection/>
    </xf>
    <xf numFmtId="2" fontId="47" fillId="0" borderId="120" xfId="61" applyNumberFormat="1" applyFont="1" applyFill="1" applyBorder="1" applyAlignment="1">
      <alignment horizontal="center" vertical="center" wrapText="1"/>
      <protection/>
    </xf>
    <xf numFmtId="2" fontId="47" fillId="0" borderId="121" xfId="61" applyNumberFormat="1" applyFont="1" applyFill="1" applyBorder="1" applyAlignment="1">
      <alignment horizontal="center" vertical="center" wrapText="1"/>
      <protection/>
    </xf>
    <xf numFmtId="3" fontId="42" fillId="16" borderId="16" xfId="69" applyNumberFormat="1" applyFont="1" applyFill="1" applyBorder="1" applyAlignment="1">
      <alignment horizontal="left" vertical="center" wrapText="1"/>
      <protection/>
    </xf>
    <xf numFmtId="3" fontId="42" fillId="16" borderId="68" xfId="69" applyNumberFormat="1" applyFont="1" applyFill="1" applyBorder="1" applyAlignment="1">
      <alignment horizontal="left" vertical="center" wrapText="1"/>
      <protection/>
    </xf>
    <xf numFmtId="0" fontId="76" fillId="0" borderId="0" xfId="0" applyFont="1" applyAlignment="1">
      <alignment horizontal="left" vertical="center"/>
    </xf>
    <xf numFmtId="0" fontId="42" fillId="8" borderId="43" xfId="0" applyFont="1" applyFill="1" applyBorder="1" applyAlignment="1">
      <alignment horizontal="center" vertical="center"/>
    </xf>
    <xf numFmtId="0" fontId="42" fillId="8" borderId="54" xfId="0" applyFont="1" applyFill="1" applyBorder="1" applyAlignment="1">
      <alignment horizontal="center" vertical="center"/>
    </xf>
    <xf numFmtId="0" fontId="42" fillId="8" borderId="28" xfId="0" applyFont="1" applyFill="1" applyBorder="1" applyAlignment="1">
      <alignment horizontal="center" vertical="center"/>
    </xf>
    <xf numFmtId="0" fontId="42" fillId="8" borderId="55" xfId="0" applyFont="1" applyFill="1" applyBorder="1" applyAlignment="1">
      <alignment horizontal="center" vertical="center"/>
    </xf>
    <xf numFmtId="2" fontId="42" fillId="8" borderId="16" xfId="0" applyNumberFormat="1" applyFont="1" applyFill="1" applyBorder="1" applyAlignment="1">
      <alignment horizontal="left" vertical="center"/>
    </xf>
    <xf numFmtId="0" fontId="42" fillId="8" borderId="68" xfId="0" applyFont="1" applyFill="1" applyBorder="1" applyAlignment="1">
      <alignment horizontal="left" vertical="center"/>
    </xf>
    <xf numFmtId="0" fontId="42" fillId="8" borderId="16" xfId="0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horizontal="center" vertical="center"/>
    </xf>
    <xf numFmtId="0" fontId="42" fillId="8" borderId="96" xfId="0" applyFont="1" applyFill="1" applyBorder="1" applyAlignment="1">
      <alignment horizontal="center" vertical="center"/>
    </xf>
    <xf numFmtId="0" fontId="42" fillId="8" borderId="89" xfId="0" applyFont="1" applyFill="1" applyBorder="1" applyAlignment="1">
      <alignment horizontal="center" vertical="center"/>
    </xf>
    <xf numFmtId="0" fontId="42" fillId="8" borderId="88" xfId="0" applyFont="1" applyFill="1" applyBorder="1" applyAlignment="1">
      <alignment horizontal="center" vertical="center"/>
    </xf>
    <xf numFmtId="0" fontId="42" fillId="0" borderId="6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25" borderId="81" xfId="59" applyFont="1" applyFill="1" applyBorder="1" applyAlignment="1">
      <alignment horizontal="center" vertical="center" wrapText="1"/>
      <protection/>
    </xf>
    <xf numFmtId="0" fontId="42" fillId="25" borderId="82" xfId="59" applyFont="1" applyFill="1" applyBorder="1" applyAlignment="1">
      <alignment horizontal="center" vertical="center" wrapText="1"/>
      <protection/>
    </xf>
    <xf numFmtId="1" fontId="42" fillId="25" borderId="82" xfId="59" applyNumberFormat="1" applyFont="1" applyFill="1" applyBorder="1" applyAlignment="1">
      <alignment horizontal="center" vertical="center" wrapText="1"/>
      <protection/>
    </xf>
    <xf numFmtId="1" fontId="42" fillId="25" borderId="13" xfId="59" applyNumberFormat="1" applyFont="1" applyFill="1" applyBorder="1" applyAlignment="1">
      <alignment horizontal="center" vertical="center" wrapText="1"/>
      <protection/>
    </xf>
    <xf numFmtId="2" fontId="47" fillId="0" borderId="59" xfId="59" applyNumberFormat="1" applyFont="1" applyFill="1" applyBorder="1" applyAlignment="1">
      <alignment horizontal="center" vertical="center" wrapText="1"/>
      <protection/>
    </xf>
    <xf numFmtId="2" fontId="47" fillId="0" borderId="17" xfId="59" applyNumberFormat="1" applyFont="1" applyFill="1" applyBorder="1" applyAlignment="1">
      <alignment horizontal="center" vertical="center" wrapText="1"/>
      <protection/>
    </xf>
    <xf numFmtId="2" fontId="47" fillId="0" borderId="12" xfId="59" applyNumberFormat="1" applyFont="1" applyFill="1" applyBorder="1" applyAlignment="1">
      <alignment horizontal="center" vertical="center" wrapText="1"/>
      <protection/>
    </xf>
    <xf numFmtId="0" fontId="43" fillId="8" borderId="59" xfId="56" applyFont="1" applyFill="1" applyBorder="1" applyAlignment="1">
      <alignment vertical="center" wrapText="1"/>
      <protection/>
    </xf>
    <xf numFmtId="0" fontId="43" fillId="8" borderId="17" xfId="56" applyFont="1" applyFill="1" applyBorder="1" applyAlignment="1">
      <alignment vertical="center" wrapText="1"/>
      <protection/>
    </xf>
    <xf numFmtId="0" fontId="43" fillId="8" borderId="12" xfId="56" applyFont="1" applyFill="1" applyBorder="1" applyAlignment="1">
      <alignment vertical="center" wrapText="1"/>
      <protection/>
    </xf>
    <xf numFmtId="0" fontId="42" fillId="0" borderId="59" xfId="56" applyFont="1" applyBorder="1" applyAlignment="1">
      <alignment horizontal="center" vertical="center" wrapText="1"/>
      <protection/>
    </xf>
    <xf numFmtId="0" fontId="42" fillId="0" borderId="17" xfId="56" applyFont="1" applyBorder="1" applyAlignment="1">
      <alignment horizontal="center" vertical="center" wrapText="1"/>
      <protection/>
    </xf>
    <xf numFmtId="0" fontId="42" fillId="0" borderId="12" xfId="56" applyFont="1" applyBorder="1" applyAlignment="1">
      <alignment horizontal="center" vertical="center" wrapText="1"/>
      <protection/>
    </xf>
    <xf numFmtId="2" fontId="47" fillId="8" borderId="59" xfId="59" applyNumberFormat="1" applyFont="1" applyFill="1" applyBorder="1" applyAlignment="1">
      <alignment horizontal="center" vertical="center" wrapText="1"/>
      <protection/>
    </xf>
    <xf numFmtId="2" fontId="47" fillId="8" borderId="17" xfId="59" applyNumberFormat="1" applyFont="1" applyFill="1" applyBorder="1" applyAlignment="1">
      <alignment horizontal="center" vertical="center" wrapText="1"/>
      <protection/>
    </xf>
    <xf numFmtId="2" fontId="32" fillId="8" borderId="17" xfId="60" applyNumberFormat="1" applyFont="1" applyFill="1" applyBorder="1" applyAlignment="1">
      <alignment horizontal="center" vertical="center" wrapText="1"/>
      <protection/>
    </xf>
    <xf numFmtId="2" fontId="32" fillId="8" borderId="12" xfId="60" applyNumberFormat="1" applyFont="1" applyFill="1" applyBorder="1" applyAlignment="1">
      <alignment horizontal="center" vertical="center" wrapText="1"/>
      <protection/>
    </xf>
    <xf numFmtId="0" fontId="79" fillId="0" borderId="0" xfId="56" applyFont="1" applyAlignment="1">
      <alignment horizontal="left" vertical="center" wrapText="1"/>
      <protection/>
    </xf>
    <xf numFmtId="0" fontId="50" fillId="0" borderId="122" xfId="0" applyFont="1" applyBorder="1" applyAlignment="1" applyProtection="1">
      <alignment horizontal="center" vertical="center" wrapText="1"/>
      <protection locked="0"/>
    </xf>
    <xf numFmtId="0" fontId="50" fillId="0" borderId="123" xfId="0" applyFont="1" applyBorder="1" applyAlignment="1" applyProtection="1">
      <alignment horizontal="center" vertical="center" wrapText="1"/>
      <protection locked="0"/>
    </xf>
    <xf numFmtId="177" fontId="43" fillId="0" borderId="122" xfId="0" applyNumberFormat="1" applyFont="1" applyBorder="1" applyAlignment="1" applyProtection="1">
      <alignment horizontal="left" vertical="center" wrapText="1"/>
      <protection locked="0"/>
    </xf>
    <xf numFmtId="177" fontId="43" fillId="0" borderId="123" xfId="0" applyNumberFormat="1" applyFont="1" applyBorder="1" applyAlignment="1" applyProtection="1">
      <alignment horizontal="left" vertical="center" wrapText="1"/>
      <protection locked="0"/>
    </xf>
    <xf numFmtId="177" fontId="43" fillId="0" borderId="122" xfId="0" applyNumberFormat="1" applyFont="1" applyBorder="1" applyAlignment="1" applyProtection="1">
      <alignment horizontal="center" vertical="center" wrapText="1"/>
      <protection locked="0"/>
    </xf>
    <xf numFmtId="177" fontId="43" fillId="0" borderId="123" xfId="0" applyNumberFormat="1" applyFont="1" applyBorder="1" applyAlignment="1" applyProtection="1">
      <alignment horizontal="center" vertical="center" wrapText="1"/>
      <protection locked="0"/>
    </xf>
    <xf numFmtId="2" fontId="47" fillId="0" borderId="10" xfId="59" applyNumberFormat="1" applyFont="1" applyFill="1" applyBorder="1" applyAlignment="1">
      <alignment horizontal="center" vertical="center" wrapText="1"/>
      <protection/>
    </xf>
    <xf numFmtId="2" fontId="47" fillId="0" borderId="110" xfId="59" applyNumberFormat="1" applyFont="1" applyFill="1" applyBorder="1" applyAlignment="1">
      <alignment horizontal="center" vertical="center" wrapText="1"/>
      <protection/>
    </xf>
    <xf numFmtId="2" fontId="47" fillId="0" borderId="60" xfId="59" applyNumberFormat="1" applyFont="1" applyFill="1" applyBorder="1" applyAlignment="1">
      <alignment horizontal="center" vertical="center" wrapText="1"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177" fontId="42" fillId="0" borderId="122" xfId="0" applyNumberFormat="1" applyFont="1" applyBorder="1" applyAlignment="1" applyProtection="1">
      <alignment horizontal="center" vertical="center" wrapText="1"/>
      <protection locked="0"/>
    </xf>
    <xf numFmtId="177" fontId="42" fillId="0" borderId="123" xfId="0" applyNumberFormat="1" applyFont="1" applyBorder="1" applyAlignment="1" applyProtection="1">
      <alignment horizontal="center" vertical="center" wrapText="1"/>
      <protection locked="0"/>
    </xf>
    <xf numFmtId="177" fontId="42" fillId="0" borderId="124" xfId="0" applyNumberFormat="1" applyFont="1" applyBorder="1" applyAlignment="1" applyProtection="1">
      <alignment horizontal="center" vertical="center" wrapText="1"/>
      <protection locked="0"/>
    </xf>
    <xf numFmtId="177" fontId="42" fillId="0" borderId="125" xfId="0" applyNumberFormat="1" applyFont="1" applyBorder="1" applyAlignment="1" applyProtection="1">
      <alignment horizontal="center" vertical="center" wrapText="1"/>
      <protection locked="0"/>
    </xf>
    <xf numFmtId="2" fontId="47" fillId="0" borderId="28" xfId="59" applyNumberFormat="1" applyFont="1" applyFill="1" applyBorder="1" applyAlignment="1">
      <alignment horizontal="center" vertical="center" wrapText="1"/>
      <protection/>
    </xf>
    <xf numFmtId="2" fontId="47" fillId="0" borderId="55" xfId="59" applyNumberFormat="1" applyFont="1" applyFill="1" applyBorder="1" applyAlignment="1">
      <alignment horizontal="center" vertical="center" wrapText="1"/>
      <protection/>
    </xf>
    <xf numFmtId="2" fontId="47" fillId="0" borderId="88" xfId="59" applyNumberFormat="1" applyFont="1" applyFill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center" vertical="center" wrapText="1"/>
    </xf>
    <xf numFmtId="177" fontId="49" fillId="0" borderId="126" xfId="0" applyNumberFormat="1" applyFont="1" applyBorder="1" applyAlignment="1" applyProtection="1">
      <alignment horizontal="center" vertical="center" wrapText="1"/>
      <protection locked="0"/>
    </xf>
    <xf numFmtId="177" fontId="49" fillId="0" borderId="90" xfId="0" applyNumberFormat="1" applyFont="1" applyBorder="1" applyAlignment="1" applyProtection="1">
      <alignment horizontal="center" vertical="center" wrapText="1"/>
      <protection locked="0"/>
    </xf>
    <xf numFmtId="177" fontId="49" fillId="0" borderId="91" xfId="0" applyNumberFormat="1" applyFont="1" applyBorder="1" applyAlignment="1" applyProtection="1">
      <alignment horizontal="center" vertical="center" wrapText="1"/>
      <protection locked="0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27" xfId="0" applyFont="1" applyBorder="1" applyAlignment="1">
      <alignment horizontal="center" vertical="center" wrapText="1"/>
    </xf>
    <xf numFmtId="0" fontId="42" fillId="0" borderId="128" xfId="0" applyFont="1" applyBorder="1" applyAlignment="1">
      <alignment horizontal="center" vertical="center" wrapText="1"/>
    </xf>
    <xf numFmtId="0" fontId="49" fillId="0" borderId="126" xfId="0" applyFont="1" applyBorder="1" applyAlignment="1">
      <alignment horizontal="center" vertical="center" wrapText="1"/>
    </xf>
    <xf numFmtId="0" fontId="49" fillId="0" borderId="90" xfId="0" applyFont="1" applyBorder="1" applyAlignment="1">
      <alignment horizontal="center" vertical="center" wrapText="1"/>
    </xf>
    <xf numFmtId="0" fontId="49" fillId="0" borderId="91" xfId="0" applyFont="1" applyBorder="1" applyAlignment="1">
      <alignment horizontal="center" vertical="center" wrapText="1"/>
    </xf>
    <xf numFmtId="0" fontId="42" fillId="25" borderId="45" xfId="59" applyFont="1" applyFill="1" applyBorder="1" applyAlignment="1">
      <alignment horizontal="center" vertical="center" wrapText="1"/>
      <protection/>
    </xf>
    <xf numFmtId="0" fontId="42" fillId="25" borderId="46" xfId="59" applyFont="1" applyFill="1" applyBorder="1" applyAlignment="1">
      <alignment horizontal="center" vertical="center" wrapText="1"/>
      <protection/>
    </xf>
    <xf numFmtId="0" fontId="42" fillId="25" borderId="47" xfId="59" applyFont="1" applyFill="1" applyBorder="1" applyAlignment="1">
      <alignment horizontal="center" vertical="center" wrapText="1"/>
      <protection/>
    </xf>
    <xf numFmtId="2" fontId="47" fillId="8" borderId="45" xfId="59" applyNumberFormat="1" applyFont="1" applyFill="1" applyBorder="1" applyAlignment="1">
      <alignment horizontal="center" vertical="center" wrapText="1"/>
      <protection/>
    </xf>
    <xf numFmtId="2" fontId="47" fillId="8" borderId="46" xfId="59" applyNumberFormat="1" applyFont="1" applyFill="1" applyBorder="1" applyAlignment="1">
      <alignment horizontal="center" vertical="center" wrapText="1"/>
      <protection/>
    </xf>
    <xf numFmtId="2" fontId="47" fillId="8" borderId="47" xfId="59" applyNumberFormat="1" applyFont="1" applyFill="1" applyBorder="1" applyAlignment="1">
      <alignment horizontal="center" vertical="center" wrapText="1"/>
      <protection/>
    </xf>
    <xf numFmtId="2" fontId="32" fillId="8" borderId="45" xfId="60" applyNumberFormat="1" applyFont="1" applyFill="1" applyBorder="1" applyAlignment="1">
      <alignment horizontal="center" vertical="center" wrapText="1"/>
      <protection/>
    </xf>
    <xf numFmtId="2" fontId="32" fillId="8" borderId="47" xfId="60" applyNumberFormat="1" applyFont="1" applyFill="1" applyBorder="1" applyAlignment="1">
      <alignment horizontal="center" vertical="center" wrapText="1"/>
      <protection/>
    </xf>
    <xf numFmtId="1" fontId="42" fillId="25" borderId="45" xfId="59" applyNumberFormat="1" applyFont="1" applyFill="1" applyBorder="1" applyAlignment="1">
      <alignment horizontal="center" vertical="center" wrapText="1"/>
      <protection/>
    </xf>
    <xf numFmtId="1" fontId="42" fillId="25" borderId="47" xfId="59" applyNumberFormat="1" applyFont="1" applyFill="1" applyBorder="1" applyAlignment="1">
      <alignment horizontal="center" vertical="center" wrapText="1"/>
      <protection/>
    </xf>
    <xf numFmtId="0" fontId="79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1" fillId="25" borderId="119" xfId="59" applyFont="1" applyFill="1" applyBorder="1" applyAlignment="1">
      <alignment horizontal="center" vertical="center" wrapText="1"/>
      <protection/>
    </xf>
    <xf numFmtId="0" fontId="1" fillId="25" borderId="120" xfId="59" applyFont="1" applyFill="1" applyBorder="1" applyAlignment="1">
      <alignment horizontal="center" vertical="center" wrapText="1"/>
      <protection/>
    </xf>
    <xf numFmtId="0" fontId="1" fillId="25" borderId="83" xfId="59" applyFont="1" applyFill="1" applyBorder="1" applyAlignment="1">
      <alignment horizontal="center" vertical="center" wrapText="1"/>
      <protection/>
    </xf>
    <xf numFmtId="2" fontId="29" fillId="8" borderId="10" xfId="59" applyNumberFormat="1" applyFont="1" applyFill="1" applyBorder="1" applyAlignment="1">
      <alignment horizontal="left" vertical="center" wrapText="1"/>
      <protection/>
    </xf>
    <xf numFmtId="2" fontId="29" fillId="8" borderId="110" xfId="59" applyNumberFormat="1" applyFont="1" applyFill="1" applyBorder="1" applyAlignment="1">
      <alignment horizontal="left" vertical="center" wrapText="1"/>
      <protection/>
    </xf>
    <xf numFmtId="2" fontId="29" fillId="8" borderId="66" xfId="59" applyNumberFormat="1" applyFont="1" applyFill="1" applyBorder="1" applyAlignment="1">
      <alignment horizontal="left" vertical="center" wrapText="1"/>
      <protection/>
    </xf>
    <xf numFmtId="2" fontId="29" fillId="0" borderId="10" xfId="59" applyNumberFormat="1" applyFont="1" applyFill="1" applyBorder="1" applyAlignment="1">
      <alignment horizontal="center" vertical="center"/>
      <protection/>
    </xf>
    <xf numFmtId="2" fontId="29" fillId="0" borderId="110" xfId="59" applyNumberFormat="1" applyFont="1" applyFill="1" applyBorder="1" applyAlignment="1">
      <alignment horizontal="center" vertical="center"/>
      <protection/>
    </xf>
    <xf numFmtId="2" fontId="29" fillId="0" borderId="60" xfId="59" applyNumberFormat="1" applyFont="1" applyFill="1" applyBorder="1" applyAlignment="1">
      <alignment horizontal="center" vertical="center"/>
      <protection/>
    </xf>
    <xf numFmtId="0" fontId="42" fillId="0" borderId="57" xfId="56" applyFont="1" applyBorder="1" applyAlignment="1">
      <alignment horizontal="center" vertical="center" wrapText="1"/>
      <protection/>
    </xf>
    <xf numFmtId="0" fontId="42" fillId="0" borderId="19" xfId="56" applyFont="1" applyBorder="1" applyAlignment="1">
      <alignment horizontal="center" vertical="center" wrapText="1"/>
      <protection/>
    </xf>
    <xf numFmtId="0" fontId="42" fillId="0" borderId="50" xfId="56" applyFont="1" applyBorder="1" applyAlignment="1">
      <alignment horizontal="left" vertical="center" wrapText="1"/>
      <protection/>
    </xf>
    <xf numFmtId="0" fontId="42" fillId="0" borderId="51" xfId="56" applyFont="1" applyBorder="1" applyAlignment="1">
      <alignment horizontal="left" vertical="center" wrapText="1"/>
      <protection/>
    </xf>
    <xf numFmtId="0" fontId="43" fillId="0" borderId="65" xfId="56" applyFont="1" applyBorder="1" applyAlignment="1">
      <alignment horizontal="left" vertical="center" wrapText="1"/>
      <protection/>
    </xf>
    <xf numFmtId="0" fontId="43" fillId="0" borderId="11" xfId="56" applyFont="1" applyBorder="1" applyAlignment="1">
      <alignment horizontal="left" vertical="center" wrapText="1"/>
      <protection/>
    </xf>
    <xf numFmtId="0" fontId="43" fillId="0" borderId="64" xfId="56" applyFont="1" applyBorder="1" applyAlignment="1">
      <alignment horizontal="left" vertical="center" wrapText="1"/>
      <protection/>
    </xf>
    <xf numFmtId="0" fontId="43" fillId="0" borderId="48" xfId="56" applyFont="1" applyBorder="1" applyAlignment="1">
      <alignment horizontal="left" vertical="center" wrapText="1"/>
      <protection/>
    </xf>
    <xf numFmtId="0" fontId="43" fillId="0" borderId="0" xfId="56" applyFont="1" applyBorder="1" applyAlignment="1">
      <alignment vertical="center" wrapText="1"/>
      <protection/>
    </xf>
    <xf numFmtId="0" fontId="43" fillId="0" borderId="10" xfId="56" applyFont="1" applyBorder="1" applyAlignment="1">
      <alignment horizontal="left" vertical="center" wrapText="1"/>
      <protection/>
    </xf>
    <xf numFmtId="0" fontId="43" fillId="0" borderId="110" xfId="56" applyFont="1" applyBorder="1" applyAlignment="1">
      <alignment horizontal="left" vertical="center" wrapText="1"/>
      <protection/>
    </xf>
    <xf numFmtId="0" fontId="43" fillId="0" borderId="106" xfId="56" applyFont="1" applyBorder="1" applyAlignment="1">
      <alignment horizontal="left" vertical="center" wrapText="1"/>
      <protection/>
    </xf>
    <xf numFmtId="0" fontId="43" fillId="0" borderId="56" xfId="56" applyFont="1" applyBorder="1" applyAlignment="1">
      <alignment horizontal="left" vertical="center" wrapText="1"/>
      <protection/>
    </xf>
    <xf numFmtId="0" fontId="42" fillId="25" borderId="119" xfId="59" applyFont="1" applyFill="1" applyBorder="1" applyAlignment="1">
      <alignment horizontal="center" vertical="center" wrapText="1"/>
      <protection/>
    </xf>
    <xf numFmtId="0" fontId="42" fillId="25" borderId="120" xfId="59" applyFont="1" applyFill="1" applyBorder="1" applyAlignment="1">
      <alignment horizontal="center" vertical="center" wrapText="1"/>
      <protection/>
    </xf>
    <xf numFmtId="0" fontId="42" fillId="25" borderId="83" xfId="59" applyFont="1" applyFill="1" applyBorder="1" applyAlignment="1">
      <alignment horizontal="center" vertical="center" wrapText="1"/>
      <protection/>
    </xf>
    <xf numFmtId="2" fontId="47" fillId="0" borderId="23" xfId="59" applyNumberFormat="1" applyFont="1" applyFill="1" applyBorder="1" applyAlignment="1">
      <alignment horizontal="center" vertical="center"/>
      <protection/>
    </xf>
    <xf numFmtId="0" fontId="43" fillId="0" borderId="108" xfId="0" applyFont="1" applyBorder="1" applyAlignment="1">
      <alignment vertical="center"/>
    </xf>
    <xf numFmtId="0" fontId="43" fillId="0" borderId="129" xfId="0" applyFont="1" applyBorder="1" applyAlignment="1">
      <alignment vertical="center"/>
    </xf>
    <xf numFmtId="2" fontId="47" fillId="8" borderId="10" xfId="59" applyNumberFormat="1" applyFont="1" applyFill="1" applyBorder="1" applyAlignment="1">
      <alignment horizontal="center" vertical="center"/>
      <protection/>
    </xf>
    <xf numFmtId="2" fontId="47" fillId="8" borderId="110" xfId="59" applyNumberFormat="1" applyFont="1" applyFill="1" applyBorder="1" applyAlignment="1">
      <alignment horizontal="center" vertical="center"/>
      <protection/>
    </xf>
    <xf numFmtId="2" fontId="47" fillId="8" borderId="66" xfId="59" applyNumberFormat="1" applyFont="1" applyFill="1" applyBorder="1" applyAlignment="1">
      <alignment horizontal="center" vertical="center"/>
      <protection/>
    </xf>
    <xf numFmtId="3" fontId="43" fillId="0" borderId="65" xfId="56" applyNumberFormat="1" applyFont="1" applyBorder="1" applyAlignment="1">
      <alignment horizontal="left" vertical="center" wrapText="1"/>
      <protection/>
    </xf>
    <xf numFmtId="3" fontId="43" fillId="0" borderId="59" xfId="56" applyNumberFormat="1" applyFont="1" applyBorder="1" applyAlignment="1">
      <alignment horizontal="left" vertical="center" wrapText="1"/>
      <protection/>
    </xf>
    <xf numFmtId="0" fontId="43" fillId="0" borderId="17" xfId="56" applyFont="1" applyBorder="1" applyAlignment="1">
      <alignment horizontal="left" vertical="center" wrapText="1"/>
      <protection/>
    </xf>
    <xf numFmtId="0" fontId="76" fillId="0" borderId="0" xfId="56" applyFont="1" applyAlignment="1">
      <alignment horizontal="justify" vertical="center" wrapText="1"/>
      <protection/>
    </xf>
    <xf numFmtId="1" fontId="47" fillId="8" borderId="82" xfId="60" applyNumberFormat="1" applyFont="1" applyFill="1" applyBorder="1" applyAlignment="1" applyProtection="1">
      <alignment horizontal="center" vertical="center"/>
      <protection/>
    </xf>
    <xf numFmtId="1" fontId="47" fillId="8" borderId="13" xfId="60" applyNumberFormat="1" applyFont="1" applyFill="1" applyBorder="1" applyAlignment="1" applyProtection="1">
      <alignment horizontal="center" vertical="center"/>
      <protection/>
    </xf>
    <xf numFmtId="2" fontId="47" fillId="8" borderId="63" xfId="60" applyNumberFormat="1" applyFont="1" applyFill="1" applyBorder="1" applyAlignment="1" applyProtection="1">
      <alignment horizontal="center" vertical="center" wrapText="1"/>
      <protection/>
    </xf>
    <xf numFmtId="2" fontId="47" fillId="8" borderId="68" xfId="60" applyNumberFormat="1" applyFont="1" applyFill="1" applyBorder="1" applyAlignment="1" applyProtection="1">
      <alignment horizontal="center" vertical="center" wrapText="1"/>
      <protection/>
    </xf>
    <xf numFmtId="2" fontId="47" fillId="8" borderId="96" xfId="60" applyNumberFormat="1" applyFont="1" applyFill="1" applyBorder="1" applyAlignment="1" applyProtection="1">
      <alignment horizontal="center" vertical="center" wrapText="1"/>
      <protection/>
    </xf>
    <xf numFmtId="2" fontId="47" fillId="8" borderId="16" xfId="60" applyNumberFormat="1" applyFont="1" applyFill="1" applyBorder="1" applyAlignment="1" applyProtection="1">
      <alignment horizontal="center" vertical="center"/>
      <protection/>
    </xf>
    <xf numFmtId="2" fontId="47" fillId="8" borderId="68" xfId="60" applyNumberFormat="1" applyFont="1" applyFill="1" applyBorder="1" applyAlignment="1" applyProtection="1">
      <alignment horizontal="center" vertical="center"/>
      <protection/>
    </xf>
    <xf numFmtId="0" fontId="42" fillId="25" borderId="119" xfId="60" applyFont="1" applyFill="1" applyBorder="1" applyAlignment="1" applyProtection="1">
      <alignment horizontal="center" vertical="center" wrapText="1"/>
      <protection/>
    </xf>
    <xf numFmtId="0" fontId="42" fillId="25" borderId="120" xfId="6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quotePrefix="1">
      <alignment horizontal="left" vertical="center"/>
    </xf>
    <xf numFmtId="0" fontId="42" fillId="0" borderId="15" xfId="64" applyFont="1" applyFill="1" applyBorder="1" applyAlignment="1" applyProtection="1">
      <alignment horizontal="center" vertical="center"/>
      <protection/>
    </xf>
    <xf numFmtId="0" fontId="42" fillId="0" borderId="0" xfId="64" applyFont="1" applyFill="1" applyBorder="1" applyAlignment="1" applyProtection="1">
      <alignment horizontal="center" vertical="center"/>
      <protection/>
    </xf>
    <xf numFmtId="0" fontId="42" fillId="0" borderId="22" xfId="64" applyFont="1" applyFill="1" applyBorder="1" applyAlignment="1" applyProtection="1">
      <alignment horizontal="center" vertical="center"/>
      <protection/>
    </xf>
    <xf numFmtId="0" fontId="43" fillId="0" borderId="0" xfId="0" applyFont="1" applyAlignment="1" quotePrefix="1">
      <alignment horizontal="left" vertical="center" wrapText="1"/>
    </xf>
    <xf numFmtId="0" fontId="53" fillId="0" borderId="15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41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0" fontId="43" fillId="0" borderId="106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109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1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119" xfId="0" applyFont="1" applyFill="1" applyBorder="1" applyAlignment="1">
      <alignment horizontal="center" vertical="center" wrapText="1"/>
    </xf>
    <xf numFmtId="0" fontId="42" fillId="0" borderId="121" xfId="0" applyFont="1" applyFill="1" applyBorder="1" applyAlignment="1">
      <alignment horizontal="center" vertical="center" wrapText="1"/>
    </xf>
    <xf numFmtId="2" fontId="42" fillId="8" borderId="57" xfId="0" applyNumberFormat="1" applyFont="1" applyFill="1" applyBorder="1" applyAlignment="1">
      <alignment horizontal="left" vertical="center"/>
    </xf>
    <xf numFmtId="0" fontId="42" fillId="8" borderId="19" xfId="0" applyFont="1" applyFill="1" applyBorder="1" applyAlignment="1">
      <alignment horizontal="left" vertical="center"/>
    </xf>
    <xf numFmtId="0" fontId="42" fillId="8" borderId="63" xfId="0" applyFont="1" applyFill="1" applyBorder="1" applyAlignment="1">
      <alignment horizontal="left" vertical="center"/>
    </xf>
    <xf numFmtId="0" fontId="42" fillId="8" borderId="15" xfId="0" applyFont="1" applyFill="1" applyBorder="1" applyAlignment="1">
      <alignment horizontal="center" vertical="center"/>
    </xf>
    <xf numFmtId="0" fontId="42" fillId="8" borderId="0" xfId="0" applyFont="1" applyFill="1" applyBorder="1" applyAlignment="1">
      <alignment horizontal="center" vertical="center"/>
    </xf>
    <xf numFmtId="0" fontId="42" fillId="8" borderId="57" xfId="0" applyFont="1" applyFill="1" applyBorder="1" applyAlignment="1">
      <alignment horizontal="center" vertical="center" wrapText="1"/>
    </xf>
    <xf numFmtId="0" fontId="42" fillId="8" borderId="20" xfId="0" applyFont="1" applyFill="1" applyBorder="1" applyAlignment="1">
      <alignment horizontal="center" vertical="center" wrapText="1"/>
    </xf>
    <xf numFmtId="0" fontId="42" fillId="8" borderId="81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59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42" fillId="0" borderId="120" xfId="0" applyFont="1" applyFill="1" applyBorder="1" applyAlignment="1">
      <alignment horizontal="center" vertical="center" wrapText="1"/>
    </xf>
    <xf numFmtId="0" fontId="43" fillId="0" borderId="18" xfId="65" applyNumberFormat="1" applyFont="1" applyBorder="1" applyAlignment="1" applyProtection="1">
      <alignment horizontal="center" vertical="center"/>
      <protection locked="0"/>
    </xf>
    <xf numFmtId="0" fontId="43" fillId="0" borderId="66" xfId="65" applyNumberFormat="1" applyFont="1" applyBorder="1" applyAlignment="1" applyProtection="1">
      <alignment horizontal="center" vertical="center"/>
      <protection locked="0"/>
    </xf>
    <xf numFmtId="4" fontId="43" fillId="0" borderId="17" xfId="65" applyNumberFormat="1" applyFont="1" applyFill="1" applyBorder="1" applyAlignment="1">
      <alignment horizontal="center" vertical="center" wrapText="1"/>
      <protection/>
    </xf>
    <xf numFmtId="0" fontId="43" fillId="0" borderId="110" xfId="65" applyNumberFormat="1" applyFont="1" applyBorder="1" applyAlignment="1" applyProtection="1">
      <alignment horizontal="center" vertical="center"/>
      <protection locked="0"/>
    </xf>
    <xf numFmtId="4" fontId="43" fillId="0" borderId="18" xfId="65" applyNumberFormat="1" applyFont="1" applyFill="1" applyBorder="1" applyAlignment="1">
      <alignment horizontal="center" vertical="center" wrapText="1"/>
      <protection/>
    </xf>
    <xf numFmtId="4" fontId="43" fillId="0" borderId="110" xfId="65" applyNumberFormat="1" applyFont="1" applyFill="1" applyBorder="1" applyAlignment="1">
      <alignment horizontal="center" vertical="center" wrapText="1"/>
      <protection/>
    </xf>
    <xf numFmtId="4" fontId="43" fillId="0" borderId="66" xfId="65" applyNumberFormat="1" applyFont="1" applyFill="1" applyBorder="1" applyAlignment="1">
      <alignment horizontal="center" vertical="center" wrapText="1"/>
      <protection/>
    </xf>
    <xf numFmtId="4" fontId="43" fillId="0" borderId="10" xfId="65" applyNumberFormat="1" applyFont="1" applyBorder="1" applyAlignment="1">
      <alignment horizontal="center" vertical="center"/>
      <protection/>
    </xf>
    <xf numFmtId="4" fontId="43" fillId="0" borderId="110" xfId="65" applyNumberFormat="1" applyFont="1" applyBorder="1" applyAlignment="1">
      <alignment horizontal="center" vertical="center"/>
      <protection/>
    </xf>
    <xf numFmtId="4" fontId="43" fillId="0" borderId="66" xfId="65" applyNumberFormat="1" applyFont="1" applyBorder="1" applyAlignment="1">
      <alignment horizontal="center" vertical="center"/>
      <protection/>
    </xf>
    <xf numFmtId="0" fontId="42" fillId="0" borderId="10" xfId="65" applyFont="1" applyFill="1" applyBorder="1" applyAlignment="1">
      <alignment horizontal="center" vertical="center" wrapText="1"/>
      <protection/>
    </xf>
    <xf numFmtId="0" fontId="42" fillId="0" borderId="110" xfId="65" applyFont="1" applyFill="1" applyBorder="1" applyAlignment="1">
      <alignment horizontal="center" vertical="center" wrapText="1"/>
      <protection/>
    </xf>
    <xf numFmtId="0" fontId="42" fillId="0" borderId="66" xfId="65" applyFont="1" applyFill="1" applyBorder="1" applyAlignment="1">
      <alignment horizontal="center" vertical="center" wrapText="1"/>
      <protection/>
    </xf>
    <xf numFmtId="1" fontId="47" fillId="8" borderId="45" xfId="60" applyNumberFormat="1" applyFont="1" applyFill="1" applyBorder="1" applyAlignment="1">
      <alignment horizontal="center" vertical="center"/>
      <protection/>
    </xf>
    <xf numFmtId="1" fontId="47" fillId="8" borderId="47" xfId="60" applyNumberFormat="1" applyFont="1" applyFill="1" applyBorder="1" applyAlignment="1">
      <alignment horizontal="center" vertical="center"/>
      <protection/>
    </xf>
    <xf numFmtId="0" fontId="44" fillId="0" borderId="28" xfId="65" applyFont="1" applyFill="1" applyBorder="1" applyAlignment="1">
      <alignment horizontal="center" vertical="center" wrapText="1"/>
      <protection/>
    </xf>
    <xf numFmtId="0" fontId="44" fillId="0" borderId="55" xfId="65" applyFont="1" applyFill="1" applyBorder="1" applyAlignment="1">
      <alignment horizontal="center" vertical="center" wrapText="1"/>
      <protection/>
    </xf>
    <xf numFmtId="0" fontId="44" fillId="0" borderId="88" xfId="65" applyFont="1" applyFill="1" applyBorder="1" applyAlignment="1">
      <alignment horizontal="center" vertical="center" wrapText="1"/>
      <protection/>
    </xf>
    <xf numFmtId="0" fontId="42" fillId="0" borderId="17" xfId="65" applyFont="1" applyFill="1" applyBorder="1" applyAlignment="1">
      <alignment horizontal="center" vertical="center" wrapText="1"/>
      <protection/>
    </xf>
    <xf numFmtId="0" fontId="42" fillId="0" borderId="18" xfId="65" applyFont="1" applyFill="1" applyBorder="1" applyAlignment="1">
      <alignment horizontal="center" vertical="center" wrapText="1"/>
      <protection/>
    </xf>
    <xf numFmtId="0" fontId="42" fillId="0" borderId="60" xfId="65" applyFont="1" applyFill="1" applyBorder="1" applyAlignment="1">
      <alignment horizontal="center" vertical="center" wrapText="1"/>
      <protection/>
    </xf>
    <xf numFmtId="2" fontId="47" fillId="8" borderId="45" xfId="60" applyNumberFormat="1" applyFont="1" applyFill="1" applyBorder="1" applyAlignment="1">
      <alignment horizontal="center" vertical="center"/>
      <protection/>
    </xf>
    <xf numFmtId="2" fontId="47" fillId="8" borderId="46" xfId="60" applyNumberFormat="1" applyFont="1" applyFill="1" applyBorder="1" applyAlignment="1">
      <alignment horizontal="center" vertical="center"/>
      <protection/>
    </xf>
    <xf numFmtId="2" fontId="47" fillId="8" borderId="47" xfId="60" applyNumberFormat="1" applyFont="1" applyFill="1" applyBorder="1" applyAlignment="1">
      <alignment horizontal="center" vertical="center"/>
      <protection/>
    </xf>
    <xf numFmtId="0" fontId="42" fillId="25" borderId="45" xfId="60" applyFont="1" applyFill="1" applyBorder="1" applyAlignment="1">
      <alignment horizontal="center" vertical="center" wrapText="1"/>
      <protection/>
    </xf>
    <xf numFmtId="0" fontId="42" fillId="25" borderId="46" xfId="60" applyFont="1" applyFill="1" applyBorder="1" applyAlignment="1">
      <alignment horizontal="center" vertical="center" wrapText="1"/>
      <protection/>
    </xf>
    <xf numFmtId="0" fontId="42" fillId="25" borderId="47" xfId="60" applyFont="1" applyFill="1" applyBorder="1" applyAlignment="1">
      <alignment horizontal="center" vertical="center" wrapText="1"/>
      <protection/>
    </xf>
    <xf numFmtId="0" fontId="43" fillId="0" borderId="60" xfId="65" applyNumberFormat="1" applyFont="1" applyBorder="1" applyAlignment="1" applyProtection="1">
      <alignment horizontal="center" vertical="center"/>
      <protection locked="0"/>
    </xf>
    <xf numFmtId="0" fontId="42" fillId="0" borderId="48" xfId="65" applyFont="1" applyFill="1" applyBorder="1" applyAlignment="1">
      <alignment horizontal="center" vertical="center" wrapText="1"/>
      <protection/>
    </xf>
    <xf numFmtId="0" fontId="42" fillId="0" borderId="11" xfId="65" applyFont="1" applyFill="1" applyBorder="1" applyAlignment="1">
      <alignment horizontal="center" vertical="center" wrapText="1"/>
      <protection/>
    </xf>
    <xf numFmtId="0" fontId="44" fillId="0" borderId="59" xfId="65" applyFont="1" applyFill="1" applyBorder="1" applyAlignment="1">
      <alignment horizontal="center" vertical="center" wrapText="1"/>
      <protection/>
    </xf>
    <xf numFmtId="0" fontId="44" fillId="0" borderId="17" xfId="65" applyFont="1" applyFill="1" applyBorder="1" applyAlignment="1">
      <alignment horizontal="center" vertical="center" wrapText="1"/>
      <protection/>
    </xf>
    <xf numFmtId="0" fontId="44" fillId="0" borderId="12" xfId="65" applyFont="1" applyFill="1" applyBorder="1" applyAlignment="1">
      <alignment horizontal="center" vertical="center" wrapText="1"/>
      <protection/>
    </xf>
    <xf numFmtId="0" fontId="42" fillId="0" borderId="59" xfId="65" applyFont="1" applyFill="1" applyBorder="1" applyAlignment="1">
      <alignment horizontal="center" vertical="center" wrapText="1"/>
      <protection/>
    </xf>
    <xf numFmtId="0" fontId="42" fillId="0" borderId="12" xfId="65" applyFont="1" applyFill="1" applyBorder="1" applyAlignment="1">
      <alignment horizontal="center" vertical="center" wrapText="1"/>
      <protection/>
    </xf>
    <xf numFmtId="0" fontId="43" fillId="0" borderId="18" xfId="65" applyNumberFormat="1" applyFont="1" applyFill="1" applyBorder="1" applyAlignment="1">
      <alignment horizontal="center" vertical="center" wrapText="1"/>
      <protection/>
    </xf>
    <xf numFmtId="0" fontId="43" fillId="0" borderId="66" xfId="65" applyNumberFormat="1" applyFont="1" applyFill="1" applyBorder="1" applyAlignment="1">
      <alignment horizontal="center" vertical="center" wrapText="1"/>
      <protection/>
    </xf>
    <xf numFmtId="0" fontId="42" fillId="0" borderId="62" xfId="65" applyFont="1" applyFill="1" applyBorder="1" applyAlignment="1">
      <alignment horizontal="center" vertical="center" wrapText="1"/>
      <protection/>
    </xf>
    <xf numFmtId="0" fontId="42" fillId="0" borderId="24" xfId="65" applyFont="1" applyFill="1" applyBorder="1" applyAlignment="1">
      <alignment horizontal="center" vertical="center" wrapText="1"/>
      <protection/>
    </xf>
    <xf numFmtId="0" fontId="42" fillId="0" borderId="109" xfId="65" applyFont="1" applyFill="1" applyBorder="1" applyAlignment="1">
      <alignment horizontal="center" vertical="center" wrapText="1"/>
      <protection/>
    </xf>
    <xf numFmtId="0" fontId="42" fillId="0" borderId="29" xfId="65" applyFont="1" applyFill="1" applyBorder="1" applyAlignment="1">
      <alignment horizontal="center" vertical="center" wrapText="1"/>
      <protection/>
    </xf>
    <xf numFmtId="0" fontId="43" fillId="0" borderId="45" xfId="65" applyNumberFormat="1" applyFont="1" applyBorder="1" applyAlignment="1" applyProtection="1">
      <alignment horizontal="center" vertical="center"/>
      <protection locked="0"/>
    </xf>
    <xf numFmtId="0" fontId="43" fillId="0" borderId="47" xfId="65" applyNumberFormat="1" applyFont="1" applyBorder="1" applyAlignment="1" applyProtection="1">
      <alignment horizontal="center" vertical="center"/>
      <protection locked="0"/>
    </xf>
    <xf numFmtId="0" fontId="43" fillId="0" borderId="62" xfId="65" applyNumberFormat="1" applyFont="1" applyFill="1" applyBorder="1" applyAlignment="1">
      <alignment horizontal="center" vertical="center" wrapText="1"/>
      <protection/>
    </xf>
    <xf numFmtId="0" fontId="43" fillId="0" borderId="24" xfId="65" applyNumberFormat="1" applyFont="1" applyFill="1" applyBorder="1" applyAlignment="1">
      <alignment horizontal="center" vertical="center" wrapText="1"/>
      <protection/>
    </xf>
    <xf numFmtId="0" fontId="8" fillId="25" borderId="119" xfId="60" applyFont="1" applyFill="1" applyBorder="1" applyAlignment="1">
      <alignment horizontal="center" vertical="center" wrapText="1"/>
      <protection/>
    </xf>
    <xf numFmtId="0" fontId="8" fillId="25" borderId="120" xfId="60" applyFont="1" applyFill="1" applyBorder="1" applyAlignment="1">
      <alignment horizontal="center" vertical="center" wrapText="1"/>
      <protection/>
    </xf>
    <xf numFmtId="0" fontId="8" fillId="25" borderId="83" xfId="60" applyFont="1" applyFill="1" applyBorder="1" applyAlignment="1">
      <alignment horizontal="center" vertical="center" wrapText="1"/>
      <protection/>
    </xf>
    <xf numFmtId="2" fontId="9" fillId="8" borderId="23" xfId="60" applyNumberFormat="1" applyFont="1" applyFill="1" applyBorder="1" applyAlignment="1">
      <alignment horizontal="left" vertical="center" wrapText="1"/>
      <protection/>
    </xf>
    <xf numFmtId="2" fontId="9" fillId="8" borderId="108" xfId="60" applyNumberFormat="1" applyFont="1" applyFill="1" applyBorder="1" applyAlignment="1">
      <alignment horizontal="left" vertical="center" wrapText="1"/>
      <protection/>
    </xf>
    <xf numFmtId="2" fontId="9" fillId="8" borderId="24" xfId="60" applyNumberFormat="1" applyFont="1" applyFill="1" applyBorder="1" applyAlignment="1">
      <alignment horizontal="left" vertical="center" wrapText="1"/>
      <protection/>
    </xf>
    <xf numFmtId="0" fontId="1" fillId="0" borderId="45" xfId="57" applyFont="1" applyBorder="1" applyAlignment="1">
      <alignment horizontal="center"/>
      <protection/>
    </xf>
    <xf numFmtId="0" fontId="1" fillId="0" borderId="46" xfId="57" applyFont="1" applyBorder="1" applyAlignment="1">
      <alignment horizontal="center"/>
      <protection/>
    </xf>
    <xf numFmtId="0" fontId="1" fillId="0" borderId="47" xfId="57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1" fillId="0" borderId="17" xfId="57" applyFont="1" applyBorder="1" applyAlignment="1">
      <alignment horizontal="center"/>
      <protection/>
    </xf>
    <xf numFmtId="0" fontId="3" fillId="0" borderId="63" xfId="57" applyFont="1" applyBorder="1" applyAlignment="1">
      <alignment horizontal="center"/>
      <protection/>
    </xf>
    <xf numFmtId="0" fontId="3" fillId="0" borderId="84" xfId="57" applyFont="1" applyBorder="1" applyAlignment="1">
      <alignment horizontal="center"/>
      <protection/>
    </xf>
    <xf numFmtId="0" fontId="42" fillId="0" borderId="65" xfId="65" applyFont="1" applyFill="1" applyBorder="1" applyAlignment="1">
      <alignment horizontal="center" vertical="center" wrapText="1"/>
      <protection/>
    </xf>
    <xf numFmtId="0" fontId="42" fillId="0" borderId="14" xfId="65" applyFont="1" applyFill="1" applyBorder="1" applyAlignment="1">
      <alignment horizontal="center" vertical="center" wrapText="1"/>
      <protection/>
    </xf>
    <xf numFmtId="0" fontId="42" fillId="0" borderId="64" xfId="65" applyFont="1" applyFill="1" applyBorder="1" applyAlignment="1">
      <alignment horizontal="center" vertical="center" wrapText="1"/>
      <protection/>
    </xf>
    <xf numFmtId="0" fontId="43" fillId="0" borderId="23" xfId="0" applyFont="1" applyBorder="1" applyAlignment="1">
      <alignment vertical="center" wrapText="1"/>
    </xf>
    <xf numFmtId="0" fontId="43" fillId="0" borderId="108" xfId="0" applyFont="1" applyBorder="1" applyAlignment="1">
      <alignment vertical="center" wrapText="1"/>
    </xf>
    <xf numFmtId="0" fontId="43" fillId="0" borderId="129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55" xfId="0" applyFont="1" applyBorder="1" applyAlignment="1">
      <alignment vertical="center" wrapText="1"/>
    </xf>
    <xf numFmtId="0" fontId="43" fillId="0" borderId="88" xfId="0" applyFont="1" applyBorder="1" applyAlignment="1">
      <alignment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53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right"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89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32" fillId="8" borderId="130" xfId="0" applyFont="1" applyFill="1" applyBorder="1" applyAlignment="1">
      <alignment horizontal="center" vertical="center"/>
    </xf>
    <xf numFmtId="0" fontId="32" fillId="8" borderId="69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32" fillId="8" borderId="54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2" fontId="32" fillId="8" borderId="45" xfId="0" applyNumberFormat="1" applyFont="1" applyFill="1" applyBorder="1" applyAlignment="1">
      <alignment horizontal="left" vertical="center"/>
    </xf>
    <xf numFmtId="0" fontId="32" fillId="8" borderId="46" xfId="0" applyFont="1" applyFill="1" applyBorder="1" applyAlignment="1">
      <alignment horizontal="left" vertical="center"/>
    </xf>
    <xf numFmtId="0" fontId="32" fillId="8" borderId="47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110" xfId="0" applyFont="1" applyBorder="1" applyAlignment="1">
      <alignment horizontal="left" vertical="center"/>
    </xf>
    <xf numFmtId="0" fontId="43" fillId="0" borderId="66" xfId="0" applyFont="1" applyBorder="1" applyAlignment="1">
      <alignment horizontal="left" vertical="center"/>
    </xf>
    <xf numFmtId="2" fontId="47" fillId="0" borderId="45" xfId="59" applyNumberFormat="1" applyFont="1" applyFill="1" applyBorder="1" applyAlignment="1">
      <alignment horizontal="center" vertical="center"/>
      <protection/>
    </xf>
    <xf numFmtId="2" fontId="47" fillId="0" borderId="46" xfId="59" applyNumberFormat="1" applyFont="1" applyFill="1" applyBorder="1" applyAlignment="1">
      <alignment horizontal="center" vertical="center"/>
      <protection/>
    </xf>
    <xf numFmtId="2" fontId="47" fillId="0" borderId="47" xfId="59" applyNumberFormat="1" applyFont="1" applyFill="1" applyBorder="1" applyAlignment="1">
      <alignment horizontal="center" vertical="center"/>
      <protection/>
    </xf>
    <xf numFmtId="0" fontId="42" fillId="25" borderId="131" xfId="59" applyFont="1" applyFill="1" applyBorder="1" applyAlignment="1">
      <alignment horizontal="center" vertical="center" wrapText="1"/>
      <protection/>
    </xf>
    <xf numFmtId="0" fontId="42" fillId="25" borderId="132" xfId="59" applyFont="1" applyFill="1" applyBorder="1" applyAlignment="1">
      <alignment horizontal="center" vertical="center" wrapText="1"/>
      <protection/>
    </xf>
    <xf numFmtId="0" fontId="42" fillId="25" borderId="133" xfId="59" applyFont="1" applyFill="1" applyBorder="1" applyAlignment="1">
      <alignment horizontal="center" vertical="center" wrapText="1"/>
      <protection/>
    </xf>
    <xf numFmtId="2" fontId="47" fillId="8" borderId="85" xfId="59" applyNumberFormat="1" applyFont="1" applyFill="1" applyBorder="1" applyAlignment="1">
      <alignment horizontal="center" vertical="center" wrapText="1"/>
      <protection/>
    </xf>
    <xf numFmtId="0" fontId="43" fillId="0" borderId="110" xfId="0" applyFont="1" applyBorder="1" applyAlignment="1">
      <alignment/>
    </xf>
    <xf numFmtId="0" fontId="43" fillId="0" borderId="66" xfId="0" applyFont="1" applyBorder="1" applyAlignment="1">
      <alignment/>
    </xf>
    <xf numFmtId="2" fontId="47" fillId="0" borderId="85" xfId="59" applyNumberFormat="1" applyFont="1" applyFill="1" applyBorder="1" applyAlignment="1">
      <alignment horizontal="center" vertical="center"/>
      <protection/>
    </xf>
    <xf numFmtId="2" fontId="47" fillId="0" borderId="110" xfId="59" applyNumberFormat="1" applyFont="1" applyFill="1" applyBorder="1" applyAlignment="1">
      <alignment horizontal="center" vertical="center"/>
      <protection/>
    </xf>
    <xf numFmtId="2" fontId="47" fillId="0" borderId="134" xfId="59" applyNumberFormat="1" applyFont="1" applyFill="1" applyBorder="1" applyAlignment="1">
      <alignment horizontal="center" vertical="center"/>
      <protection/>
    </xf>
    <xf numFmtId="0" fontId="42" fillId="0" borderId="85" xfId="0" applyFont="1" applyFill="1" applyBorder="1" applyAlignment="1" applyProtection="1">
      <alignment horizontal="center" vertical="center"/>
      <protection locked="0"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134" xfId="0" applyFont="1" applyFill="1" applyBorder="1" applyAlignment="1" applyProtection="1">
      <alignment horizontal="center" vertical="center"/>
      <protection locked="0"/>
    </xf>
    <xf numFmtId="0" fontId="76" fillId="0" borderId="0" xfId="0" applyFont="1" applyAlignment="1">
      <alignment horizontal="left"/>
    </xf>
    <xf numFmtId="0" fontId="42" fillId="0" borderId="28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109" xfId="0" applyFont="1" applyFill="1" applyBorder="1" applyAlignment="1" applyProtection="1">
      <alignment horizontal="center" vertical="center"/>
      <protection locked="0"/>
    </xf>
    <xf numFmtId="0" fontId="42" fillId="0" borderId="88" xfId="0" applyFont="1" applyFill="1" applyBorder="1" applyAlignment="1" applyProtection="1">
      <alignment horizontal="center" vertical="center"/>
      <protection locked="0"/>
    </xf>
    <xf numFmtId="2" fontId="47" fillId="8" borderId="10" xfId="59" applyNumberFormat="1" applyFont="1" applyFill="1" applyBorder="1" applyAlignment="1">
      <alignment horizontal="center" vertical="center" wrapText="1"/>
      <protection/>
    </xf>
    <xf numFmtId="2" fontId="47" fillId="8" borderId="110" xfId="59" applyNumberFormat="1" applyFont="1" applyFill="1" applyBorder="1" applyAlignment="1">
      <alignment horizontal="center" vertical="center" wrapText="1"/>
      <protection/>
    </xf>
    <xf numFmtId="2" fontId="47" fillId="8" borderId="66" xfId="59" applyNumberFormat="1" applyFont="1" applyFill="1" applyBorder="1" applyAlignment="1">
      <alignment horizontal="center" vertical="center" wrapText="1"/>
      <protection/>
    </xf>
    <xf numFmtId="2" fontId="47" fillId="0" borderId="10" xfId="59" applyNumberFormat="1" applyFont="1" applyFill="1" applyBorder="1" applyAlignment="1">
      <alignment horizontal="center" vertical="center"/>
      <protection/>
    </xf>
    <xf numFmtId="0" fontId="43" fillId="0" borderId="110" xfId="0" applyFont="1" applyBorder="1" applyAlignment="1">
      <alignment vertical="center"/>
    </xf>
    <xf numFmtId="0" fontId="43" fillId="0" borderId="60" xfId="0" applyFont="1" applyBorder="1" applyAlignment="1">
      <alignment vertical="center"/>
    </xf>
    <xf numFmtId="0" fontId="0" fillId="0" borderId="17" xfId="0" applyBorder="1" applyAlignment="1">
      <alignment horizontal="center"/>
    </xf>
    <xf numFmtId="177" fontId="43" fillId="8" borderId="116" xfId="0" applyNumberFormat="1" applyFont="1" applyFill="1" applyBorder="1" applyAlignment="1">
      <alignment horizontal="center" vertical="center"/>
    </xf>
    <xf numFmtId="177" fontId="42" fillId="8" borderId="13" xfId="63" applyNumberFormat="1" applyFont="1" applyFill="1" applyBorder="1" applyAlignment="1" applyProtection="1">
      <alignment horizontal="center" vertical="center" wrapText="1"/>
      <protection/>
    </xf>
    <xf numFmtId="177" fontId="43" fillId="8" borderId="20" xfId="63" applyNumberFormat="1" applyFont="1" applyFill="1" applyBorder="1" applyAlignment="1">
      <alignment horizontal="center" vertical="center" wrapText="1"/>
      <protection/>
    </xf>
    <xf numFmtId="3" fontId="42" fillId="8" borderId="54" xfId="0" applyNumberFormat="1" applyFont="1" applyFill="1" applyBorder="1" applyAlignment="1" applyProtection="1">
      <alignment horizontal="center" vertical="center"/>
      <protection/>
    </xf>
    <xf numFmtId="3" fontId="42" fillId="8" borderId="42" xfId="0" applyNumberFormat="1" applyFont="1" applyFill="1" applyBorder="1" applyAlignment="1" applyProtection="1">
      <alignment horizontal="center" vertical="center"/>
      <protection/>
    </xf>
    <xf numFmtId="3" fontId="42" fillId="8" borderId="15" xfId="0" applyNumberFormat="1" applyFont="1" applyFill="1" applyBorder="1" applyAlignment="1" applyProtection="1">
      <alignment horizontal="center" vertical="center"/>
      <protection/>
    </xf>
    <xf numFmtId="3" fontId="42" fillId="8" borderId="26" xfId="0" applyNumberFormat="1" applyFont="1" applyFill="1" applyBorder="1" applyAlignment="1" applyProtection="1">
      <alignment horizontal="center" vertical="center"/>
      <protection/>
    </xf>
    <xf numFmtId="177" fontId="42" fillId="8" borderId="135" xfId="0" applyNumberFormat="1" applyFont="1" applyFill="1" applyBorder="1" applyAlignment="1" applyProtection="1">
      <alignment horizontal="center" vertical="center"/>
      <protection/>
    </xf>
    <xf numFmtId="177" fontId="43" fillId="8" borderId="136" xfId="0" applyNumberFormat="1" applyFont="1" applyFill="1" applyBorder="1" applyAlignment="1">
      <alignment horizontal="center" vertical="center"/>
    </xf>
    <xf numFmtId="177" fontId="42" fillId="8" borderId="89" xfId="63" applyNumberFormat="1" applyFont="1" applyFill="1" applyBorder="1" applyAlignment="1" applyProtection="1">
      <alignment horizontal="center" vertical="center" wrapText="1"/>
      <protection/>
    </xf>
    <xf numFmtId="177" fontId="43" fillId="8" borderId="70" xfId="63" applyNumberFormat="1" applyFont="1" applyFill="1" applyBorder="1" applyAlignment="1">
      <alignment horizontal="center" vertical="center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rmal_1CF-94 (2)" xfId="58"/>
    <cellStyle name="Normal_AGBOD-94" xfId="59"/>
    <cellStyle name="Normal_AGBOD-94 2" xfId="60"/>
    <cellStyle name="Normal_AGBOD-94_Modelos PIAF 2014 (flujo+inversiones+deuda)" xfId="61"/>
    <cellStyle name="Normal_AGBOD-94_PLANTILLAS EPEL+INTEGRA+MAYORITARIA" xfId="62"/>
    <cellStyle name="Normal_CONSOLIDADO-2002" xfId="63"/>
    <cellStyle name="Normal_CS-96" xfId="64"/>
    <cellStyle name="Normal_CS-96_PAIF EMPRESAS PARA ENVIAR" xfId="65"/>
    <cellStyle name="Normal_PF1-INV" xfId="66"/>
    <cellStyle name="Normal_PF1-INV_1. CASINO TAORO PAIF 2009" xfId="67"/>
    <cellStyle name="Normal_PYG96" xfId="68"/>
    <cellStyle name="Normal_PYG96_Modelos PIAF 2014 (flujo+inversiones+deuda)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  <cellStyle name="Währung" xfId="79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371475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1</xdr:col>
      <xdr:colOff>781050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704850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819150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85725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133350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71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</xdr:rowOff>
    </xdr:from>
    <xdr:to>
      <xdr:col>1</xdr:col>
      <xdr:colOff>752475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885825</xdr:colOff>
      <xdr:row>2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828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695325</xdr:colOff>
      <xdr:row>2</xdr:row>
      <xdr:rowOff>133350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2</xdr:col>
      <xdr:colOff>57150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1</xdr:col>
      <xdr:colOff>542925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523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1114425</xdr:colOff>
      <xdr:row>106</xdr:row>
      <xdr:rowOff>85725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629650" y="275177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0</xdr:rowOff>
    </xdr:from>
    <xdr:to>
      <xdr:col>0</xdr:col>
      <xdr:colOff>733425</xdr:colOff>
      <xdr:row>2</xdr:row>
      <xdr:rowOff>114300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85725</xdr:rowOff>
    </xdr:from>
    <xdr:to>
      <xdr:col>7</xdr:col>
      <xdr:colOff>209550</xdr:colOff>
      <xdr:row>54</xdr:row>
      <xdr:rowOff>66675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132778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85725</xdr:rowOff>
    </xdr:from>
    <xdr:to>
      <xdr:col>7</xdr:col>
      <xdr:colOff>209550</xdr:colOff>
      <xdr:row>54</xdr:row>
      <xdr:rowOff>66675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132778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85725</xdr:rowOff>
    </xdr:from>
    <xdr:to>
      <xdr:col>7</xdr:col>
      <xdr:colOff>209550</xdr:colOff>
      <xdr:row>55</xdr:row>
      <xdr:rowOff>66675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01125" y="135255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85725</xdr:rowOff>
    </xdr:from>
    <xdr:to>
      <xdr:col>7</xdr:col>
      <xdr:colOff>209550</xdr:colOff>
      <xdr:row>55</xdr:row>
      <xdr:rowOff>66675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135255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714375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723900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962025</xdr:colOff>
      <xdr:row>2</xdr:row>
      <xdr:rowOff>152400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0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1028700</xdr:colOff>
      <xdr:row>3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0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819150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2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Hacienda\Comun\U.F.%20ORGANISMOS%20Y%20EMPRESAS\CD%20PRESUPUESTO\2016\PEPO\Gastos%20corrientes%20e%20Inversi&#243;n%20(17-11-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corrientes e Inversión ("/>
      <sheetName val="C.20.11"/>
      <sheetName val="K.20.11"/>
      <sheetName val="C.23.11"/>
      <sheetName val="K.23.11"/>
      <sheetName val="C.K.24.11"/>
      <sheetName val="C.K.25.11"/>
      <sheetName val="C.K.26.11"/>
      <sheetName val="Hoja1"/>
      <sheetName val="C.K.28.11"/>
      <sheetName val="Hoja3"/>
      <sheetName val="Hoja4"/>
      <sheetName val="Hoja5"/>
    </sheetNames>
    <sheetDataSet>
      <sheetData sheetId="3">
        <row r="1907">
          <cell r="C1907">
            <v>901</v>
          </cell>
          <cell r="D1907">
            <v>4322</v>
          </cell>
          <cell r="E1907">
            <v>44933</v>
          </cell>
          <cell r="F1907">
            <v>165500</v>
          </cell>
        </row>
        <row r="1908">
          <cell r="F1908">
            <v>185000</v>
          </cell>
        </row>
        <row r="1912">
          <cell r="C1912">
            <v>901</v>
          </cell>
          <cell r="D1912">
            <v>4322</v>
          </cell>
          <cell r="E1912">
            <v>44933</v>
          </cell>
          <cell r="F1912">
            <v>3199114.48</v>
          </cell>
          <cell r="H1912" t="str">
            <v>A4- SPET PROMOCIÓN EXTERIOR Y EN DESTINO</v>
          </cell>
        </row>
        <row r="1915">
          <cell r="C1915">
            <v>901</v>
          </cell>
          <cell r="D1915">
            <v>4322</v>
          </cell>
          <cell r="E1915">
            <v>44933</v>
          </cell>
          <cell r="F1915">
            <v>1000000</v>
          </cell>
          <cell r="H1915" t="str">
            <v>A4- SPET INCREMENTO PROMOCIÓN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872</v>
      </c>
      <c r="C1" s="15"/>
    </row>
    <row r="2" spans="1:3" s="4" customFormat="1" ht="12.75">
      <c r="A2" s="4" t="s">
        <v>871</v>
      </c>
      <c r="C2" s="15"/>
    </row>
    <row r="3" ht="12.75"/>
    <row r="4" ht="12.75"/>
    <row r="5" spans="1:4" ht="12.75">
      <c r="A5" s="955" t="e">
        <f>CPYG!#REF!</f>
        <v>#REF!</v>
      </c>
      <c r="B5" s="955"/>
      <c r="C5" s="955"/>
      <c r="D5" s="955"/>
    </row>
    <row r="6" ht="12.75"/>
    <row r="7" ht="13.5" thickBot="1"/>
    <row r="8" spans="1:3" ht="12.75">
      <c r="A8" s="956" t="s">
        <v>834</v>
      </c>
      <c r="B8" s="957"/>
      <c r="C8" s="965" t="s">
        <v>835</v>
      </c>
    </row>
    <row r="9" spans="1:3" ht="12.75">
      <c r="A9" s="958"/>
      <c r="B9" s="959"/>
      <c r="C9" s="966"/>
    </row>
    <row r="10" spans="1:3" ht="12.75">
      <c r="A10" s="958"/>
      <c r="B10" s="959"/>
      <c r="C10" s="966"/>
    </row>
    <row r="11" spans="1:3" ht="12.75">
      <c r="A11" s="960"/>
      <c r="B11" s="961"/>
      <c r="C11" s="967"/>
    </row>
    <row r="12" spans="1:3" ht="12.75">
      <c r="A12" s="50"/>
      <c r="B12" s="51"/>
      <c r="C12" s="52"/>
    </row>
    <row r="13" spans="1:3" ht="12.75">
      <c r="A13" s="53" t="s">
        <v>836</v>
      </c>
      <c r="B13" s="54" t="s">
        <v>39</v>
      </c>
      <c r="C13" s="55">
        <v>0</v>
      </c>
    </row>
    <row r="14" spans="1:10" ht="12.75" customHeight="1">
      <c r="A14" s="53" t="s">
        <v>837</v>
      </c>
      <c r="B14" s="54" t="s">
        <v>40</v>
      </c>
      <c r="C14" s="55">
        <v>0</v>
      </c>
      <c r="F14" s="954" t="s">
        <v>874</v>
      </c>
      <c r="G14" s="954"/>
      <c r="H14" s="954"/>
      <c r="I14" s="954"/>
      <c r="J14" s="107"/>
    </row>
    <row r="15" spans="1:10" ht="12.75">
      <c r="A15" s="53" t="s">
        <v>838</v>
      </c>
      <c r="B15" s="54" t="s">
        <v>41</v>
      </c>
      <c r="C15" s="55">
        <f>CPYG!D12</f>
        <v>1528419.2999999998</v>
      </c>
      <c r="F15" s="954"/>
      <c r="G15" s="954"/>
      <c r="H15" s="954"/>
      <c r="I15" s="954"/>
      <c r="J15" s="107"/>
    </row>
    <row r="16" spans="1:10" ht="12.75">
      <c r="A16" s="53" t="s">
        <v>839</v>
      </c>
      <c r="B16" s="54" t="s">
        <v>42</v>
      </c>
      <c r="C16" s="55" t="e">
        <f>'No rellenar EP-5 '!E29+#REF!</f>
        <v>#REF!</v>
      </c>
      <c r="F16" s="954"/>
      <c r="G16" s="954"/>
      <c r="H16" s="954"/>
      <c r="I16" s="954"/>
      <c r="J16" s="107"/>
    </row>
    <row r="17" spans="1:9" ht="12.75">
      <c r="A17" s="53" t="s">
        <v>840</v>
      </c>
      <c r="B17" s="54" t="s">
        <v>43</v>
      </c>
      <c r="C17" s="55">
        <f>CPYG!D34+CPYG!D83+CPYG!D79</f>
        <v>10487852.78</v>
      </c>
      <c r="F17" s="954"/>
      <c r="G17" s="954"/>
      <c r="H17" s="954"/>
      <c r="I17" s="954"/>
    </row>
    <row r="18" spans="1:9" ht="12.75">
      <c r="A18" s="56"/>
      <c r="B18" s="57"/>
      <c r="C18" s="58"/>
      <c r="F18" s="954"/>
      <c r="G18" s="954"/>
      <c r="H18" s="954"/>
      <c r="I18" s="954"/>
    </row>
    <row r="19" spans="1:9" ht="12.75">
      <c r="A19" s="92" t="s">
        <v>841</v>
      </c>
      <c r="B19" s="93"/>
      <c r="C19" s="94" t="e">
        <f>SUM(C13:C17)</f>
        <v>#REF!</v>
      </c>
      <c r="F19" s="954"/>
      <c r="G19" s="954"/>
      <c r="H19" s="954"/>
      <c r="I19" s="954"/>
    </row>
    <row r="20" spans="1:9" ht="12.75">
      <c r="A20" s="59"/>
      <c r="B20" s="60"/>
      <c r="C20" s="61"/>
      <c r="F20" s="954"/>
      <c r="G20" s="954"/>
      <c r="H20" s="954"/>
      <c r="I20" s="954"/>
    </row>
    <row r="21" spans="1:9" ht="12.75">
      <c r="A21" s="56"/>
      <c r="B21" s="57"/>
      <c r="C21" s="58"/>
      <c r="F21" s="954"/>
      <c r="G21" s="954"/>
      <c r="H21" s="954"/>
      <c r="I21" s="954"/>
    </row>
    <row r="22" spans="1:9" ht="12.75">
      <c r="A22" s="53" t="s">
        <v>842</v>
      </c>
      <c r="B22" s="54" t="s">
        <v>44</v>
      </c>
      <c r="C22" s="58">
        <f>'Inv. NO FIN'!H23+'Inv. NO FIN'!H24+'Inv. NO FIN'!H25+'Inv. NO FIN'!H26</f>
        <v>0</v>
      </c>
      <c r="F22" s="954"/>
      <c r="G22" s="954"/>
      <c r="H22" s="954"/>
      <c r="I22" s="954"/>
    </row>
    <row r="23" spans="1:9" ht="12.75">
      <c r="A23" s="53" t="s">
        <v>843</v>
      </c>
      <c r="B23" s="54" t="s">
        <v>45</v>
      </c>
      <c r="C23" s="58" t="e">
        <f>'Transf. y subv.'!E20+'Transf. y subv.'!#REF!</f>
        <v>#REF!</v>
      </c>
      <c r="F23" s="954"/>
      <c r="G23" s="954"/>
      <c r="H23" s="954"/>
      <c r="I23" s="954"/>
    </row>
    <row r="24" spans="1:3" ht="12.75">
      <c r="A24" s="56"/>
      <c r="B24" s="57"/>
      <c r="C24" s="58"/>
    </row>
    <row r="25" spans="1:3" ht="12.75">
      <c r="A25" s="92" t="s">
        <v>844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845</v>
      </c>
      <c r="B28" s="54" t="s">
        <v>46</v>
      </c>
      <c r="C28" s="55">
        <f>'Inv. FIN'!E45</f>
        <v>0</v>
      </c>
    </row>
    <row r="29" spans="1:3" ht="12.75">
      <c r="A29" s="53" t="s">
        <v>846</v>
      </c>
      <c r="B29" s="54" t="s">
        <v>47</v>
      </c>
      <c r="C29" s="55">
        <f>'Deuda L.P.'!I29</f>
        <v>300000</v>
      </c>
    </row>
    <row r="30" spans="1:3" ht="12.75">
      <c r="A30" s="56"/>
      <c r="B30" s="57"/>
      <c r="C30" s="58"/>
    </row>
    <row r="31" spans="1:3" ht="12.75">
      <c r="A31" s="92" t="s">
        <v>847</v>
      </c>
      <c r="B31" s="93"/>
      <c r="C31" s="95">
        <f>SUM(C28:C29)</f>
        <v>300000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848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950" t="s">
        <v>849</v>
      </c>
      <c r="C38" s="968">
        <f>CPYG!D98</f>
        <v>0</v>
      </c>
    </row>
    <row r="39" spans="1:3" ht="13.5" thickBot="1">
      <c r="A39" s="77"/>
      <c r="B39" s="951"/>
      <c r="C39" s="969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848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956" t="s">
        <v>834</v>
      </c>
      <c r="B49" s="957"/>
      <c r="C49" s="962" t="s">
        <v>835</v>
      </c>
    </row>
    <row r="50" spans="1:3" ht="12.75">
      <c r="A50" s="958"/>
      <c r="B50" s="959"/>
      <c r="C50" s="963"/>
    </row>
    <row r="51" spans="1:3" ht="12.75">
      <c r="A51" s="958"/>
      <c r="B51" s="959"/>
      <c r="C51" s="963"/>
    </row>
    <row r="52" spans="1:3" ht="12.75">
      <c r="A52" s="960"/>
      <c r="B52" s="961"/>
      <c r="C52" s="964"/>
    </row>
    <row r="53" spans="1:3" ht="12.75">
      <c r="A53" s="62"/>
      <c r="B53" s="51"/>
      <c r="C53" s="64"/>
    </row>
    <row r="54" spans="1:3" ht="12.75">
      <c r="A54" s="53" t="s">
        <v>836</v>
      </c>
      <c r="B54" s="82" t="s">
        <v>850</v>
      </c>
      <c r="C54" s="83">
        <f>-CPYG!D46</f>
        <v>1970039.24</v>
      </c>
    </row>
    <row r="55" spans="1:3" ht="12.75">
      <c r="A55" s="53" t="s">
        <v>837</v>
      </c>
      <c r="B55" s="82" t="s">
        <v>851</v>
      </c>
      <c r="C55" s="83">
        <f>-CPYG!D29-CPYG!D54+CPYG!D57-CPYG!D107</f>
        <v>11861299.719999999</v>
      </c>
    </row>
    <row r="56" spans="1:3" ht="12.75">
      <c r="A56" s="53" t="s">
        <v>838</v>
      </c>
      <c r="B56" s="82" t="s">
        <v>311</v>
      </c>
      <c r="C56" s="83">
        <f>-CPYG!D91</f>
        <v>3000</v>
      </c>
    </row>
    <row r="57" spans="1:3" ht="12.75">
      <c r="A57" s="53" t="s">
        <v>839</v>
      </c>
      <c r="B57" s="82" t="s">
        <v>852</v>
      </c>
      <c r="C57" s="83"/>
    </row>
    <row r="58" spans="1:3" ht="12.75">
      <c r="A58" s="62"/>
      <c r="B58" s="63"/>
      <c r="C58" s="83"/>
    </row>
    <row r="59" spans="1:6" ht="12.75">
      <c r="A59" s="92" t="s">
        <v>853</v>
      </c>
      <c r="B59" s="93"/>
      <c r="C59" s="95">
        <f>SUM(C54:C58)</f>
        <v>13834338.959999999</v>
      </c>
      <c r="E59" s="37" t="e">
        <f>C19-C59</f>
        <v>#REF!</v>
      </c>
      <c r="F59" s="2" t="s">
        <v>854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842</v>
      </c>
      <c r="B62" s="82" t="s">
        <v>855</v>
      </c>
      <c r="C62" s="83">
        <f>'Inv. NO FIN'!C23+'Inv. NO FIN'!C24+'Inv. NO FIN'!C25+'Inv. NO FIN'!C26</f>
        <v>0</v>
      </c>
      <c r="E62" s="2" t="e">
        <f>-#REF!</f>
        <v>#REF!</v>
      </c>
    </row>
    <row r="63" spans="1:7" ht="12.75">
      <c r="A63" s="53" t="s">
        <v>843</v>
      </c>
      <c r="B63" s="82" t="s">
        <v>856</v>
      </c>
      <c r="C63" s="83"/>
      <c r="E63" s="37" t="e">
        <f>SUM(E59:E62)</f>
        <v>#REF!</v>
      </c>
      <c r="F63" s="2">
        <f>CPYG!D111</f>
        <v>-1903196.010000001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857</v>
      </c>
      <c r="B65" s="93"/>
      <c r="C65" s="95">
        <f>SUM(C62:C63)</f>
        <v>0</v>
      </c>
      <c r="E65" s="37" t="e">
        <f>C25+C31-C65-C71</f>
        <v>#REF!</v>
      </c>
      <c r="F65" s="2" t="s">
        <v>858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845</v>
      </c>
      <c r="B68" s="82" t="s">
        <v>859</v>
      </c>
      <c r="C68" s="83">
        <f>'Inv. FIN'!G45</f>
        <v>0</v>
      </c>
    </row>
    <row r="69" spans="1:3" ht="12.75">
      <c r="A69" s="53" t="s">
        <v>846</v>
      </c>
      <c r="B69" s="82" t="s">
        <v>860</v>
      </c>
      <c r="C69" s="83"/>
    </row>
    <row r="70" spans="1:3" ht="12.75">
      <c r="A70" s="62"/>
      <c r="B70" s="63"/>
      <c r="C70" s="64"/>
    </row>
    <row r="71" spans="1:6" ht="12.75">
      <c r="A71" s="92" t="s">
        <v>861</v>
      </c>
      <c r="B71" s="93"/>
      <c r="C71" s="95">
        <f>SUM(C68:C69)</f>
        <v>0</v>
      </c>
      <c r="E71" s="37" t="e">
        <f>SUM(E59:E66)</f>
        <v>#REF!</v>
      </c>
      <c r="F71" s="2" t="s">
        <v>862</v>
      </c>
    </row>
    <row r="72" spans="1:3" ht="13.5" thickBot="1">
      <c r="A72" s="85"/>
      <c r="B72" s="86"/>
      <c r="C72" s="87"/>
    </row>
    <row r="73" spans="1:3" ht="13.5" thickTop="1">
      <c r="A73" s="948"/>
      <c r="B73" s="950" t="s">
        <v>863</v>
      </c>
      <c r="C73" s="952" t="e">
        <f>#REF!+#REF!</f>
        <v>#REF!</v>
      </c>
    </row>
    <row r="74" spans="1:6" ht="13.5" thickBot="1">
      <c r="A74" s="949"/>
      <c r="B74" s="951"/>
      <c r="C74" s="953"/>
      <c r="E74" s="37"/>
      <c r="F74" s="2" t="s">
        <v>312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864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948"/>
      <c r="B80" s="950" t="s">
        <v>865</v>
      </c>
      <c r="C80" s="952" t="e">
        <f>-D97</f>
        <v>#REF!</v>
      </c>
      <c r="E80" s="37" t="e">
        <f>E71-E74</f>
        <v>#REF!</v>
      </c>
      <c r="F80" s="2" t="s">
        <v>730</v>
      </c>
    </row>
    <row r="81" spans="1:3" ht="13.5" thickBot="1">
      <c r="A81" s="949"/>
      <c r="B81" s="951"/>
      <c r="C81" s="953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866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38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873</v>
      </c>
      <c r="C94" s="2"/>
      <c r="D94" s="38" t="e">
        <f>-#REF!</f>
        <v>#REF!</v>
      </c>
      <c r="E94" s="2" t="s">
        <v>867</v>
      </c>
    </row>
    <row r="95" spans="2:4" ht="12.75">
      <c r="B95" s="49" t="s">
        <v>868</v>
      </c>
      <c r="C95" s="2"/>
      <c r="D95" s="38"/>
    </row>
    <row r="96" spans="2:5" ht="12.75">
      <c r="B96" s="4" t="s">
        <v>869</v>
      </c>
      <c r="C96" s="2"/>
      <c r="D96" s="38" t="e">
        <f>#REF!+#REF!</f>
        <v>#REF!</v>
      </c>
      <c r="E96" s="2" t="s">
        <v>870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F14:I23"/>
    <mergeCell ref="A5:D5"/>
    <mergeCell ref="A49:B52"/>
    <mergeCell ref="C49:C52"/>
    <mergeCell ref="A8:B11"/>
    <mergeCell ref="C8:C11"/>
    <mergeCell ref="B38:B39"/>
    <mergeCell ref="C38:C39"/>
    <mergeCell ref="A80:A81"/>
    <mergeCell ref="B80:B81"/>
    <mergeCell ref="C80:C81"/>
    <mergeCell ref="A73:A74"/>
    <mergeCell ref="B73:B74"/>
    <mergeCell ref="C73:C74"/>
  </mergeCells>
  <printOptions/>
  <pageMargins left="0.75" right="0.75" top="0.36" bottom="0.22" header="0" footer="0"/>
  <pageSetup fitToHeight="1" fitToWidth="1" horizontalDpi="600" verticalDpi="600" orientation="portrait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zoomScale="55" zoomScaleNormal="55" zoomScalePageLayoutView="0" workbookViewId="0" topLeftCell="A1">
      <selection activeCell="D4" sqref="D4"/>
    </sheetView>
  </sheetViews>
  <sheetFormatPr defaultColWidth="11.421875" defaultRowHeight="12.75"/>
  <cols>
    <col min="1" max="1" width="26.00390625" style="223" customWidth="1"/>
    <col min="2" max="2" width="15.421875" style="223" customWidth="1"/>
    <col min="3" max="3" width="18.7109375" style="223" customWidth="1"/>
    <col min="4" max="4" width="15.28125" style="223" customWidth="1"/>
    <col min="5" max="5" width="14.140625" style="223" customWidth="1"/>
    <col min="6" max="6" width="15.140625" style="223" customWidth="1"/>
    <col min="7" max="7" width="14.8515625" style="223" customWidth="1"/>
    <col min="8" max="8" width="16.28125" style="223" bestFit="1" customWidth="1"/>
    <col min="9" max="9" width="17.8515625" style="223" customWidth="1"/>
    <col min="10" max="10" width="15.28125" style="223" customWidth="1"/>
    <col min="11" max="11" width="21.57421875" style="223" customWidth="1"/>
    <col min="12" max="12" width="2.8515625" style="223" customWidth="1"/>
    <col min="13" max="13" width="13.28125" style="223" bestFit="1" customWidth="1"/>
    <col min="14" max="16384" width="11.421875" style="223" customWidth="1"/>
  </cols>
  <sheetData>
    <row r="1" spans="1:7" ht="15">
      <c r="A1" s="819"/>
      <c r="B1" s="819"/>
      <c r="C1" s="819"/>
      <c r="D1" s="820" t="s">
        <v>674</v>
      </c>
      <c r="E1" s="819"/>
      <c r="F1" s="819"/>
      <c r="G1" s="822"/>
    </row>
    <row r="2" spans="1:7" ht="14.25">
      <c r="A2" s="819"/>
      <c r="B2" s="819"/>
      <c r="C2" s="819"/>
      <c r="D2" s="821" t="s">
        <v>675</v>
      </c>
      <c r="E2" s="819"/>
      <c r="F2" s="819"/>
      <c r="G2" s="822"/>
    </row>
    <row r="3" spans="1:7" ht="14.25">
      <c r="A3" s="819"/>
      <c r="B3" s="821"/>
      <c r="C3" s="819"/>
      <c r="D3" s="819"/>
      <c r="E3" s="819"/>
      <c r="F3" s="819"/>
      <c r="G3" s="822"/>
    </row>
    <row r="4" spans="1:6" ht="15">
      <c r="A4" s="819" t="s">
        <v>525</v>
      </c>
      <c r="B4" s="819"/>
      <c r="C4" s="819"/>
      <c r="D4" s="824">
        <v>42339</v>
      </c>
      <c r="E4" s="819"/>
      <c r="F4" s="819"/>
    </row>
    <row r="5" spans="1:6" ht="15">
      <c r="A5" s="819" t="s">
        <v>673</v>
      </c>
      <c r="B5" s="819"/>
      <c r="C5" s="819"/>
      <c r="D5" s="823" t="s">
        <v>676</v>
      </c>
      <c r="E5" s="819"/>
      <c r="F5" s="819"/>
    </row>
    <row r="6" ht="13.5" thickBot="1"/>
    <row r="7" spans="1:11" ht="42" customHeight="1">
      <c r="A7" s="1019" t="s">
        <v>388</v>
      </c>
      <c r="B7" s="1020"/>
      <c r="C7" s="1020"/>
      <c r="D7" s="1020"/>
      <c r="E7" s="1020"/>
      <c r="F7" s="1020"/>
      <c r="G7" s="1020"/>
      <c r="H7" s="1020"/>
      <c r="I7" s="1020"/>
      <c r="J7" s="1021">
        <f>CPYG!D7</f>
        <v>2016</v>
      </c>
      <c r="K7" s="1022"/>
    </row>
    <row r="8" spans="1:11" ht="51" customHeight="1">
      <c r="A8" s="1032" t="str">
        <f>CPYG!A8</f>
        <v>SPET, TURISMO DE TENERIFE, S.A.</v>
      </c>
      <c r="B8" s="1033"/>
      <c r="C8" s="1033"/>
      <c r="D8" s="1033"/>
      <c r="E8" s="1033"/>
      <c r="F8" s="1033"/>
      <c r="G8" s="1033"/>
      <c r="H8" s="1033"/>
      <c r="I8" s="1033"/>
      <c r="J8" s="1034" t="s">
        <v>375</v>
      </c>
      <c r="K8" s="1035"/>
    </row>
    <row r="9" spans="1:11" s="224" customFormat="1" ht="27" customHeight="1">
      <c r="A9" s="1023" t="s">
        <v>49</v>
      </c>
      <c r="B9" s="1024"/>
      <c r="C9" s="1024"/>
      <c r="D9" s="1024"/>
      <c r="E9" s="1024"/>
      <c r="F9" s="1024"/>
      <c r="G9" s="1024"/>
      <c r="H9" s="1024"/>
      <c r="I9" s="1024"/>
      <c r="J9" s="1024"/>
      <c r="K9" s="1025"/>
    </row>
    <row r="10" spans="1:11" ht="19.5" customHeight="1">
      <c r="A10" s="1029" t="s">
        <v>790</v>
      </c>
      <c r="B10" s="1030" t="s">
        <v>789</v>
      </c>
      <c r="C10" s="549"/>
      <c r="D10" s="1030"/>
      <c r="E10" s="1030"/>
      <c r="F10" s="1030"/>
      <c r="G10" s="1030"/>
      <c r="H10" s="1030"/>
      <c r="I10" s="1030"/>
      <c r="J10" s="1030" t="s">
        <v>564</v>
      </c>
      <c r="K10" s="1031" t="s">
        <v>636</v>
      </c>
    </row>
    <row r="11" spans="1:11" ht="64.5" customHeight="1">
      <c r="A11" s="1029"/>
      <c r="B11" s="1030"/>
      <c r="C11" s="549" t="s">
        <v>637</v>
      </c>
      <c r="D11" s="549" t="s">
        <v>718</v>
      </c>
      <c r="E11" s="549" t="s">
        <v>638</v>
      </c>
      <c r="F11" s="549" t="s">
        <v>823</v>
      </c>
      <c r="G11" s="549" t="s">
        <v>639</v>
      </c>
      <c r="H11" s="549" t="s">
        <v>640</v>
      </c>
      <c r="I11" s="549" t="s">
        <v>641</v>
      </c>
      <c r="J11" s="1030"/>
      <c r="K11" s="1031"/>
    </row>
    <row r="12" spans="1:11" ht="12.75">
      <c r="A12" s="1026"/>
      <c r="B12" s="1027"/>
      <c r="C12" s="1027"/>
      <c r="D12" s="1027"/>
      <c r="E12" s="1027"/>
      <c r="F12" s="1027"/>
      <c r="G12" s="1027"/>
      <c r="H12" s="1027"/>
      <c r="I12" s="1027"/>
      <c r="J12" s="1027"/>
      <c r="K12" s="1028"/>
    </row>
    <row r="13" spans="1:14" ht="33" customHeight="1">
      <c r="A13" s="550" t="s">
        <v>642</v>
      </c>
      <c r="B13" s="590">
        <f>+ACTIVO!B12</f>
        <v>82721.39</v>
      </c>
      <c r="C13" s="581">
        <v>20000</v>
      </c>
      <c r="D13" s="581"/>
      <c r="E13" s="581"/>
      <c r="F13" s="581">
        <f>+CPYG!C60</f>
        <v>-39721.02</v>
      </c>
      <c r="G13" s="581"/>
      <c r="H13" s="581"/>
      <c r="I13" s="581"/>
      <c r="J13" s="590">
        <f>SUM(B13:I13)</f>
        <v>63000.37</v>
      </c>
      <c r="K13" s="582"/>
      <c r="M13" s="228"/>
      <c r="N13" s="228"/>
    </row>
    <row r="14" spans="1:14" ht="39" customHeight="1">
      <c r="A14" s="550" t="s">
        <v>229</v>
      </c>
      <c r="B14" s="590">
        <f>+ACTIVO!B17</f>
        <v>895215.16</v>
      </c>
      <c r="C14" s="581">
        <v>6777.05</v>
      </c>
      <c r="D14" s="581"/>
      <c r="E14" s="581"/>
      <c r="F14" s="581">
        <f>+CPYG!C61</f>
        <v>-66465.91</v>
      </c>
      <c r="G14" s="581"/>
      <c r="H14" s="581"/>
      <c r="I14" s="581"/>
      <c r="J14" s="590">
        <f>SUM(B14:I14)</f>
        <v>835526.3</v>
      </c>
      <c r="K14" s="582"/>
      <c r="M14" s="228"/>
      <c r="N14" s="228"/>
    </row>
    <row r="15" spans="1:11" ht="45" customHeight="1">
      <c r="A15" s="551" t="s">
        <v>643</v>
      </c>
      <c r="B15" s="590"/>
      <c r="C15" s="581"/>
      <c r="D15" s="581"/>
      <c r="E15" s="581"/>
      <c r="F15" s="581"/>
      <c r="G15" s="581"/>
      <c r="H15" s="581"/>
      <c r="I15" s="581"/>
      <c r="J15" s="590">
        <f>SUM(B15:I15)</f>
        <v>0</v>
      </c>
      <c r="K15" s="583"/>
    </row>
    <row r="16" spans="1:13" ht="20.25" customHeight="1">
      <c r="A16" s="551" t="s">
        <v>644</v>
      </c>
      <c r="B16" s="590"/>
      <c r="C16" s="581"/>
      <c r="D16" s="581"/>
      <c r="E16" s="581"/>
      <c r="F16" s="581"/>
      <c r="G16" s="581"/>
      <c r="H16" s="581"/>
      <c r="I16" s="581"/>
      <c r="J16" s="590">
        <f>SUM(B16:I16)</f>
        <v>0</v>
      </c>
      <c r="K16" s="583"/>
      <c r="M16" s="225"/>
    </row>
    <row r="17" spans="1:11" s="226" customFormat="1" ht="23.25" customHeight="1">
      <c r="A17" s="551" t="s">
        <v>319</v>
      </c>
      <c r="B17" s="591">
        <f>SUM(B13:B16)</f>
        <v>977936.55</v>
      </c>
      <c r="C17" s="591">
        <f aca="true" t="shared" si="0" ref="C17:J17">SUM(C13:C16)</f>
        <v>26777.05</v>
      </c>
      <c r="D17" s="591">
        <f t="shared" si="0"/>
        <v>0</v>
      </c>
      <c r="E17" s="591">
        <f t="shared" si="0"/>
        <v>0</v>
      </c>
      <c r="F17" s="591">
        <f t="shared" si="0"/>
        <v>-106186.93</v>
      </c>
      <c r="G17" s="591">
        <f t="shared" si="0"/>
        <v>0</v>
      </c>
      <c r="H17" s="591">
        <f t="shared" si="0"/>
        <v>0</v>
      </c>
      <c r="I17" s="591">
        <f t="shared" si="0"/>
        <v>0</v>
      </c>
      <c r="J17" s="591">
        <f t="shared" si="0"/>
        <v>898526.67</v>
      </c>
      <c r="K17" s="584"/>
    </row>
    <row r="18" spans="1:13" ht="20.25" customHeight="1">
      <c r="A18" s="551" t="s">
        <v>645</v>
      </c>
      <c r="B18" s="590">
        <f>ACTIVO!B35</f>
        <v>56669.03</v>
      </c>
      <c r="C18" s="581"/>
      <c r="D18" s="581"/>
      <c r="E18" s="581"/>
      <c r="F18" s="581"/>
      <c r="G18" s="581"/>
      <c r="H18" s="581"/>
      <c r="I18" s="581"/>
      <c r="J18" s="590">
        <f>SUM(B18:I18)</f>
        <v>56669.03</v>
      </c>
      <c r="K18" s="583"/>
      <c r="M18" s="225"/>
    </row>
    <row r="19" spans="1:11" ht="26.25" customHeight="1">
      <c r="A19" s="552"/>
      <c r="B19" s="585"/>
      <c r="C19" s="585"/>
      <c r="D19" s="585"/>
      <c r="E19" s="585"/>
      <c r="F19" s="585"/>
      <c r="G19" s="585"/>
      <c r="H19" s="585"/>
      <c r="I19" s="585"/>
      <c r="J19" s="586"/>
      <c r="K19" s="587"/>
    </row>
    <row r="20" spans="1:11" ht="19.5" customHeight="1">
      <c r="A20" s="1029" t="s">
        <v>785</v>
      </c>
      <c r="B20" s="1030" t="s">
        <v>791</v>
      </c>
      <c r="C20" s="549"/>
      <c r="D20" s="1030"/>
      <c r="E20" s="1030"/>
      <c r="F20" s="1030"/>
      <c r="G20" s="1030"/>
      <c r="H20" s="1030"/>
      <c r="I20" s="1030"/>
      <c r="J20" s="1030" t="s">
        <v>792</v>
      </c>
      <c r="K20" s="1031" t="s">
        <v>636</v>
      </c>
    </row>
    <row r="21" spans="1:11" ht="63.75">
      <c r="A21" s="1029"/>
      <c r="B21" s="1030"/>
      <c r="C21" s="549" t="s">
        <v>637</v>
      </c>
      <c r="D21" s="549" t="s">
        <v>718</v>
      </c>
      <c r="E21" s="549" t="s">
        <v>638</v>
      </c>
      <c r="F21" s="549" t="s">
        <v>823</v>
      </c>
      <c r="G21" s="549" t="s">
        <v>639</v>
      </c>
      <c r="H21" s="549" t="s">
        <v>640</v>
      </c>
      <c r="I21" s="549" t="s">
        <v>641</v>
      </c>
      <c r="J21" s="1030"/>
      <c r="K21" s="1031"/>
    </row>
    <row r="22" spans="1:11" ht="12.75">
      <c r="A22" s="1026"/>
      <c r="B22" s="1027"/>
      <c r="C22" s="1027"/>
      <c r="D22" s="1027"/>
      <c r="E22" s="1027"/>
      <c r="F22" s="1027"/>
      <c r="G22" s="1027"/>
      <c r="H22" s="1027"/>
      <c r="I22" s="1027"/>
      <c r="J22" s="1027"/>
      <c r="K22" s="1028"/>
    </row>
    <row r="23" spans="1:14" ht="36.75" customHeight="1">
      <c r="A23" s="550" t="s">
        <v>642</v>
      </c>
      <c r="B23" s="590">
        <f>+J13</f>
        <v>63000.37</v>
      </c>
      <c r="C23" s="739"/>
      <c r="D23" s="739"/>
      <c r="E23" s="739"/>
      <c r="F23" s="739">
        <f>+CPYG!D60</f>
        <v>-29484.23</v>
      </c>
      <c r="G23" s="739"/>
      <c r="H23" s="739"/>
      <c r="I23" s="739"/>
      <c r="J23" s="590">
        <f>SUM(B23:I23)</f>
        <v>33516.14</v>
      </c>
      <c r="K23" s="582"/>
      <c r="M23" s="228"/>
      <c r="N23" s="228"/>
    </row>
    <row r="24" spans="1:13" ht="39" customHeight="1">
      <c r="A24" s="550" t="s">
        <v>229</v>
      </c>
      <c r="B24" s="590">
        <f>+J14</f>
        <v>835526.3</v>
      </c>
      <c r="C24" s="739"/>
      <c r="D24" s="739"/>
      <c r="E24" s="739"/>
      <c r="F24" s="739">
        <f>+CPYG!D61</f>
        <v>-61485.39</v>
      </c>
      <c r="G24" s="739"/>
      <c r="H24" s="739"/>
      <c r="I24" s="739"/>
      <c r="J24" s="590">
        <f>SUM(B24:I24)</f>
        <v>774040.91</v>
      </c>
      <c r="K24" s="582"/>
      <c r="M24" s="228"/>
    </row>
    <row r="25" spans="1:11" ht="38.25">
      <c r="A25" s="551" t="s">
        <v>643</v>
      </c>
      <c r="B25" s="590"/>
      <c r="C25" s="739"/>
      <c r="D25" s="739"/>
      <c r="E25" s="739"/>
      <c r="F25" s="739"/>
      <c r="G25" s="739"/>
      <c r="H25" s="739"/>
      <c r="I25" s="739"/>
      <c r="J25" s="590">
        <f>SUM(B25:I25)</f>
        <v>0</v>
      </c>
      <c r="K25" s="583"/>
    </row>
    <row r="26" spans="1:11" ht="21.75" customHeight="1">
      <c r="A26" s="551" t="s">
        <v>644</v>
      </c>
      <c r="B26" s="590"/>
      <c r="C26" s="739"/>
      <c r="D26" s="739"/>
      <c r="E26" s="739"/>
      <c r="F26" s="739"/>
      <c r="G26" s="739"/>
      <c r="H26" s="739"/>
      <c r="I26" s="739"/>
      <c r="J26" s="590">
        <f>SUM(B26:I26)</f>
        <v>0</v>
      </c>
      <c r="K26" s="583"/>
    </row>
    <row r="27" spans="1:11" s="226" customFormat="1" ht="22.5" customHeight="1">
      <c r="A27" s="551" t="s">
        <v>319</v>
      </c>
      <c r="B27" s="591">
        <f aca="true" t="shared" si="1" ref="B27:H27">SUM(B23:B26)</f>
        <v>898526.67</v>
      </c>
      <c r="C27" s="612">
        <f t="shared" si="1"/>
        <v>0</v>
      </c>
      <c r="D27" s="612">
        <f t="shared" si="1"/>
        <v>0</v>
      </c>
      <c r="E27" s="612">
        <f t="shared" si="1"/>
        <v>0</v>
      </c>
      <c r="F27" s="612">
        <f t="shared" si="1"/>
        <v>-90969.62</v>
      </c>
      <c r="G27" s="612">
        <f t="shared" si="1"/>
        <v>0</v>
      </c>
      <c r="H27" s="612">
        <f t="shared" si="1"/>
        <v>0</v>
      </c>
      <c r="I27" s="612">
        <f>SUM(I23:I26)</f>
        <v>0</v>
      </c>
      <c r="J27" s="612">
        <f>SUM(J23:J26)</f>
        <v>807557.05</v>
      </c>
      <c r="K27" s="588"/>
    </row>
    <row r="28" spans="1:13" ht="20.25" customHeight="1" thickBot="1">
      <c r="A28" s="553" t="s">
        <v>645</v>
      </c>
      <c r="B28" s="592">
        <f>+J18</f>
        <v>56669.03</v>
      </c>
      <c r="C28" s="740"/>
      <c r="D28" s="740"/>
      <c r="E28" s="740"/>
      <c r="F28" s="740"/>
      <c r="G28" s="740"/>
      <c r="H28" s="740"/>
      <c r="I28" s="740"/>
      <c r="J28" s="592">
        <f>SUM(B28:I28)</f>
        <v>56669.03</v>
      </c>
      <c r="K28" s="589"/>
      <c r="M28" s="225"/>
    </row>
    <row r="30" spans="1:11" s="900" customFormat="1" ht="12.75" hidden="1">
      <c r="A30" s="898" t="s">
        <v>646</v>
      </c>
      <c r="B30" s="899"/>
      <c r="K30" s="901"/>
    </row>
    <row r="31" spans="1:11" s="900" customFormat="1" ht="12.75" hidden="1">
      <c r="A31" s="1036" t="s">
        <v>647</v>
      </c>
      <c r="B31" s="1036"/>
      <c r="C31" s="1036"/>
      <c r="D31" s="1036"/>
      <c r="E31" s="1036"/>
      <c r="F31" s="1036"/>
      <c r="G31" s="1036"/>
      <c r="H31" s="1036"/>
      <c r="I31" s="1036"/>
      <c r="J31" s="1036"/>
      <c r="K31" s="1036"/>
    </row>
    <row r="32" spans="1:11" s="900" customFormat="1" ht="12.75" hidden="1">
      <c r="A32" s="1036" t="s">
        <v>648</v>
      </c>
      <c r="B32" s="1036"/>
      <c r="C32" s="1036"/>
      <c r="D32" s="1036"/>
      <c r="E32" s="1036"/>
      <c r="F32" s="1036"/>
      <c r="G32" s="1036"/>
      <c r="H32" s="1036"/>
      <c r="I32" s="1036"/>
      <c r="J32" s="1036"/>
      <c r="K32" s="1036"/>
    </row>
    <row r="33" spans="1:11" s="900" customFormat="1" ht="12.75" hidden="1">
      <c r="A33" s="1036" t="s">
        <v>653</v>
      </c>
      <c r="B33" s="1036"/>
      <c r="C33" s="1036"/>
      <c r="D33" s="1036"/>
      <c r="E33" s="1036"/>
      <c r="F33" s="1036"/>
      <c r="G33" s="1036"/>
      <c r="H33" s="1036"/>
      <c r="I33" s="1036"/>
      <c r="J33" s="1036"/>
      <c r="K33" s="1036"/>
    </row>
    <row r="34" spans="1:11" s="900" customFormat="1" ht="12.75" hidden="1">
      <c r="A34" s="1036" t="s">
        <v>654</v>
      </c>
      <c r="B34" s="1036"/>
      <c r="C34" s="1036"/>
      <c r="D34" s="1036"/>
      <c r="E34" s="1036"/>
      <c r="F34" s="1036"/>
      <c r="G34" s="1036"/>
      <c r="H34" s="1036"/>
      <c r="I34" s="1036"/>
      <c r="J34" s="1036"/>
      <c r="K34" s="1036"/>
    </row>
    <row r="35" spans="1:11" s="900" customFormat="1" ht="12.75" hidden="1">
      <c r="A35" s="1036" t="s">
        <v>670</v>
      </c>
      <c r="B35" s="1036"/>
      <c r="C35" s="1036"/>
      <c r="D35" s="1036"/>
      <c r="E35" s="1036"/>
      <c r="F35" s="1036"/>
      <c r="G35" s="1036"/>
      <c r="H35" s="1036"/>
      <c r="I35" s="1036"/>
      <c r="J35" s="1036"/>
      <c r="K35" s="1036"/>
    </row>
    <row r="36" spans="1:11" s="900" customFormat="1" ht="12.75" hidden="1">
      <c r="A36" s="1036" t="s">
        <v>671</v>
      </c>
      <c r="B36" s="1036"/>
      <c r="C36" s="1036"/>
      <c r="D36" s="1036"/>
      <c r="E36" s="1036"/>
      <c r="F36" s="1036"/>
      <c r="G36" s="1036"/>
      <c r="H36" s="1036"/>
      <c r="I36" s="1036"/>
      <c r="J36" s="1036"/>
      <c r="K36" s="1036"/>
    </row>
    <row r="37" spans="1:11" s="900" customFormat="1" ht="12.75" hidden="1">
      <c r="A37" s="1036" t="s">
        <v>672</v>
      </c>
      <c r="B37" s="1036"/>
      <c r="C37" s="1036"/>
      <c r="D37" s="1036"/>
      <c r="E37" s="1036"/>
      <c r="F37" s="1036"/>
      <c r="G37" s="1036"/>
      <c r="H37" s="1036"/>
      <c r="I37" s="1036"/>
      <c r="J37" s="1036"/>
      <c r="K37" s="1036"/>
    </row>
    <row r="38" spans="1:11" s="900" customFormat="1" ht="12.75" hidden="1">
      <c r="A38" s="1036" t="s">
        <v>681</v>
      </c>
      <c r="B38" s="1036"/>
      <c r="C38" s="1036"/>
      <c r="D38" s="1036"/>
      <c r="E38" s="1036"/>
      <c r="F38" s="1036"/>
      <c r="G38" s="1036"/>
      <c r="H38" s="1036"/>
      <c r="I38" s="1036"/>
      <c r="J38" s="1036"/>
      <c r="K38" s="1036"/>
    </row>
    <row r="39" spans="1:11" s="900" customFormat="1" ht="12.75" hidden="1">
      <c r="A39" s="1036" t="s">
        <v>682</v>
      </c>
      <c r="B39" s="1036"/>
      <c r="C39" s="1036"/>
      <c r="D39" s="1036"/>
      <c r="E39" s="1036"/>
      <c r="F39" s="1036"/>
      <c r="G39" s="1036"/>
      <c r="H39" s="1036"/>
      <c r="I39" s="1036"/>
      <c r="J39" s="1036"/>
      <c r="K39" s="1036"/>
    </row>
    <row r="40" spans="1:11" s="900" customFormat="1" ht="12.75" hidden="1">
      <c r="A40" s="1036" t="s">
        <v>684</v>
      </c>
      <c r="B40" s="1036"/>
      <c r="C40" s="1036"/>
      <c r="D40" s="1036"/>
      <c r="E40" s="1036"/>
      <c r="F40" s="1036"/>
      <c r="G40" s="1036"/>
      <c r="H40" s="1036"/>
      <c r="I40" s="1036"/>
      <c r="J40" s="1036"/>
      <c r="K40" s="1036"/>
    </row>
    <row r="41" s="900" customFormat="1" ht="12.75" hidden="1"/>
    <row r="42" s="900" customFormat="1" ht="12.75" hidden="1"/>
    <row r="43" s="900" customFormat="1" ht="12.75" hidden="1"/>
    <row r="44" s="900" customFormat="1" ht="12.75" hidden="1"/>
    <row r="45" s="900" customFormat="1" ht="12.75" hidden="1"/>
  </sheetData>
  <sheetProtection formatColumns="0" formatRows="0"/>
  <mergeCells count="27">
    <mergeCell ref="A33:K33"/>
    <mergeCell ref="A38:K38"/>
    <mergeCell ref="A32:K32"/>
    <mergeCell ref="A40:K40"/>
    <mergeCell ref="A34:K34"/>
    <mergeCell ref="A35:K35"/>
    <mergeCell ref="A36:K36"/>
    <mergeCell ref="A37:K37"/>
    <mergeCell ref="A39:K39"/>
    <mergeCell ref="J8:K8"/>
    <mergeCell ref="A22:K22"/>
    <mergeCell ref="A31:K31"/>
    <mergeCell ref="A20:A21"/>
    <mergeCell ref="B20:B21"/>
    <mergeCell ref="D20:I20"/>
    <mergeCell ref="J20:J21"/>
    <mergeCell ref="K20:K21"/>
    <mergeCell ref="A7:I7"/>
    <mergeCell ref="J7:K7"/>
    <mergeCell ref="A9:K9"/>
    <mergeCell ref="A12:K12"/>
    <mergeCell ref="A10:A11"/>
    <mergeCell ref="B10:B11"/>
    <mergeCell ref="D10:I10"/>
    <mergeCell ref="J10:J11"/>
    <mergeCell ref="K10:K11"/>
    <mergeCell ref="A8:I8"/>
  </mergeCells>
  <printOptions horizontalCentered="1" verticalCentered="1"/>
  <pageMargins left="0.7480314960629921" right="0.2362204724409449" top="0.54" bottom="0.85" header="0" footer="0"/>
  <pageSetup horizontalDpi="600" verticalDpi="6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0"/>
  <sheetViews>
    <sheetView zoomScale="55" zoomScaleNormal="55" zoomScalePageLayoutView="0" workbookViewId="0" topLeftCell="A1">
      <selection activeCell="D4" sqref="D4"/>
    </sheetView>
  </sheetViews>
  <sheetFormatPr defaultColWidth="11.421875" defaultRowHeight="12.75"/>
  <cols>
    <col min="1" max="1" width="1.8515625" style="133" customWidth="1"/>
    <col min="2" max="2" width="28.7109375" style="133" customWidth="1"/>
    <col min="3" max="3" width="30.7109375" style="133" customWidth="1"/>
    <col min="4" max="4" width="23.00390625" style="133" bestFit="1" customWidth="1"/>
    <col min="5" max="5" width="16.57421875" style="133" customWidth="1"/>
    <col min="6" max="6" width="25.421875" style="133" hidden="1" customWidth="1"/>
    <col min="7" max="7" width="20.28125" style="133" customWidth="1"/>
    <col min="8" max="8" width="22.00390625" style="133" bestFit="1" customWidth="1"/>
    <col min="9" max="9" width="23.00390625" style="133" bestFit="1" customWidth="1"/>
    <col min="10" max="11" width="20.421875" style="133" customWidth="1"/>
    <col min="12" max="12" width="17.7109375" style="133" customWidth="1"/>
    <col min="13" max="16384" width="11.421875" style="133" customWidth="1"/>
  </cols>
  <sheetData>
    <row r="1" spans="2:6" ht="15">
      <c r="B1" s="819"/>
      <c r="C1" s="819"/>
      <c r="D1" s="820" t="s">
        <v>674</v>
      </c>
      <c r="E1" s="830"/>
      <c r="F1" s="822"/>
    </row>
    <row r="2" spans="2:6" ht="14.25">
      <c r="B2" s="819"/>
      <c r="C2" s="819"/>
      <c r="D2" s="821" t="s">
        <v>675</v>
      </c>
      <c r="E2" s="830"/>
      <c r="F2" s="822"/>
    </row>
    <row r="3" spans="2:6" ht="14.25">
      <c r="B3" s="819"/>
      <c r="C3" s="821"/>
      <c r="D3" s="819"/>
      <c r="E3" s="819"/>
      <c r="F3" s="822"/>
    </row>
    <row r="4" spans="2:6" ht="15">
      <c r="B4" s="819" t="s">
        <v>525</v>
      </c>
      <c r="C4" s="819"/>
      <c r="D4" s="824">
        <v>42339</v>
      </c>
      <c r="E4" s="830"/>
      <c r="F4" s="822"/>
    </row>
    <row r="5" spans="2:6" ht="15">
      <c r="B5" s="819" t="s">
        <v>673</v>
      </c>
      <c r="C5" s="819"/>
      <c r="D5" s="823" t="s">
        <v>676</v>
      </c>
      <c r="E5" s="830"/>
      <c r="F5" s="822"/>
    </row>
    <row r="6" ht="20.25" customHeight="1" thickBot="1"/>
    <row r="7" spans="1:12" s="223" customFormat="1" ht="42" customHeight="1" thickBot="1">
      <c r="A7" s="1066" t="s">
        <v>388</v>
      </c>
      <c r="B7" s="1067"/>
      <c r="C7" s="1067"/>
      <c r="D7" s="1067"/>
      <c r="E7" s="1067"/>
      <c r="F7" s="1067"/>
      <c r="G7" s="1067"/>
      <c r="H7" s="1067"/>
      <c r="I7" s="1067"/>
      <c r="J7" s="1068"/>
      <c r="K7" s="1074">
        <f>CPYG!D7</f>
        <v>2016</v>
      </c>
      <c r="L7" s="1075"/>
    </row>
    <row r="8" spans="1:12" ht="35.25" customHeight="1" thickBot="1">
      <c r="A8" s="1069" t="str">
        <f>CPYG!A8</f>
        <v>SPET, TURISMO DE TENERIFE, S.A.</v>
      </c>
      <c r="B8" s="1070"/>
      <c r="C8" s="1070"/>
      <c r="D8" s="1070"/>
      <c r="E8" s="1070"/>
      <c r="F8" s="1070"/>
      <c r="G8" s="1070"/>
      <c r="H8" s="1070"/>
      <c r="I8" s="1070"/>
      <c r="J8" s="1071"/>
      <c r="K8" s="1072" t="s">
        <v>376</v>
      </c>
      <c r="L8" s="1073"/>
    </row>
    <row r="9" spans="1:12" ht="18" customHeight="1">
      <c r="A9" s="1052" t="s">
        <v>669</v>
      </c>
      <c r="B9" s="1053"/>
      <c r="C9" s="1053"/>
      <c r="D9" s="1053"/>
      <c r="E9" s="1053"/>
      <c r="F9" s="1053"/>
      <c r="G9" s="1053"/>
      <c r="H9" s="1053"/>
      <c r="I9" s="1053"/>
      <c r="J9" s="1053"/>
      <c r="K9" s="1053"/>
      <c r="L9" s="1054"/>
    </row>
    <row r="10" spans="1:12" s="230" customFormat="1" ht="22.5" customHeight="1">
      <c r="A10" s="1043" t="s">
        <v>381</v>
      </c>
      <c r="B10" s="1044"/>
      <c r="C10" s="1044"/>
      <c r="D10" s="1044"/>
      <c r="E10" s="1044"/>
      <c r="F10" s="1044"/>
      <c r="G10" s="1044"/>
      <c r="H10" s="1044"/>
      <c r="I10" s="1044"/>
      <c r="J10" s="1044"/>
      <c r="K10" s="1044"/>
      <c r="L10" s="1045"/>
    </row>
    <row r="11" spans="1:12" ht="25.5" customHeight="1">
      <c r="A11" s="1059" t="s">
        <v>719</v>
      </c>
      <c r="B11" s="1060"/>
      <c r="C11" s="1046" t="s">
        <v>720</v>
      </c>
      <c r="D11" s="1046" t="s">
        <v>793</v>
      </c>
      <c r="E11" s="1046" t="s">
        <v>721</v>
      </c>
      <c r="F11" s="1046"/>
      <c r="G11" s="1046" t="s">
        <v>722</v>
      </c>
      <c r="H11" s="1046"/>
      <c r="I11" s="1047" t="s">
        <v>794</v>
      </c>
      <c r="J11" s="1047" t="s">
        <v>795</v>
      </c>
      <c r="K11" s="1047" t="s">
        <v>796</v>
      </c>
      <c r="L11" s="1055" t="s">
        <v>723</v>
      </c>
    </row>
    <row r="12" spans="1:12" ht="54" customHeight="1" thickBot="1">
      <c r="A12" s="1061"/>
      <c r="B12" s="1062"/>
      <c r="C12" s="1046"/>
      <c r="D12" s="1046"/>
      <c r="E12" s="229" t="s">
        <v>724</v>
      </c>
      <c r="F12" s="229" t="s">
        <v>725</v>
      </c>
      <c r="G12" s="229" t="s">
        <v>726</v>
      </c>
      <c r="H12" s="229" t="s">
        <v>727</v>
      </c>
      <c r="I12" s="1047"/>
      <c r="J12" s="1047"/>
      <c r="K12" s="1047"/>
      <c r="L12" s="1055"/>
    </row>
    <row r="13" spans="1:12" ht="21" customHeight="1" thickBot="1">
      <c r="A13" s="1063" t="s">
        <v>685</v>
      </c>
      <c r="B13" s="1064"/>
      <c r="C13" s="1064"/>
      <c r="D13" s="1064"/>
      <c r="E13" s="1064"/>
      <c r="F13" s="1064"/>
      <c r="G13" s="1064"/>
      <c r="H13" s="1064"/>
      <c r="I13" s="1064"/>
      <c r="J13" s="1064"/>
      <c r="K13" s="1064"/>
      <c r="L13" s="1065"/>
    </row>
    <row r="14" spans="1:12" ht="19.5" customHeight="1" thickBot="1">
      <c r="A14" s="1037" t="s">
        <v>162</v>
      </c>
      <c r="B14" s="1038"/>
      <c r="C14" s="562">
        <v>2500002</v>
      </c>
      <c r="D14" s="563">
        <v>110000</v>
      </c>
      <c r="E14" s="564"/>
      <c r="F14" s="564"/>
      <c r="G14" s="564"/>
      <c r="H14" s="565"/>
      <c r="I14" s="580">
        <f>SUM(D14:H14)</f>
        <v>110000</v>
      </c>
      <c r="J14" s="566">
        <v>0.41</v>
      </c>
      <c r="K14" s="567"/>
      <c r="L14" s="568"/>
    </row>
    <row r="15" spans="1:12" ht="19.5" customHeight="1" thickBot="1">
      <c r="A15" s="1039"/>
      <c r="B15" s="1040"/>
      <c r="C15" s="569"/>
      <c r="D15" s="564"/>
      <c r="E15" s="564"/>
      <c r="F15" s="564"/>
      <c r="G15" s="564"/>
      <c r="H15" s="564"/>
      <c r="I15" s="580">
        <f>SUM(D15:H15)</f>
        <v>0</v>
      </c>
      <c r="J15" s="570"/>
      <c r="K15" s="567"/>
      <c r="L15" s="568"/>
    </row>
    <row r="16" spans="1:12" ht="19.5" customHeight="1" thickBot="1">
      <c r="A16" s="1041"/>
      <c r="B16" s="1042"/>
      <c r="C16" s="569"/>
      <c r="D16" s="564"/>
      <c r="E16" s="564"/>
      <c r="F16" s="564"/>
      <c r="G16" s="564"/>
      <c r="H16" s="564"/>
      <c r="I16" s="580">
        <f>SUM(D16:H16)</f>
        <v>0</v>
      </c>
      <c r="J16" s="567"/>
      <c r="K16" s="567"/>
      <c r="L16" s="568"/>
    </row>
    <row r="17" spans="1:12" ht="19.5" customHeight="1" thickBot="1">
      <c r="A17" s="1041"/>
      <c r="B17" s="1042"/>
      <c r="C17" s="569"/>
      <c r="D17" s="564"/>
      <c r="E17" s="564"/>
      <c r="F17" s="564"/>
      <c r="G17" s="564"/>
      <c r="H17" s="564"/>
      <c r="I17" s="580">
        <f>SUM(D17:H17)</f>
        <v>0</v>
      </c>
      <c r="J17" s="567"/>
      <c r="K17" s="567"/>
      <c r="L17" s="568"/>
    </row>
    <row r="18" spans="1:12" ht="19.5" customHeight="1" thickBot="1">
      <c r="A18" s="1041"/>
      <c r="B18" s="1042"/>
      <c r="C18" s="569"/>
      <c r="D18" s="564"/>
      <c r="E18" s="564"/>
      <c r="F18" s="564"/>
      <c r="G18" s="564"/>
      <c r="H18" s="564"/>
      <c r="I18" s="580">
        <f>SUM(D18:H18)</f>
        <v>0</v>
      </c>
      <c r="J18" s="567"/>
      <c r="K18" s="567"/>
      <c r="L18" s="568"/>
    </row>
    <row r="19" spans="1:12" s="132" customFormat="1" ht="19.5" customHeight="1" thickBot="1">
      <c r="A19" s="1048" t="s">
        <v>319</v>
      </c>
      <c r="B19" s="1049"/>
      <c r="C19" s="571"/>
      <c r="D19" s="606">
        <f>SUM(D14:D18)</f>
        <v>110000</v>
      </c>
      <c r="E19" s="606">
        <f>SUM(E14:E18)</f>
        <v>0</v>
      </c>
      <c r="F19" s="607"/>
      <c r="G19" s="606">
        <f>SUM(G14:G18)</f>
        <v>0</v>
      </c>
      <c r="H19" s="606">
        <f>SUM(H14:H18)</f>
        <v>0</v>
      </c>
      <c r="I19" s="606">
        <f>SUM(I14:I18)</f>
        <v>110000</v>
      </c>
      <c r="J19" s="572"/>
      <c r="K19" s="608">
        <f>SUM(K14:K18)</f>
        <v>0</v>
      </c>
      <c r="L19" s="573"/>
    </row>
    <row r="20" spans="1:12" ht="19.5" customHeight="1" thickBot="1">
      <c r="A20" s="1056" t="s">
        <v>686</v>
      </c>
      <c r="B20" s="1057"/>
      <c r="C20" s="1057"/>
      <c r="D20" s="1057"/>
      <c r="E20" s="1057"/>
      <c r="F20" s="1057"/>
      <c r="G20" s="1057"/>
      <c r="H20" s="1057"/>
      <c r="I20" s="1057"/>
      <c r="J20" s="1057"/>
      <c r="K20" s="1057"/>
      <c r="L20" s="1058"/>
    </row>
    <row r="21" spans="1:12" ht="19.5" customHeight="1" thickBot="1">
      <c r="A21" s="1039"/>
      <c r="B21" s="1040"/>
      <c r="C21" s="569"/>
      <c r="D21" s="564"/>
      <c r="E21" s="564"/>
      <c r="F21" s="564"/>
      <c r="G21" s="564"/>
      <c r="H21" s="564"/>
      <c r="I21" s="580">
        <f>SUM(D21:H21)</f>
        <v>0</v>
      </c>
      <c r="J21" s="570"/>
      <c r="K21" s="567"/>
      <c r="L21" s="568"/>
    </row>
    <row r="22" spans="1:12" ht="19.5" customHeight="1" thickBot="1">
      <c r="A22" s="1039"/>
      <c r="B22" s="1040"/>
      <c r="C22" s="569"/>
      <c r="D22" s="564"/>
      <c r="E22" s="564"/>
      <c r="F22" s="564"/>
      <c r="G22" s="564"/>
      <c r="H22" s="564"/>
      <c r="I22" s="580">
        <f>SUM(D22:H22)</f>
        <v>0</v>
      </c>
      <c r="J22" s="570"/>
      <c r="K22" s="567"/>
      <c r="L22" s="568"/>
    </row>
    <row r="23" spans="1:12" ht="19.5" customHeight="1" thickBot="1">
      <c r="A23" s="1039"/>
      <c r="B23" s="1040"/>
      <c r="C23" s="569"/>
      <c r="D23" s="564"/>
      <c r="E23" s="564"/>
      <c r="F23" s="564"/>
      <c r="G23" s="564"/>
      <c r="H23" s="564"/>
      <c r="I23" s="580">
        <f>SUM(D23:H23)</f>
        <v>0</v>
      </c>
      <c r="J23" s="570"/>
      <c r="K23" s="567"/>
      <c r="L23" s="568"/>
    </row>
    <row r="24" spans="1:12" ht="19.5" customHeight="1" thickBot="1">
      <c r="A24" s="1039"/>
      <c r="B24" s="1040"/>
      <c r="C24" s="569"/>
      <c r="D24" s="564"/>
      <c r="E24" s="564"/>
      <c r="F24" s="564"/>
      <c r="G24" s="564"/>
      <c r="H24" s="564"/>
      <c r="I24" s="580">
        <f>SUM(D24:H24)</f>
        <v>0</v>
      </c>
      <c r="J24" s="570"/>
      <c r="K24" s="567"/>
      <c r="L24" s="568"/>
    </row>
    <row r="25" spans="1:12" ht="19.5" customHeight="1" thickBot="1">
      <c r="A25" s="1041"/>
      <c r="B25" s="1042"/>
      <c r="C25" s="569"/>
      <c r="D25" s="564"/>
      <c r="E25" s="564"/>
      <c r="F25" s="564"/>
      <c r="G25" s="564"/>
      <c r="H25" s="564"/>
      <c r="I25" s="580">
        <f>SUM(D25:H25)</f>
        <v>0</v>
      </c>
      <c r="J25" s="570"/>
      <c r="K25" s="567"/>
      <c r="L25" s="568"/>
    </row>
    <row r="26" spans="1:12" s="132" customFormat="1" ht="19.5" customHeight="1" thickBot="1">
      <c r="A26" s="1048" t="s">
        <v>319</v>
      </c>
      <c r="B26" s="1049"/>
      <c r="C26" s="571"/>
      <c r="D26" s="606">
        <f>SUM(D21:D25)</f>
        <v>0</v>
      </c>
      <c r="E26" s="606">
        <f>SUM(E21:E25)</f>
        <v>0</v>
      </c>
      <c r="F26" s="607"/>
      <c r="G26" s="606">
        <f>SUM(G21:G25)</f>
        <v>0</v>
      </c>
      <c r="H26" s="606">
        <f>SUM(H21:H25)</f>
        <v>0</v>
      </c>
      <c r="I26" s="606">
        <f>SUM(I22:I25)</f>
        <v>0</v>
      </c>
      <c r="J26" s="572"/>
      <c r="K26" s="608">
        <f>SUM(K21:K25)</f>
        <v>0</v>
      </c>
      <c r="L26" s="573"/>
    </row>
    <row r="27" spans="1:12" ht="12.75">
      <c r="A27" s="231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232"/>
    </row>
    <row r="28" spans="1:12" ht="18" customHeight="1">
      <c r="A28" s="1043" t="s">
        <v>383</v>
      </c>
      <c r="B28" s="1044"/>
      <c r="C28" s="1044"/>
      <c r="D28" s="1044"/>
      <c r="E28" s="1044"/>
      <c r="F28" s="1044"/>
      <c r="G28" s="1044"/>
      <c r="H28" s="1044"/>
      <c r="I28" s="1044"/>
      <c r="J28" s="1044"/>
      <c r="K28" s="1044"/>
      <c r="L28" s="1045"/>
    </row>
    <row r="29" spans="1:12" s="230" customFormat="1" ht="22.5" customHeight="1">
      <c r="A29" s="1043" t="s">
        <v>50</v>
      </c>
      <c r="B29" s="1044"/>
      <c r="C29" s="1044"/>
      <c r="D29" s="1044"/>
      <c r="E29" s="1044"/>
      <c r="F29" s="1044"/>
      <c r="G29" s="1044"/>
      <c r="H29" s="1044"/>
      <c r="I29" s="1044"/>
      <c r="J29" s="1044"/>
      <c r="K29" s="1044"/>
      <c r="L29" s="1045"/>
    </row>
    <row r="30" spans="1:12" ht="25.5" customHeight="1">
      <c r="A30" s="1059" t="s">
        <v>719</v>
      </c>
      <c r="B30" s="1060"/>
      <c r="C30" s="1046" t="s">
        <v>720</v>
      </c>
      <c r="D30" s="1046" t="s">
        <v>793</v>
      </c>
      <c r="E30" s="1046" t="s">
        <v>721</v>
      </c>
      <c r="F30" s="1046"/>
      <c r="G30" s="1046" t="s">
        <v>722</v>
      </c>
      <c r="H30" s="1046"/>
      <c r="I30" s="1047" t="s">
        <v>794</v>
      </c>
      <c r="J30" s="1047" t="s">
        <v>797</v>
      </c>
      <c r="K30" s="1047" t="s">
        <v>796</v>
      </c>
      <c r="L30" s="1055" t="s">
        <v>386</v>
      </c>
    </row>
    <row r="31" spans="1:12" ht="54" customHeight="1" thickBot="1">
      <c r="A31" s="1061"/>
      <c r="B31" s="1062"/>
      <c r="C31" s="1046"/>
      <c r="D31" s="1046"/>
      <c r="E31" s="229" t="s">
        <v>724</v>
      </c>
      <c r="F31" s="229" t="s">
        <v>725</v>
      </c>
      <c r="G31" s="229" t="s">
        <v>726</v>
      </c>
      <c r="H31" s="229" t="s">
        <v>727</v>
      </c>
      <c r="I31" s="1047"/>
      <c r="J31" s="1047"/>
      <c r="K31" s="1047"/>
      <c r="L31" s="1055"/>
    </row>
    <row r="32" spans="1:12" ht="13.5" thickBot="1">
      <c r="A32" s="1063" t="s">
        <v>384</v>
      </c>
      <c r="B32" s="1064"/>
      <c r="C32" s="1064"/>
      <c r="D32" s="1064"/>
      <c r="E32" s="1064"/>
      <c r="F32" s="1064"/>
      <c r="G32" s="1064"/>
      <c r="H32" s="1064"/>
      <c r="I32" s="1064"/>
      <c r="J32" s="1064"/>
      <c r="K32" s="1064"/>
      <c r="L32" s="1065"/>
    </row>
    <row r="33" spans="1:12" s="134" customFormat="1" ht="19.5" customHeight="1" thickBot="1">
      <c r="A33" s="1037" t="s">
        <v>163</v>
      </c>
      <c r="B33" s="1038"/>
      <c r="C33" s="562">
        <v>2500001</v>
      </c>
      <c r="D33" s="563">
        <v>1500</v>
      </c>
      <c r="E33" s="569"/>
      <c r="F33" s="569"/>
      <c r="G33" s="569"/>
      <c r="H33" s="565"/>
      <c r="I33" s="580">
        <f>SUM(D33:H33)</f>
        <v>1500</v>
      </c>
      <c r="J33" s="566"/>
      <c r="K33" s="567"/>
      <c r="L33" s="568"/>
    </row>
    <row r="34" spans="1:12" s="134" customFormat="1" ht="19.5" customHeight="1" thickBot="1">
      <c r="A34" s="1037"/>
      <c r="B34" s="1038"/>
      <c r="C34" s="562"/>
      <c r="D34" s="563"/>
      <c r="E34" s="569"/>
      <c r="F34" s="569"/>
      <c r="G34" s="569"/>
      <c r="H34" s="565"/>
      <c r="I34" s="580">
        <f>SUM(D34:H34)</f>
        <v>0</v>
      </c>
      <c r="J34" s="566"/>
      <c r="K34" s="567"/>
      <c r="L34" s="568"/>
    </row>
    <row r="35" spans="1:12" s="134" customFormat="1" ht="19.5" customHeight="1" thickBot="1">
      <c r="A35" s="1037"/>
      <c r="B35" s="1038"/>
      <c r="C35" s="562"/>
      <c r="D35" s="563"/>
      <c r="E35" s="569"/>
      <c r="F35" s="569"/>
      <c r="G35" s="569"/>
      <c r="H35" s="565"/>
      <c r="I35" s="580">
        <f>SUM(D35:H35)</f>
        <v>0</v>
      </c>
      <c r="J35" s="566"/>
      <c r="K35" s="567"/>
      <c r="L35" s="568"/>
    </row>
    <row r="36" spans="1:12" s="134" customFormat="1" ht="19.5" customHeight="1" thickBot="1">
      <c r="A36" s="1039"/>
      <c r="B36" s="1040"/>
      <c r="C36" s="569"/>
      <c r="D36" s="565"/>
      <c r="E36" s="569"/>
      <c r="F36" s="569"/>
      <c r="G36" s="569"/>
      <c r="H36" s="569"/>
      <c r="I36" s="580">
        <f>SUM(D36:H36)</f>
        <v>0</v>
      </c>
      <c r="J36" s="570"/>
      <c r="K36" s="567"/>
      <c r="L36" s="568"/>
    </row>
    <row r="37" spans="1:12" s="134" customFormat="1" ht="19.5" customHeight="1" thickBot="1">
      <c r="A37" s="1041"/>
      <c r="B37" s="1042"/>
      <c r="C37" s="569"/>
      <c r="D37" s="565"/>
      <c r="E37" s="569"/>
      <c r="F37" s="569"/>
      <c r="G37" s="569"/>
      <c r="H37" s="569"/>
      <c r="I37" s="580">
        <f>SUM(D37:H37)</f>
        <v>0</v>
      </c>
      <c r="J37" s="567"/>
      <c r="K37" s="567"/>
      <c r="L37" s="568"/>
    </row>
    <row r="38" spans="1:12" s="132" customFormat="1" ht="19.5" customHeight="1" thickBot="1">
      <c r="A38" s="1048" t="s">
        <v>319</v>
      </c>
      <c r="B38" s="1049"/>
      <c r="C38" s="571"/>
      <c r="D38" s="606">
        <f>SUM(D33:D37)</f>
        <v>1500</v>
      </c>
      <c r="E38" s="606">
        <f>SUM(E33:E37)</f>
        <v>0</v>
      </c>
      <c r="F38" s="607"/>
      <c r="G38" s="606">
        <f>SUM(G33:G37)</f>
        <v>0</v>
      </c>
      <c r="H38" s="606">
        <f>SUM(H33:H37)</f>
        <v>0</v>
      </c>
      <c r="I38" s="606">
        <f>SUM(I33:I37)</f>
        <v>1500</v>
      </c>
      <c r="J38" s="572"/>
      <c r="K38" s="608">
        <f>SUM(K32:K37)</f>
        <v>0</v>
      </c>
      <c r="L38" s="573"/>
    </row>
    <row r="39" spans="1:12" s="134" customFormat="1" ht="19.5" customHeight="1" thickBot="1">
      <c r="A39" s="1056" t="s">
        <v>385</v>
      </c>
      <c r="B39" s="1057"/>
      <c r="C39" s="1057"/>
      <c r="D39" s="1057"/>
      <c r="E39" s="1057"/>
      <c r="F39" s="1057"/>
      <c r="G39" s="1057"/>
      <c r="H39" s="1057"/>
      <c r="I39" s="1057"/>
      <c r="J39" s="1057"/>
      <c r="K39" s="1057"/>
      <c r="L39" s="1058"/>
    </row>
    <row r="40" spans="1:12" s="134" customFormat="1" ht="19.5" customHeight="1" thickBot="1">
      <c r="A40" s="1039" t="s">
        <v>164</v>
      </c>
      <c r="B40" s="1040"/>
      <c r="C40" s="562">
        <v>2600001</v>
      </c>
      <c r="D40" s="564">
        <v>826</v>
      </c>
      <c r="E40" s="569"/>
      <c r="F40" s="569"/>
      <c r="G40" s="565"/>
      <c r="H40" s="569"/>
      <c r="I40" s="580">
        <f>SUM(D40:H40)</f>
        <v>826</v>
      </c>
      <c r="J40" s="567"/>
      <c r="K40" s="567"/>
      <c r="L40" s="568"/>
    </row>
    <row r="41" spans="1:12" s="134" customFormat="1" ht="19.5" customHeight="1" thickBot="1">
      <c r="A41" s="1039" t="s">
        <v>165</v>
      </c>
      <c r="B41" s="1040"/>
      <c r="C41" s="562">
        <v>2600003</v>
      </c>
      <c r="D41" s="564">
        <v>4240</v>
      </c>
      <c r="E41" s="565"/>
      <c r="F41" s="569"/>
      <c r="G41" s="565"/>
      <c r="H41" s="569"/>
      <c r="I41" s="580">
        <f>SUM(D41:H41)</f>
        <v>4240</v>
      </c>
      <c r="J41" s="567"/>
      <c r="K41" s="567"/>
      <c r="L41" s="568"/>
    </row>
    <row r="42" spans="1:12" s="134" customFormat="1" ht="19.5" customHeight="1" thickBot="1">
      <c r="A42" s="1039" t="s">
        <v>166</v>
      </c>
      <c r="B42" s="1040"/>
      <c r="C42" s="562">
        <v>2600005</v>
      </c>
      <c r="D42" s="564">
        <v>300</v>
      </c>
      <c r="E42" s="569"/>
      <c r="F42" s="569"/>
      <c r="G42" s="569"/>
      <c r="H42" s="569"/>
      <c r="I42" s="580">
        <f>SUM(D42:H42)</f>
        <v>300</v>
      </c>
      <c r="J42" s="567"/>
      <c r="K42" s="567"/>
      <c r="L42" s="568"/>
    </row>
    <row r="43" spans="1:12" s="134" customFormat="1" ht="19.5" customHeight="1" thickBot="1">
      <c r="A43" s="1039"/>
      <c r="B43" s="1040"/>
      <c r="C43" s="569"/>
      <c r="D43" s="564"/>
      <c r="E43" s="569"/>
      <c r="F43" s="569"/>
      <c r="G43" s="569"/>
      <c r="H43" s="569"/>
      <c r="I43" s="580">
        <f>SUM(D43:H43)</f>
        <v>0</v>
      </c>
      <c r="J43" s="567"/>
      <c r="K43" s="567"/>
      <c r="L43" s="568"/>
    </row>
    <row r="44" spans="1:12" s="134" customFormat="1" ht="19.5" customHeight="1" thickBot="1">
      <c r="A44" s="1041"/>
      <c r="B44" s="1042"/>
      <c r="C44" s="569"/>
      <c r="D44" s="564"/>
      <c r="E44" s="574"/>
      <c r="F44" s="574"/>
      <c r="G44" s="574"/>
      <c r="H44" s="574"/>
      <c r="I44" s="580">
        <f>SUM(D44:H44)</f>
        <v>0</v>
      </c>
      <c r="J44" s="575"/>
      <c r="K44" s="575"/>
      <c r="L44" s="576"/>
    </row>
    <row r="45" spans="1:12" s="132" customFormat="1" ht="19.5" customHeight="1" thickBot="1">
      <c r="A45" s="1050" t="s">
        <v>319</v>
      </c>
      <c r="B45" s="1051"/>
      <c r="C45" s="577"/>
      <c r="D45" s="609">
        <f>SUM(D40:D44)</f>
        <v>5366</v>
      </c>
      <c r="E45" s="609">
        <f>SUM(E40:E44)</f>
        <v>0</v>
      </c>
      <c r="F45" s="610"/>
      <c r="G45" s="609">
        <f>SUM(G40:G44)</f>
        <v>0</v>
      </c>
      <c r="H45" s="609">
        <f>SUM(H40:H44)</f>
        <v>0</v>
      </c>
      <c r="I45" s="609">
        <f>SUM(I40:I44)</f>
        <v>5366</v>
      </c>
      <c r="J45" s="578"/>
      <c r="K45" s="611">
        <f>SUM(K40:K44)</f>
        <v>0</v>
      </c>
      <c r="L45" s="579"/>
    </row>
    <row r="48" spans="1:12" s="866" customFormat="1" ht="12.75" hidden="1">
      <c r="A48" s="1077" t="s">
        <v>646</v>
      </c>
      <c r="B48" s="1077"/>
      <c r="C48" s="1077"/>
      <c r="D48" s="1077"/>
      <c r="E48" s="1077"/>
      <c r="F48" s="1077"/>
      <c r="G48" s="1077"/>
      <c r="H48" s="1077"/>
      <c r="I48" s="1077"/>
      <c r="J48" s="1077"/>
      <c r="K48" s="1077"/>
      <c r="L48" s="1077"/>
    </row>
    <row r="49" spans="1:12" s="866" customFormat="1" ht="12.75" hidden="1">
      <c r="A49" s="1076" t="s">
        <v>687</v>
      </c>
      <c r="B49" s="1076"/>
      <c r="C49" s="1076"/>
      <c r="D49" s="1076"/>
      <c r="E49" s="1076"/>
      <c r="F49" s="1076"/>
      <c r="G49" s="1076"/>
      <c r="H49" s="1076"/>
      <c r="I49" s="1076"/>
      <c r="J49" s="1076"/>
      <c r="K49" s="1076"/>
      <c r="L49" s="1076"/>
    </row>
    <row r="50" spans="1:12" s="866" customFormat="1" ht="12.75" hidden="1">
      <c r="A50" s="1076" t="s">
        <v>382</v>
      </c>
      <c r="B50" s="1076"/>
      <c r="C50" s="1076"/>
      <c r="D50" s="1076"/>
      <c r="E50" s="1076"/>
      <c r="F50" s="1076"/>
      <c r="G50" s="1076"/>
      <c r="H50" s="1076"/>
      <c r="I50" s="1076"/>
      <c r="J50" s="1076"/>
      <c r="K50" s="1076"/>
      <c r="L50" s="1076"/>
    </row>
    <row r="51" spans="1:12" s="866" customFormat="1" ht="12.75" hidden="1">
      <c r="A51" s="1076" t="s">
        <v>688</v>
      </c>
      <c r="B51" s="1076"/>
      <c r="C51" s="1076"/>
      <c r="D51" s="1076"/>
      <c r="E51" s="1076"/>
      <c r="F51" s="1076"/>
      <c r="G51" s="1076"/>
      <c r="H51" s="1076"/>
      <c r="I51" s="1076"/>
      <c r="J51" s="1076"/>
      <c r="K51" s="1076"/>
      <c r="L51" s="1076"/>
    </row>
    <row r="52" spans="1:12" s="866" customFormat="1" ht="12.75" hidden="1">
      <c r="A52" s="1076" t="s">
        <v>689</v>
      </c>
      <c r="B52" s="1076"/>
      <c r="C52" s="1076"/>
      <c r="D52" s="1076"/>
      <c r="E52" s="1076"/>
      <c r="F52" s="1076"/>
      <c r="G52" s="1076"/>
      <c r="H52" s="1076"/>
      <c r="I52" s="1076"/>
      <c r="J52" s="1076"/>
      <c r="K52" s="1076"/>
      <c r="L52" s="1076"/>
    </row>
    <row r="53" spans="1:12" s="866" customFormat="1" ht="12.75" hidden="1">
      <c r="A53" s="1076" t="s">
        <v>690</v>
      </c>
      <c r="B53" s="1076"/>
      <c r="C53" s="1076"/>
      <c r="D53" s="1076"/>
      <c r="E53" s="1076"/>
      <c r="F53" s="1076"/>
      <c r="G53" s="1076"/>
      <c r="H53" s="1076"/>
      <c r="I53" s="1076"/>
      <c r="J53" s="1076"/>
      <c r="K53" s="1076"/>
      <c r="L53" s="1076"/>
    </row>
    <row r="54" spans="1:12" s="866" customFormat="1" ht="12.75" hidden="1">
      <c r="A54" s="1076" t="s">
        <v>611</v>
      </c>
      <c r="B54" s="1076"/>
      <c r="C54" s="1076"/>
      <c r="D54" s="1076"/>
      <c r="E54" s="1076"/>
      <c r="F54" s="1076"/>
      <c r="G54" s="1076"/>
      <c r="H54" s="1076"/>
      <c r="I54" s="1076"/>
      <c r="J54" s="1076"/>
      <c r="K54" s="1076"/>
      <c r="L54" s="1076"/>
    </row>
    <row r="55" spans="1:12" s="866" customFormat="1" ht="12.75" hidden="1">
      <c r="A55" s="1076" t="s">
        <v>612</v>
      </c>
      <c r="B55" s="1076"/>
      <c r="C55" s="1076"/>
      <c r="D55" s="1076"/>
      <c r="E55" s="1076"/>
      <c r="F55" s="1076"/>
      <c r="G55" s="1076"/>
      <c r="H55" s="1076"/>
      <c r="I55" s="1076"/>
      <c r="J55" s="1076"/>
      <c r="K55" s="1076"/>
      <c r="L55" s="1076"/>
    </row>
    <row r="56" spans="1:12" s="866" customFormat="1" ht="12.75" hidden="1">
      <c r="A56" s="1076" t="s">
        <v>387</v>
      </c>
      <c r="B56" s="1076"/>
      <c r="C56" s="1076"/>
      <c r="D56" s="1076"/>
      <c r="E56" s="1076"/>
      <c r="F56" s="1076"/>
      <c r="G56" s="1076"/>
      <c r="H56" s="1076"/>
      <c r="I56" s="1076"/>
      <c r="J56" s="1076"/>
      <c r="K56" s="1076"/>
      <c r="L56" s="1076"/>
    </row>
    <row r="57" spans="1:12" s="866" customFormat="1" ht="12.75" hidden="1">
      <c r="A57" s="1076" t="s">
        <v>613</v>
      </c>
      <c r="B57" s="1076"/>
      <c r="C57" s="1076"/>
      <c r="D57" s="1076"/>
      <c r="E57" s="1076"/>
      <c r="F57" s="1076"/>
      <c r="G57" s="1076"/>
      <c r="H57" s="1076"/>
      <c r="I57" s="1076"/>
      <c r="J57" s="1076"/>
      <c r="K57" s="1076"/>
      <c r="L57" s="1076"/>
    </row>
    <row r="58" spans="1:12" s="866" customFormat="1" ht="12.75" hidden="1">
      <c r="A58" s="1076" t="s">
        <v>614</v>
      </c>
      <c r="B58" s="1076"/>
      <c r="C58" s="1076"/>
      <c r="D58" s="1076"/>
      <c r="E58" s="1076"/>
      <c r="F58" s="1076"/>
      <c r="G58" s="1076"/>
      <c r="H58" s="1076"/>
      <c r="I58" s="1076"/>
      <c r="J58" s="1076"/>
      <c r="K58" s="1076"/>
      <c r="L58" s="1076"/>
    </row>
    <row r="59" spans="3:7" s="866" customFormat="1" ht="12.75" hidden="1">
      <c r="C59" s="866" t="s">
        <v>261</v>
      </c>
      <c r="D59" s="902">
        <f>+ACTIVO!B25</f>
        <v>0</v>
      </c>
      <c r="E59" s="902">
        <f>+ACTIVO!C25</f>
        <v>0</v>
      </c>
      <c r="F59" s="902">
        <f>+ACTIVO!D25</f>
        <v>0</v>
      </c>
      <c r="G59" s="902">
        <f>+ACTIVO!D25</f>
        <v>0</v>
      </c>
    </row>
    <row r="60" spans="3:7" s="866" customFormat="1" ht="12.75" hidden="1">
      <c r="C60" s="903" t="s">
        <v>262</v>
      </c>
      <c r="D60" s="904">
        <f>+D58-D59</f>
        <v>0</v>
      </c>
      <c r="E60" s="904">
        <f>+E58-E59</f>
        <v>0</v>
      </c>
      <c r="F60" s="904">
        <f>+F58-F59</f>
        <v>0</v>
      </c>
      <c r="G60" s="904">
        <f>+G58-G59</f>
        <v>0</v>
      </c>
    </row>
    <row r="61" s="866" customFormat="1" ht="12.75" hidden="1"/>
    <row r="62" s="866" customFormat="1" ht="12.75" hidden="1"/>
    <row r="63" s="866" customFormat="1" ht="12.75" hidden="1"/>
    <row r="64" s="866" customFormat="1" ht="12.75" hidden="1"/>
    <row r="65" s="866" customFormat="1" ht="12.75" hidden="1"/>
    <row r="66" s="866" customFormat="1" ht="12.75" hidden="1"/>
    <row r="67" s="866" customFormat="1" ht="12.75" hidden="1"/>
  </sheetData>
  <sheetProtection formatColumns="0" formatRows="0"/>
  <mergeCells count="65">
    <mergeCell ref="A39:L39"/>
    <mergeCell ref="A58:L58"/>
    <mergeCell ref="A54:L54"/>
    <mergeCell ref="A55:L55"/>
    <mergeCell ref="A56:L56"/>
    <mergeCell ref="A57:L57"/>
    <mergeCell ref="A52:L52"/>
    <mergeCell ref="L30:L31"/>
    <mergeCell ref="K30:K31"/>
    <mergeCell ref="A53:L53"/>
    <mergeCell ref="A48:L48"/>
    <mergeCell ref="A49:L49"/>
    <mergeCell ref="A50:L50"/>
    <mergeCell ref="A51:L51"/>
    <mergeCell ref="C30:C31"/>
    <mergeCell ref="D30:D31"/>
    <mergeCell ref="G30:H30"/>
    <mergeCell ref="A30:B31"/>
    <mergeCell ref="A7:J7"/>
    <mergeCell ref="A8:J8"/>
    <mergeCell ref="K8:L8"/>
    <mergeCell ref="K7:L7"/>
    <mergeCell ref="G11:H11"/>
    <mergeCell ref="K11:K12"/>
    <mergeCell ref="A24:B24"/>
    <mergeCell ref="A25:B25"/>
    <mergeCell ref="A29:L29"/>
    <mergeCell ref="A37:B37"/>
    <mergeCell ref="A20:L20"/>
    <mergeCell ref="A15:B15"/>
    <mergeCell ref="A11:B12"/>
    <mergeCell ref="A13:L13"/>
    <mergeCell ref="A19:B19"/>
    <mergeCell ref="A32:L32"/>
    <mergeCell ref="A17:B17"/>
    <mergeCell ref="A22:B22"/>
    <mergeCell ref="A14:B14"/>
    <mergeCell ref="A9:L9"/>
    <mergeCell ref="A10:L10"/>
    <mergeCell ref="C11:C12"/>
    <mergeCell ref="D11:D12"/>
    <mergeCell ref="E11:F11"/>
    <mergeCell ref="L11:L12"/>
    <mergeCell ref="I11:I12"/>
    <mergeCell ref="J11:J12"/>
    <mergeCell ref="A36:B36"/>
    <mergeCell ref="A35:B35"/>
    <mergeCell ref="A34:B34"/>
    <mergeCell ref="A45:B45"/>
    <mergeCell ref="A44:B44"/>
    <mergeCell ref="A42:B42"/>
    <mergeCell ref="A38:B38"/>
    <mergeCell ref="A40:B40"/>
    <mergeCell ref="A41:B41"/>
    <mergeCell ref="A43:B43"/>
    <mergeCell ref="A33:B33"/>
    <mergeCell ref="A21:B21"/>
    <mergeCell ref="A18:B18"/>
    <mergeCell ref="A16:B16"/>
    <mergeCell ref="A28:L28"/>
    <mergeCell ref="E30:F30"/>
    <mergeCell ref="I30:I31"/>
    <mergeCell ref="J30:J31"/>
    <mergeCell ref="A23:B23"/>
    <mergeCell ref="A26:B26"/>
  </mergeCells>
  <dataValidations count="8">
    <dataValidation allowBlank="1" showInputMessage="1" showErrorMessage="1" promptTitle="ENTIDAD BENEFICIARIA:" prompt=" Entidad del grupo,asociada o cualquier otra en la cual se realiza la inversión." sqref="A21:A23 A40:A42"/>
    <dataValidation allowBlank="1" showInputMessage="1" showErrorMessage="1" promptTitle="ENTIDAD BENEFICIARIA:" prompt=" Entidad del grupo o asociada en la cual se realiza la inversión." sqref="A15 A36"/>
    <dataValidation allowBlank="1" showInputMessage="1" showErrorMessage="1" promptTitle="SALDO INICIAL:" prompt=" Saldo a 1 de enero del período al que están referidas las estimaciones." sqref="D15:D18 D33:D37 D21:D25 D40:D44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E14:E19 E33:E37 D19 E40:E44 E23:E25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F14:F19 F33:F38 F21:F25 F40:F44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G14:G19 H38:I38 D38:E38 G33:G38 G40:G44 G21:G25 E21:E22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H14:H19 H33:H37 H21:H25 H40:H44"/>
    <dataValidation allowBlank="1" showInputMessage="1" showErrorMessage="1" promptTitle="SALDO FINAL: " prompt="Saldo a 31 de diciembre del ejercicio al que está referidas las estimaciones." sqref="I14:I19 I33:I37 I21:I25 I40:I44"/>
  </dataValidations>
  <printOptions horizontalCentered="1" verticalCentered="1"/>
  <pageMargins left="0.7480314960629921" right="0.2362204724409449" top="0.49" bottom="0.78" header="0" footer="0"/>
  <pageSetup horizontalDpi="600" verticalDpi="600" orientation="landscape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57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1078" t="s">
        <v>305</v>
      </c>
      <c r="B1" s="1079"/>
      <c r="C1" s="1080"/>
      <c r="D1" s="16" t="e">
        <f>#REF!</f>
        <v>#REF!</v>
      </c>
    </row>
    <row r="2" spans="1:4" ht="25.5" customHeight="1">
      <c r="A2" s="1081" t="s">
        <v>824</v>
      </c>
      <c r="B2" s="1082"/>
      <c r="C2" s="1083"/>
      <c r="D2" s="13" t="s">
        <v>822</v>
      </c>
    </row>
    <row r="3" spans="1:4" ht="25.5" customHeight="1">
      <c r="A3" s="1084" t="s">
        <v>48</v>
      </c>
      <c r="B3" s="1085"/>
      <c r="C3" s="1085"/>
      <c r="D3" s="1086"/>
    </row>
    <row r="4" spans="1:4" ht="31.5" customHeight="1">
      <c r="A4" s="19" t="s">
        <v>316</v>
      </c>
      <c r="B4" s="9" t="str">
        <f>ACTIVO!B10</f>
        <v>REAL 2014</v>
      </c>
      <c r="C4" s="17" t="str">
        <f>ACTIVO!C10</f>
        <v>ESTIMACIÓN 2015</v>
      </c>
      <c r="D4" s="18" t="str">
        <f>ACTIVO!D10</f>
        <v>PREVISIÓN 2016</v>
      </c>
    </row>
    <row r="5" spans="1:4" s="3" customFormat="1" ht="19.5" customHeight="1">
      <c r="A5" s="5" t="s">
        <v>352</v>
      </c>
      <c r="B5" s="21"/>
      <c r="C5" s="21"/>
      <c r="D5" s="22"/>
    </row>
    <row r="6" spans="1:4" s="3" customFormat="1" ht="19.5" customHeight="1">
      <c r="A6" s="5" t="s">
        <v>875</v>
      </c>
      <c r="B6" s="23" t="str">
        <f>CPYG!A11</f>
        <v>A) OPERACIONES CONTINUADAS</v>
      </c>
      <c r="C6" s="23" t="e">
        <f>CPYG!#REF!</f>
        <v>#REF!</v>
      </c>
      <c r="D6" s="24">
        <f>CPYG!B11</f>
        <v>0</v>
      </c>
    </row>
    <row r="7" spans="1:4" s="3" customFormat="1" ht="19.5" customHeight="1">
      <c r="A7" s="10" t="s">
        <v>317</v>
      </c>
      <c r="B7" s="25" t="str">
        <f>CPYG!A12</f>
        <v>1.  IMPORTE NETO DE LA CIFRA DE NEGOCIOS.</v>
      </c>
      <c r="C7" s="25" t="e">
        <f>CPYG!#REF!</f>
        <v>#REF!</v>
      </c>
      <c r="D7" s="26">
        <f>CPYG!B12</f>
        <v>1253777.01</v>
      </c>
    </row>
    <row r="8" spans="1:4" s="3" customFormat="1" ht="19.5" customHeight="1">
      <c r="A8" s="10" t="s">
        <v>353</v>
      </c>
      <c r="B8" s="25" t="str">
        <f>CPYG!A13</f>
        <v>          a) Ventas</v>
      </c>
      <c r="C8" s="25" t="e">
        <f>CPYG!#REF!</f>
        <v>#REF!</v>
      </c>
      <c r="D8" s="26">
        <f>CPYG!B13</f>
        <v>0</v>
      </c>
    </row>
    <row r="9" spans="1:4" s="3" customFormat="1" ht="19.5" customHeight="1">
      <c r="A9" s="10" t="s">
        <v>876</v>
      </c>
      <c r="B9" s="25" t="str">
        <f>CPYG!A14</f>
        <v>          a.1) Al sector público</v>
      </c>
      <c r="C9" s="25" t="e">
        <f>CPYG!#REF!</f>
        <v>#REF!</v>
      </c>
      <c r="D9" s="26">
        <f>CPYG!B14</f>
        <v>0</v>
      </c>
    </row>
    <row r="10" spans="1:4" s="3" customFormat="1" ht="19.5" customHeight="1">
      <c r="A10" s="10" t="s">
        <v>877</v>
      </c>
      <c r="B10" s="25" t="str">
        <f>CPYG!A15</f>
        <v>          a.1.1.) A la Entidad Local o a sus unidades dependientes.(1)</v>
      </c>
      <c r="C10" s="27" t="e">
        <f>CPYG!#REF!</f>
        <v>#REF!</v>
      </c>
      <c r="D10" s="26">
        <f>CPYG!B15</f>
        <v>0</v>
      </c>
    </row>
    <row r="11" spans="1:4" s="3" customFormat="1" ht="19.5" customHeight="1">
      <c r="A11" s="10" t="s">
        <v>878</v>
      </c>
      <c r="B11" s="25" t="str">
        <f>CPYG!A16</f>
        <v>          a.1.2.) A otras Administraciones Públicas.(1)</v>
      </c>
      <c r="C11" s="27" t="e">
        <f>CPYG!#REF!</f>
        <v>#REF!</v>
      </c>
      <c r="D11" s="26">
        <f>CPYG!B16</f>
        <v>0</v>
      </c>
    </row>
    <row r="12" spans="1:4" s="3" customFormat="1" ht="19.5" customHeight="1">
      <c r="A12" s="10" t="s">
        <v>355</v>
      </c>
      <c r="B12" s="25" t="str">
        <f>CPYG!A17</f>
        <v>          a.1.3.) A empresas y Entes Públicos.(1)</v>
      </c>
      <c r="C12" s="27" t="e">
        <f>CPYG!#REF!</f>
        <v>#REF!</v>
      </c>
      <c r="D12" s="26">
        <f>CPYG!B17</f>
        <v>0</v>
      </c>
    </row>
    <row r="13" spans="1:4" s="3" customFormat="1" ht="19.5" customHeight="1">
      <c r="A13" s="10" t="s">
        <v>879</v>
      </c>
      <c r="B13" s="25" t="str">
        <f>CPYG!A18</f>
        <v>          a.2) Al sector privado</v>
      </c>
      <c r="C13" s="25" t="e">
        <f>CPYG!#REF!</f>
        <v>#REF!</v>
      </c>
      <c r="D13" s="26">
        <f>CPYG!B18</f>
        <v>0</v>
      </c>
    </row>
    <row r="14" spans="1:4" s="3" customFormat="1" ht="19.5" customHeight="1">
      <c r="A14" s="10" t="s">
        <v>356</v>
      </c>
      <c r="B14" s="25" t="str">
        <f>CPYG!A19</f>
        <v>          b) Prestaciones de Servicios.</v>
      </c>
      <c r="C14" s="25" t="e">
        <f>CPYG!#REF!</f>
        <v>#REF!</v>
      </c>
      <c r="D14" s="26">
        <f>CPYG!B19</f>
        <v>1253777.01</v>
      </c>
    </row>
    <row r="15" spans="1:4" s="3" customFormat="1" ht="19.5" customHeight="1">
      <c r="A15" s="10" t="s">
        <v>881</v>
      </c>
      <c r="B15" s="25" t="str">
        <f>CPYG!A20</f>
        <v>          b.1) Al sector público</v>
      </c>
      <c r="C15" s="27" t="e">
        <f>CPYG!#REF!</f>
        <v>#REF!</v>
      </c>
      <c r="D15" s="26">
        <f>CPYG!B20</f>
        <v>371892.05</v>
      </c>
    </row>
    <row r="16" spans="1:4" s="3" customFormat="1" ht="19.5" customHeight="1">
      <c r="A16" s="10" t="s">
        <v>882</v>
      </c>
      <c r="B16" s="25" t="str">
        <f>CPYG!A21</f>
        <v>          b.1.1.) A la Entidad Local o a sus unidades dependientes.(1)</v>
      </c>
      <c r="C16" s="27" t="e">
        <f>CPYG!#REF!</f>
        <v>#REF!</v>
      </c>
      <c r="D16" s="26">
        <f>CPYG!B21</f>
        <v>301892.05</v>
      </c>
    </row>
    <row r="17" spans="1:4" s="3" customFormat="1" ht="19.5" customHeight="1">
      <c r="A17" s="10" t="s">
        <v>0</v>
      </c>
      <c r="B17" s="25" t="str">
        <f>CPYG!A22</f>
        <v>          b.1.2.) A otras Administraciones Públicas.(1)</v>
      </c>
      <c r="C17" s="27" t="e">
        <f>CPYG!#REF!</f>
        <v>#REF!</v>
      </c>
      <c r="D17" s="26">
        <f>CPYG!B22</f>
        <v>0</v>
      </c>
    </row>
    <row r="18" spans="1:4" s="3" customFormat="1" ht="19.5" customHeight="1">
      <c r="A18" s="10" t="s">
        <v>357</v>
      </c>
      <c r="B18" s="25" t="str">
        <f>CPYG!A23</f>
        <v>          b.1.3.) A empresas y Entes Públicos.(1)</v>
      </c>
      <c r="C18" s="27" t="e">
        <f>CPYG!#REF!</f>
        <v>#REF!</v>
      </c>
      <c r="D18" s="26">
        <f>CPYG!B23</f>
        <v>70000</v>
      </c>
    </row>
    <row r="19" spans="1:4" s="3" customFormat="1" ht="19.5" customHeight="1">
      <c r="A19" s="5" t="s">
        <v>619</v>
      </c>
      <c r="B19" s="23" t="str">
        <f>CPYG!A24</f>
        <v>          b.2.) Al sector privado</v>
      </c>
      <c r="C19" s="23" t="e">
        <f>CPYG!#REF!</f>
        <v>#REF!</v>
      </c>
      <c r="D19" s="24">
        <f>CPYG!B24</f>
        <v>881884.96</v>
      </c>
    </row>
    <row r="20" spans="1:4" s="3" customFormat="1" ht="19.5" customHeight="1">
      <c r="A20" s="5" t="s">
        <v>1</v>
      </c>
      <c r="B20" s="23" t="str">
        <f>CPYG!A25</f>
        <v>2. VARIACIÓN DE EXISTENCIAS DE PRODUCTOS TERMINADOS Y EN CURSO DE FABRICACIÓN</v>
      </c>
      <c r="C20" s="23" t="e">
        <f>CPYG!#REF!</f>
        <v>#REF!</v>
      </c>
      <c r="D20" s="24">
        <f>CPYG!B25</f>
        <v>0</v>
      </c>
    </row>
    <row r="21" spans="1:4" s="3" customFormat="1" ht="19.5" customHeight="1">
      <c r="A21" s="5" t="s">
        <v>2</v>
      </c>
      <c r="B21" s="23" t="str">
        <f>CPYG!A28</f>
        <v>3. TRABAJOS REALIZADOS POR LA EMPRESA PARA SU ACTIVO.</v>
      </c>
      <c r="C21" s="23" t="e">
        <f>CPYG!#REF!</f>
        <v>#REF!</v>
      </c>
      <c r="D21" s="24">
        <f>CPYG!B28</f>
        <v>0</v>
      </c>
    </row>
    <row r="22" spans="1:4" s="3" customFormat="1" ht="19.5" customHeight="1">
      <c r="A22" s="10" t="s">
        <v>3</v>
      </c>
      <c r="B22" s="25" t="str">
        <f>CPYG!A29</f>
        <v>4. APROVISIONAMIENTOS.</v>
      </c>
      <c r="C22" s="25" t="e">
        <f>CPYG!#REF!</f>
        <v>#REF!</v>
      </c>
      <c r="D22" s="26">
        <f>CPYG!B29</f>
        <v>-35147.78</v>
      </c>
    </row>
    <row r="23" spans="1:4" s="3" customFormat="1" ht="19.5" customHeight="1">
      <c r="A23" s="10" t="s">
        <v>4</v>
      </c>
      <c r="B23" s="25" t="str">
        <f>CPYG!A30</f>
        <v>         a) Consumo de mercaderías.</v>
      </c>
      <c r="C23" s="27" t="e">
        <f>CPYG!#REF!</f>
        <v>#REF!</v>
      </c>
      <c r="D23" s="26">
        <f>CPYG!B30</f>
        <v>0</v>
      </c>
    </row>
    <row r="24" spans="1:4" s="3" customFormat="1" ht="19.5" customHeight="1">
      <c r="A24" s="10" t="s">
        <v>5</v>
      </c>
      <c r="B24" s="25" t="str">
        <f>CPYG!A31</f>
        <v>          b) Consumo de materias primas y otras materias consumibles.</v>
      </c>
      <c r="C24" s="27" t="e">
        <f>CPYG!#REF!</f>
        <v>#REF!</v>
      </c>
      <c r="D24" s="26">
        <f>CPYG!B31</f>
        <v>-35147.78</v>
      </c>
    </row>
    <row r="25" spans="1:4" s="3" customFormat="1" ht="19.5" customHeight="1">
      <c r="A25" s="10" t="s">
        <v>6</v>
      </c>
      <c r="B25" s="25" t="str">
        <f>CPYG!A32</f>
        <v>          c) Trabajos realizados por otras empresas.</v>
      </c>
      <c r="C25" s="27" t="e">
        <f>CPYG!#REF!</f>
        <v>#REF!</v>
      </c>
      <c r="D25" s="26">
        <f>CPYG!B32</f>
        <v>0</v>
      </c>
    </row>
    <row r="26" spans="1:4" s="3" customFormat="1" ht="19.5" customHeight="1">
      <c r="A26" s="5" t="s">
        <v>7</v>
      </c>
      <c r="B26" s="23" t="str">
        <f>CPYG!A33</f>
        <v>          d) Deterioro de mercaderías, materias primas y otros aprovisionamientos.</v>
      </c>
      <c r="C26" s="23" t="e">
        <f>CPYG!#REF!</f>
        <v>#REF!</v>
      </c>
      <c r="D26" s="24">
        <f>CPYG!B33</f>
        <v>0</v>
      </c>
    </row>
    <row r="27" spans="1:4" s="3" customFormat="1" ht="19.5" customHeight="1">
      <c r="A27" s="10" t="s">
        <v>8</v>
      </c>
      <c r="B27" s="25" t="str">
        <f>CPYG!A34</f>
        <v>5. OTROS INGRESOS DE EXPLOTACIÓN.</v>
      </c>
      <c r="C27" s="25" t="e">
        <f>CPYG!#REF!</f>
        <v>#REF!</v>
      </c>
      <c r="D27" s="26">
        <f>CPYG!B34</f>
        <v>6672670</v>
      </c>
    </row>
    <row r="28" spans="1:4" s="3" customFormat="1" ht="19.5" customHeight="1">
      <c r="A28" s="10" t="s">
        <v>10</v>
      </c>
      <c r="B28" s="25" t="str">
        <f>CPYG!A35</f>
        <v>      a) Ingresos accesorios y otros de gestión corriente.</v>
      </c>
      <c r="C28" s="25" t="e">
        <f>CPYG!#REF!</f>
        <v>#REF!</v>
      </c>
      <c r="D28" s="26">
        <f>CPYG!B35</f>
        <v>0</v>
      </c>
    </row>
    <row r="29" spans="1:4" s="3" customFormat="1" ht="19.5" customHeight="1">
      <c r="A29" s="10" t="s">
        <v>11</v>
      </c>
      <c r="B29" s="25" t="str">
        <f>CPYG!A39</f>
        <v>      b) Subvenciones de explotación incorporadas al resultado del ejercicio.</v>
      </c>
      <c r="C29" s="27" t="e">
        <f>CPYG!#REF!</f>
        <v>#REF!</v>
      </c>
      <c r="D29" s="28">
        <f>CPYG!B39</f>
        <v>6672670</v>
      </c>
    </row>
    <row r="30" spans="1:4" s="3" customFormat="1" ht="19.5" customHeight="1">
      <c r="A30" s="10" t="s">
        <v>620</v>
      </c>
      <c r="B30" s="25" t="str">
        <f>CPYG!A40</f>
        <v>          b.1.) Estado.</v>
      </c>
      <c r="C30" s="27" t="e">
        <f>CPYG!#REF!</f>
        <v>#REF!</v>
      </c>
      <c r="D30" s="28">
        <f>CPYG!B40</f>
        <v>0</v>
      </c>
    </row>
    <row r="31" spans="1:4" s="3" customFormat="1" ht="19.5" customHeight="1">
      <c r="A31" s="10" t="s">
        <v>621</v>
      </c>
      <c r="B31" s="25" t="str">
        <f>CPYG!A41</f>
        <v>          b.2.) Comunidad Autónoma</v>
      </c>
      <c r="C31" s="27" t="e">
        <f>CPYG!#REF!</f>
        <v>#REF!</v>
      </c>
      <c r="D31" s="26">
        <f>CPYG!B41</f>
        <v>0</v>
      </c>
    </row>
    <row r="32" spans="1:4" s="3" customFormat="1" ht="19.5" customHeight="1">
      <c r="A32" s="10" t="s">
        <v>12</v>
      </c>
      <c r="B32" s="25" t="str">
        <f>CPYG!A42</f>
        <v>          b.3. ) Corporaciones Locales</v>
      </c>
      <c r="C32" s="25" t="e">
        <f>CPYG!#REF!</f>
        <v>#REF!</v>
      </c>
      <c r="D32" s="26">
        <f>CPYG!B42</f>
        <v>399351</v>
      </c>
    </row>
    <row r="33" spans="1:4" s="3" customFormat="1" ht="19.5" customHeight="1">
      <c r="A33" s="10" t="s">
        <v>13</v>
      </c>
      <c r="B33" s="25" t="str">
        <f>CPYG!A43</f>
        <v>          b.4. ) Cabildo Insular de Tenerife.</v>
      </c>
      <c r="C33" s="27" t="e">
        <f>CPYG!#REF!</f>
        <v>#REF!</v>
      </c>
      <c r="D33" s="26">
        <f>CPYG!B43</f>
        <v>6226956.64</v>
      </c>
    </row>
    <row r="34" spans="1:4" s="3" customFormat="1" ht="19.5" customHeight="1">
      <c r="A34" s="10" t="s">
        <v>14</v>
      </c>
      <c r="B34" s="25" t="str">
        <f>CPYG!A44</f>
        <v>          b.5. ) Otros Entes.</v>
      </c>
      <c r="C34" s="27" t="e">
        <f>CPYG!#REF!</f>
        <v>#REF!</v>
      </c>
      <c r="D34" s="26">
        <f>CPYG!B44</f>
        <v>46362.36</v>
      </c>
    </row>
    <row r="35" spans="1:4" s="3" customFormat="1" ht="19.5" customHeight="1">
      <c r="A35" s="5" t="s">
        <v>15</v>
      </c>
      <c r="B35" s="23" t="str">
        <f>CPYG!A45</f>
        <v>          b.6. ) Imputación de subvenciones de explotación de ejercicios anteriores.</v>
      </c>
      <c r="C35" s="23" t="e">
        <f>CPYG!#REF!</f>
        <v>#REF!</v>
      </c>
      <c r="D35" s="24">
        <f>CPYG!B45</f>
        <v>0</v>
      </c>
    </row>
    <row r="36" spans="1:5" s="3" customFormat="1" ht="19.5" customHeight="1">
      <c r="A36" s="10" t="s">
        <v>16</v>
      </c>
      <c r="B36" s="25" t="str">
        <f>CPYG!A46</f>
        <v>6. GASTOS DE PERSONAL.</v>
      </c>
      <c r="C36" s="25" t="e">
        <f>CPYG!#REF!</f>
        <v>#REF!</v>
      </c>
      <c r="D36" s="26">
        <f>CPYG!B46</f>
        <v>-1903669.73</v>
      </c>
      <c r="E36" s="40"/>
    </row>
    <row r="37" spans="1:4" s="3" customFormat="1" ht="19.5" customHeight="1">
      <c r="A37" s="10" t="s">
        <v>622</v>
      </c>
      <c r="B37" s="25" t="str">
        <f>CPYG!A47</f>
        <v>      a) Sueldos, Salarios y Asimilados. (sin indem)</v>
      </c>
      <c r="C37" s="27" t="e">
        <f>CPYG!#REF!</f>
        <v>#REF!</v>
      </c>
      <c r="D37" s="26">
        <f>CPYG!B47</f>
        <v>-1475676.77</v>
      </c>
    </row>
    <row r="38" spans="1:4" s="3" customFormat="1" ht="19.5" customHeight="1">
      <c r="A38" s="10" t="s">
        <v>623</v>
      </c>
      <c r="B38" s="25" t="str">
        <f>CPYG!A48</f>
        <v>      b) Indemnizaciones</v>
      </c>
      <c r="C38" s="27" t="e">
        <f>CPYG!#REF!</f>
        <v>#REF!</v>
      </c>
      <c r="D38" s="26">
        <f>CPYG!B48</f>
        <v>-1662.25</v>
      </c>
    </row>
    <row r="39" spans="1:4" s="3" customFormat="1" ht="19.5" customHeight="1">
      <c r="A39" s="10" t="s">
        <v>624</v>
      </c>
      <c r="B39" s="25" t="str">
        <f>CPYG!A49</f>
        <v>      c) Seguridad Social a cargo de la empresa</v>
      </c>
      <c r="C39" s="27" t="e">
        <f>CPYG!#REF!</f>
        <v>#REF!</v>
      </c>
      <c r="D39" s="26">
        <f>CPYG!B49</f>
        <v>-426330.71</v>
      </c>
    </row>
    <row r="40" spans="1:4" s="3" customFormat="1" ht="19.5" customHeight="1">
      <c r="A40" s="10" t="s">
        <v>625</v>
      </c>
      <c r="B40" s="25" t="str">
        <f>CPYG!A50</f>
        <v>      d) Aportaciones a Planes de Pensiones u otros de aportación definida</v>
      </c>
      <c r="C40" s="27" t="e">
        <f>CPYG!#REF!</f>
        <v>#REF!</v>
      </c>
      <c r="D40" s="26">
        <f>CPYG!B50</f>
        <v>0</v>
      </c>
    </row>
    <row r="41" spans="1:4" s="3" customFormat="1" ht="19.5" customHeight="1">
      <c r="A41" s="10" t="s">
        <v>626</v>
      </c>
      <c r="B41" s="25" t="str">
        <f>CPYG!A51</f>
        <v>      e) Otros Gastos Sociales</v>
      </c>
      <c r="C41" s="27" t="e">
        <f>CPYG!#REF!</f>
        <v>#REF!</v>
      </c>
      <c r="D41" s="26">
        <f>CPYG!B51</f>
        <v>0</v>
      </c>
    </row>
    <row r="42" spans="1:4" s="3" customFormat="1" ht="19.5" customHeight="1">
      <c r="A42" s="5" t="s">
        <v>17</v>
      </c>
      <c r="B42" s="23" t="str">
        <f>CPYG!A52</f>
        <v>      f) Provisiones</v>
      </c>
      <c r="C42" s="23" t="e">
        <f>CPYG!#REF!</f>
        <v>#REF!</v>
      </c>
      <c r="D42" s="24">
        <f>CPYG!B52</f>
        <v>0</v>
      </c>
    </row>
    <row r="43" spans="1:4" s="3" customFormat="1" ht="19.5" customHeight="1">
      <c r="A43" s="10" t="s">
        <v>627</v>
      </c>
      <c r="B43" s="25" t="str">
        <f>CPYG!A54</f>
        <v>7. OTROS GASTOS DE EXPLOTACIÓN.</v>
      </c>
      <c r="C43" s="27" t="e">
        <f>CPYG!#REF!</f>
        <v>#REF!</v>
      </c>
      <c r="D43" s="26">
        <f>CPYG!B54</f>
        <v>-8298717.160000001</v>
      </c>
    </row>
    <row r="44" spans="1:4" s="3" customFormat="1" ht="19.5" customHeight="1">
      <c r="A44" s="10" t="s">
        <v>628</v>
      </c>
      <c r="B44" s="25" t="str">
        <f>CPYG!A55</f>
        <v>      a) Servicios Exteriores</v>
      </c>
      <c r="C44" s="27" t="e">
        <f>CPYG!#REF!</f>
        <v>#REF!</v>
      </c>
      <c r="D44" s="26">
        <f>CPYG!B55</f>
        <v>-8205757.94</v>
      </c>
    </row>
    <row r="45" spans="1:4" s="3" customFormat="1" ht="19.5" customHeight="1">
      <c r="A45" s="10" t="s">
        <v>18</v>
      </c>
      <c r="B45" s="25" t="str">
        <f>CPYG!A56</f>
        <v>      b) Tributos</v>
      </c>
      <c r="C45" s="25" t="e">
        <f>CPYG!#REF!</f>
        <v>#REF!</v>
      </c>
      <c r="D45" s="26">
        <f>CPYG!B56</f>
        <v>-12714.49</v>
      </c>
    </row>
    <row r="46" spans="1:4" s="3" customFormat="1" ht="19.5" customHeight="1">
      <c r="A46" s="10" t="s">
        <v>19</v>
      </c>
      <c r="B46" s="25" t="str">
        <f>CPYG!A57</f>
        <v>      c) Pérdidas, deterioro y variación de provisiones por operac. Comerciales.</v>
      </c>
      <c r="C46" s="27" t="e">
        <f>CPYG!#REF!</f>
        <v>#REF!</v>
      </c>
      <c r="D46" s="26">
        <f>CPYG!B57</f>
        <v>-80244.73</v>
      </c>
    </row>
    <row r="47" spans="1:4" s="3" customFormat="1" ht="19.5" customHeight="1">
      <c r="A47" s="10" t="s">
        <v>20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21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22</v>
      </c>
      <c r="B49" s="23" t="str">
        <f>CPYG!A58</f>
        <v>      d) Otros gastos de gestión corriente.</v>
      </c>
      <c r="C49" s="39" t="e">
        <f>CPYG!#REF!</f>
        <v>#REF!</v>
      </c>
      <c r="D49" s="24">
        <f>CPYG!B58</f>
        <v>0</v>
      </c>
    </row>
    <row r="50" spans="1:4" s="3" customFormat="1" ht="19.5" customHeight="1">
      <c r="A50" s="5" t="s">
        <v>23</v>
      </c>
      <c r="B50" s="23" t="str">
        <f>CPYG!A59</f>
        <v>8. AMORTIZACIÓN DEL INMOVILIZADO.</v>
      </c>
      <c r="C50" s="23" t="e">
        <f>CPYG!#REF!</f>
        <v>#REF!</v>
      </c>
      <c r="D50" s="24">
        <f>CPYG!B59</f>
        <v>-104549.75</v>
      </c>
    </row>
    <row r="51" spans="1:4" s="3" customFormat="1" ht="19.5" customHeight="1">
      <c r="A51" s="5" t="s">
        <v>24</v>
      </c>
      <c r="B51" s="23" t="str">
        <f>CPYG!A63</f>
        <v>9. IMPUTACIÓN DE SUBVENCIONES DE INMOVILIZADO NO FINANCIERO Y OTRAS. (2)</v>
      </c>
      <c r="C51" s="23" t="e">
        <f>CPYG!#REF!</f>
        <v>#REF!</v>
      </c>
      <c r="D51" s="24">
        <f>CPYG!B63</f>
        <v>5826.05</v>
      </c>
    </row>
    <row r="52" spans="1:4" s="3" customFormat="1" ht="19.5" customHeight="1">
      <c r="A52" s="5" t="s">
        <v>25</v>
      </c>
      <c r="B52" s="23" t="str">
        <f>CPYG!A64</f>
        <v>10. EXCESOS DE PROVISIONES.</v>
      </c>
      <c r="C52" s="23" t="e">
        <f>CPYG!#REF!</f>
        <v>#REF!</v>
      </c>
      <c r="D52" s="24">
        <f>CPYG!B64</f>
        <v>0</v>
      </c>
    </row>
    <row r="53" spans="1:4" s="3" customFormat="1" ht="19.5" customHeight="1">
      <c r="A53" s="10" t="s">
        <v>301</v>
      </c>
      <c r="B53" s="25" t="str">
        <f>CPYG!A65</f>
        <v>11. DETERIORO Y RESULTADO POR ENAJENACIONES DEL INMOVILIZADO.</v>
      </c>
      <c r="C53" s="27" t="e">
        <f>CPYG!#REF!</f>
        <v>#REF!</v>
      </c>
      <c r="D53" s="26">
        <f>CPYG!B65</f>
        <v>0</v>
      </c>
    </row>
    <row r="54" spans="1:4" s="3" customFormat="1" ht="19.5" customHeight="1">
      <c r="A54" s="10" t="s">
        <v>629</v>
      </c>
      <c r="B54" s="25" t="str">
        <f>CPYG!A66</f>
        <v>      a) Deterioros y pérdidas</v>
      </c>
      <c r="C54" s="25" t="e">
        <f>CPYG!#REF!</f>
        <v>#REF!</v>
      </c>
      <c r="D54" s="26">
        <f>CPYG!B66</f>
        <v>0</v>
      </c>
    </row>
    <row r="55" spans="1:4" s="41" customFormat="1" ht="19.5" customHeight="1">
      <c r="A55" s="5" t="s">
        <v>825</v>
      </c>
      <c r="B55" s="23" t="str">
        <f>CPYG!A70</f>
        <v>      b) Resultados por enajenaciones y otras</v>
      </c>
      <c r="C55" s="23" t="e">
        <f>CPYG!#REF!</f>
        <v>#REF!</v>
      </c>
      <c r="D55" s="24">
        <f>CPYG!B70</f>
        <v>0</v>
      </c>
    </row>
    <row r="56" spans="1:4" s="3" customFormat="1" ht="19.5" customHeight="1">
      <c r="A56" s="5" t="s">
        <v>826</v>
      </c>
      <c r="B56" s="23" t="str">
        <f>CPYG!A79</f>
        <v>13. OTROS RESULTADOS</v>
      </c>
      <c r="C56" s="23" t="e">
        <f>CPYG!#REF!</f>
        <v>#REF!</v>
      </c>
      <c r="D56" s="24">
        <f>CPYG!B79</f>
        <v>67165.87000000001</v>
      </c>
    </row>
    <row r="57" spans="1:4" s="3" customFormat="1" ht="19.5" customHeight="1">
      <c r="A57" s="5" t="s">
        <v>26</v>
      </c>
      <c r="B57" s="23" t="str">
        <f>CPYG!A82</f>
        <v>A.1.)  RESULTADO DE EXPLOTACIÓN (∑(1+2+3+4+5+6+7+8+9+10+11+12+12a+13))</v>
      </c>
      <c r="C57" s="23" t="e">
        <f>CPYG!#REF!</f>
        <v>#REF!</v>
      </c>
      <c r="D57" s="24">
        <f>CPYG!B82</f>
        <v>-2342645.490000001</v>
      </c>
    </row>
    <row r="58" spans="1:4" s="3" customFormat="1" ht="19.5" customHeight="1">
      <c r="A58" s="10" t="s">
        <v>27</v>
      </c>
      <c r="B58" s="25" t="str">
        <f>CPYG!A83</f>
        <v>14. INGRESOS FINANCIEROS.</v>
      </c>
      <c r="C58" s="25" t="e">
        <f>CPYG!#REF!</f>
        <v>#REF!</v>
      </c>
      <c r="D58" s="26">
        <f>CPYG!B83</f>
        <v>6213.69</v>
      </c>
    </row>
    <row r="59" spans="1:4" s="3" customFormat="1" ht="19.5" customHeight="1">
      <c r="A59" s="10" t="s">
        <v>28</v>
      </c>
      <c r="B59" s="25" t="str">
        <f>CPYG!A84</f>
        <v>      a) De participaciones en instrumentos de patrimonio.</v>
      </c>
      <c r="C59" s="27" t="e">
        <f>CPYG!#REF!</f>
        <v>#REF!</v>
      </c>
      <c r="D59" s="26">
        <f>CPYG!B84</f>
        <v>0</v>
      </c>
    </row>
    <row r="60" spans="1:4" s="3" customFormat="1" ht="19.5" customHeight="1">
      <c r="A60" s="10" t="s">
        <v>29</v>
      </c>
      <c r="B60" s="25" t="str">
        <f>CPYG!A85</f>
        <v>          a.1.) En empresas del grupo y asociadas.</v>
      </c>
      <c r="C60" s="27" t="e">
        <f>CPYG!#REF!</f>
        <v>#REF!</v>
      </c>
      <c r="D60" s="26">
        <f>CPYG!B85</f>
        <v>0</v>
      </c>
    </row>
    <row r="61" spans="1:4" s="3" customFormat="1" ht="19.5" customHeight="1">
      <c r="A61" s="10" t="s">
        <v>630</v>
      </c>
      <c r="B61" s="25" t="str">
        <f>CPYG!A86</f>
        <v>          a.2) En terceros.</v>
      </c>
      <c r="C61" s="25" t="e">
        <f>CPYG!#REF!</f>
        <v>#REF!</v>
      </c>
      <c r="D61" s="26">
        <f>CPYG!B86</f>
        <v>0</v>
      </c>
    </row>
    <row r="62" spans="1:4" s="3" customFormat="1" ht="19.5" customHeight="1">
      <c r="A62" s="10" t="s">
        <v>30</v>
      </c>
      <c r="B62" s="25" t="str">
        <f>CPYG!A87</f>
        <v>      b) De valores negociables y otros instrumentos financieros</v>
      </c>
      <c r="C62" s="27" t="e">
        <f>CPYG!#REF!</f>
        <v>#REF!</v>
      </c>
      <c r="D62" s="26">
        <f>CPYG!B87</f>
        <v>6213.69</v>
      </c>
    </row>
    <row r="63" spans="1:4" s="3" customFormat="1" ht="19.5" customHeight="1">
      <c r="A63" s="10" t="s">
        <v>31</v>
      </c>
      <c r="B63" s="25" t="str">
        <f>CPYG!A88</f>
        <v>          b.1.) En empresas del grupo y asociadas.</v>
      </c>
      <c r="C63" s="25" t="e">
        <f>CPYG!#REF!</f>
        <v>#REF!</v>
      </c>
      <c r="D63" s="26">
        <f>CPYG!B88</f>
        <v>0</v>
      </c>
    </row>
    <row r="64" spans="1:4" s="3" customFormat="1" ht="19.5" customHeight="1">
      <c r="A64" s="5" t="s">
        <v>32</v>
      </c>
      <c r="B64" s="23" t="str">
        <f>CPYG!A89</f>
        <v>          b.2) En terceros.</v>
      </c>
      <c r="C64" s="23" t="e">
        <f>CPYG!#REF!</f>
        <v>#REF!</v>
      </c>
      <c r="D64" s="24">
        <f>CPYG!B89</f>
        <v>6213.69</v>
      </c>
    </row>
    <row r="65" spans="1:4" s="3" customFormat="1" ht="19.5" customHeight="1">
      <c r="A65" s="10" t="s">
        <v>33</v>
      </c>
      <c r="B65" s="25" t="str">
        <f>CPYG!A91</f>
        <v>15. GASTOS FINANCIEROS.</v>
      </c>
      <c r="C65" s="27" t="e">
        <f>CPYG!#REF!</f>
        <v>#REF!</v>
      </c>
      <c r="D65" s="26">
        <f>CPYG!B91</f>
        <v>-3489.74</v>
      </c>
    </row>
    <row r="66" spans="1:4" s="3" customFormat="1" ht="19.5" customHeight="1">
      <c r="A66" s="10" t="s">
        <v>631</v>
      </c>
      <c r="B66" s="29" t="str">
        <f>CPYG!A92</f>
        <v>      a) Por deudas con empresas del grupo y asociadas.</v>
      </c>
      <c r="C66" s="29" t="e">
        <f>CPYG!#REF!</f>
        <v>#REF!</v>
      </c>
      <c r="D66" s="30">
        <f>CPYG!B92</f>
        <v>0</v>
      </c>
    </row>
    <row r="67" spans="1:4" s="3" customFormat="1" ht="19.5" customHeight="1">
      <c r="A67" s="10" t="s">
        <v>632</v>
      </c>
      <c r="B67" s="29" t="str">
        <f>CPYG!A93</f>
        <v>      b) Por deudas con terceros</v>
      </c>
      <c r="C67" s="29" t="e">
        <f>CPYG!#REF!</f>
        <v>#REF!</v>
      </c>
      <c r="D67" s="30">
        <f>CPYG!B93</f>
        <v>-3489.74</v>
      </c>
    </row>
    <row r="68" spans="1:4" s="3" customFormat="1" ht="19.5" customHeight="1">
      <c r="A68" s="5" t="s">
        <v>34</v>
      </c>
      <c r="B68" s="23" t="str">
        <f>CPYG!A94</f>
        <v>      c) Por actualización de provisiones</v>
      </c>
      <c r="C68" s="23" t="e">
        <f>CPYG!#REF!</f>
        <v>#REF!</v>
      </c>
      <c r="D68" s="24">
        <f>CPYG!B94</f>
        <v>0</v>
      </c>
    </row>
    <row r="69" spans="1:4" s="3" customFormat="1" ht="19.5" customHeight="1">
      <c r="A69" s="10" t="s">
        <v>35</v>
      </c>
      <c r="B69" s="29" t="str">
        <f>CPYG!A95</f>
        <v>16. VARIACIÓN DE VALOR RAZONABLE EN INSTRUMENTOS FINANCIEROS.</v>
      </c>
      <c r="C69" s="29" t="e">
        <f>CPYG!#REF!</f>
        <v>#REF!</v>
      </c>
      <c r="D69" s="30">
        <f>CPYG!B95</f>
        <v>0</v>
      </c>
    </row>
    <row r="70" spans="1:4" s="3" customFormat="1" ht="19.5" customHeight="1">
      <c r="A70" s="10" t="s">
        <v>633</v>
      </c>
      <c r="B70" s="29" t="str">
        <f>CPYG!A96</f>
        <v>      a) Cartera de negociación y otros.</v>
      </c>
      <c r="C70" s="29" t="e">
        <f>CPYG!#REF!</f>
        <v>#REF!</v>
      </c>
      <c r="D70" s="30">
        <f>CPYG!B96</f>
        <v>0</v>
      </c>
    </row>
    <row r="71" spans="1:4" s="3" customFormat="1" ht="19.5" customHeight="1">
      <c r="A71" s="5" t="s">
        <v>36</v>
      </c>
      <c r="B71" s="23" t="str">
        <f>CPYG!A97</f>
        <v>      b) Imputación al resultado del ejercicio por activos financieros disponibles para la venta</v>
      </c>
      <c r="C71" s="23" t="e">
        <f>CPYG!#REF!</f>
        <v>#REF!</v>
      </c>
      <c r="D71" s="24">
        <f>CPYG!B97</f>
        <v>0</v>
      </c>
    </row>
    <row r="72" spans="1:4" s="3" customFormat="1" ht="19.5" customHeight="1">
      <c r="A72" s="5" t="s">
        <v>827</v>
      </c>
      <c r="B72" s="23" t="str">
        <f>CPYG!A98</f>
        <v>17. DIFERENCIA DE CAMBIO.</v>
      </c>
      <c r="C72" s="23" t="e">
        <f>CPYG!#REF!</f>
        <v>#REF!</v>
      </c>
      <c r="D72" s="24">
        <f>CPYG!B98</f>
        <v>-149.98</v>
      </c>
    </row>
    <row r="73" spans="1:4" s="3" customFormat="1" ht="20.25" customHeight="1">
      <c r="A73" s="10" t="s">
        <v>37</v>
      </c>
      <c r="B73" s="29" t="str">
        <f>CPYG!A99</f>
        <v>18. DETERIORO Y RESULTADO POR ENAJENACIONES DE INSTRUMENTOS FINANCIEROS</v>
      </c>
      <c r="C73" s="29" t="e">
        <f>CPYG!#REF!</f>
        <v>#REF!</v>
      </c>
      <c r="D73" s="30">
        <f>CPYG!B99</f>
        <v>0</v>
      </c>
    </row>
    <row r="74" spans="1:4" s="3" customFormat="1" ht="17.25" customHeight="1">
      <c r="A74" s="12" t="s">
        <v>629</v>
      </c>
      <c r="B74" s="29" t="str">
        <f>CPYG!A100</f>
        <v>      a) Deterioros y Pérdidas.</v>
      </c>
      <c r="C74" s="29" t="e">
        <f>CPYG!#REF!</f>
        <v>#REF!</v>
      </c>
      <c r="D74" s="30">
        <f>CPYG!B100</f>
        <v>0</v>
      </c>
    </row>
    <row r="75" spans="1:4" s="3" customFormat="1" ht="19.5" customHeight="1">
      <c r="A75" s="5" t="s">
        <v>828</v>
      </c>
      <c r="B75" s="23" t="str">
        <f>CPYG!A101</f>
        <v>      b) Resultados por enajenaciones y otras.</v>
      </c>
      <c r="C75" s="23" t="e">
        <f>CPYG!#REF!</f>
        <v>#REF!</v>
      </c>
      <c r="D75" s="24">
        <f>CPYG!B101</f>
        <v>0</v>
      </c>
    </row>
    <row r="76" spans="1:4" s="3" customFormat="1" ht="19.5" customHeight="1">
      <c r="A76" s="5" t="s">
        <v>634</v>
      </c>
      <c r="B76" s="23" t="str">
        <f>CPYG!A105</f>
        <v>A.2.) RESULTADO FINANCIERO (∑ (14 A 19))</v>
      </c>
      <c r="C76" s="23" t="e">
        <f>CPYG!#REF!</f>
        <v>#REF!</v>
      </c>
      <c r="D76" s="24">
        <f>CPYG!B105</f>
        <v>2573.97</v>
      </c>
    </row>
    <row r="77" spans="1:4" s="3" customFormat="1" ht="19.5" customHeight="1">
      <c r="A77" s="5" t="s">
        <v>299</v>
      </c>
      <c r="B77" s="23" t="str">
        <f>CPYG!A106</f>
        <v>A.3.) RESULTADO ANTES DE IMPUESTOS (A.1 + A.2)</v>
      </c>
      <c r="C77" s="39" t="e">
        <f>CPYG!#REF!</f>
        <v>#REF!</v>
      </c>
      <c r="D77" s="24">
        <f>CPYG!B106</f>
        <v>-2340071.520000001</v>
      </c>
    </row>
    <row r="78" spans="1:4" s="3" customFormat="1" ht="25.5" customHeight="1">
      <c r="A78" s="11" t="s">
        <v>829</v>
      </c>
      <c r="B78" s="23" t="str">
        <f>CPYG!A107</f>
        <v>20. IMPUESTOS SOBRE BENEFICIOS.</v>
      </c>
      <c r="C78" s="23" t="e">
        <f>CPYG!#REF!</f>
        <v>#REF!</v>
      </c>
      <c r="D78" s="24">
        <f>CPYG!B107</f>
        <v>0</v>
      </c>
    </row>
    <row r="79" spans="1:4" s="3" customFormat="1" ht="19.5" customHeight="1">
      <c r="A79" s="5" t="s">
        <v>635</v>
      </c>
      <c r="B79" s="23"/>
      <c r="C79" s="23"/>
      <c r="D79" s="24"/>
    </row>
    <row r="80" spans="1:4" s="3" customFormat="1" ht="19.5" customHeight="1">
      <c r="A80" s="5" t="s">
        <v>830</v>
      </c>
      <c r="B80" s="23" t="str">
        <f>CPYG!A109</f>
        <v>B) OPERACIONES INTERRUMPIDAS</v>
      </c>
      <c r="C80" s="23" t="e">
        <f>CPYG!#REF!</f>
        <v>#REF!</v>
      </c>
      <c r="D80" s="24">
        <f>CPYG!B109</f>
        <v>0</v>
      </c>
    </row>
    <row r="81" spans="1:4" s="3" customFormat="1" ht="39.75" customHeight="1" thickBot="1">
      <c r="A81" s="20" t="s">
        <v>831</v>
      </c>
      <c r="B81" s="31" t="str">
        <f>CPYG!A110</f>
        <v>21. RESULTADO DEL EJERCICIO PROCEDENTE DE OPERACIONES INTERRUMPIDAS NETO DE IMPUESTOS.</v>
      </c>
      <c r="C81" s="31" t="e">
        <f>CPYG!#REF!</f>
        <v>#REF!</v>
      </c>
      <c r="D81" s="32">
        <f>CPYG!B110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354</v>
      </c>
      <c r="B84" s="34"/>
      <c r="C84" s="34"/>
      <c r="D84" s="34"/>
    </row>
    <row r="85" spans="1:5" ht="19.5" customHeight="1">
      <c r="A85" s="7" t="s">
        <v>300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PASIVO!B25</f>
        <v>-2340071.520000001</v>
      </c>
      <c r="C90" s="33">
        <f>PASIVO!C25</f>
        <v>-1903196.0100000007</v>
      </c>
      <c r="D90" s="33">
        <f>PASIVO!D25</f>
        <v>-1903196.010000001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1903196.010000001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300" verticalDpi="300" orientation="portrait" paperSize="9" scale="47" r:id="rId1"/>
  <headerFooter alignWithMargins="0">
    <oddHeader>&amp;C&amp;"MS Sans Serif,Negrita"&amp;14
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zoomScale="85" zoomScaleNormal="85" zoomScalePageLayoutView="0" workbookViewId="0" topLeftCell="A1">
      <selection activeCell="C4" sqref="C4"/>
    </sheetView>
  </sheetViews>
  <sheetFormatPr defaultColWidth="11.421875" defaultRowHeight="12.75"/>
  <cols>
    <col min="1" max="1" width="25.7109375" style="223" customWidth="1"/>
    <col min="2" max="2" width="32.140625" style="223" customWidth="1"/>
    <col min="3" max="3" width="16.421875" style="223" customWidth="1"/>
    <col min="4" max="4" width="15.8515625" style="223" customWidth="1"/>
    <col min="5" max="5" width="19.00390625" style="223" customWidth="1"/>
    <col min="6" max="6" width="11.421875" style="223" customWidth="1"/>
    <col min="7" max="8" width="5.00390625" style="223" hidden="1" customWidth="1"/>
    <col min="9" max="9" width="11.421875" style="223" hidden="1" customWidth="1"/>
    <col min="10" max="16384" width="11.421875" style="223" customWidth="1"/>
  </cols>
  <sheetData>
    <row r="1" ht="15">
      <c r="C1" s="820" t="s">
        <v>674</v>
      </c>
    </row>
    <row r="2" ht="14.25">
      <c r="C2" s="821" t="s">
        <v>675</v>
      </c>
    </row>
    <row r="4" spans="1:3" ht="15">
      <c r="A4" s="819" t="s">
        <v>525</v>
      </c>
      <c r="C4" s="824">
        <v>42339</v>
      </c>
    </row>
    <row r="5" spans="1:3" ht="15">
      <c r="A5" s="819" t="s">
        <v>673</v>
      </c>
      <c r="C5" s="823" t="s">
        <v>676</v>
      </c>
    </row>
    <row r="6" ht="25.5" customHeight="1" thickBot="1"/>
    <row r="7" spans="1:5" ht="44.25" customHeight="1">
      <c r="A7" s="1100" t="s">
        <v>608</v>
      </c>
      <c r="B7" s="1101"/>
      <c r="C7" s="1101"/>
      <c r="D7" s="1102"/>
      <c r="E7" s="233">
        <f>CPYG!D7</f>
        <v>2016</v>
      </c>
    </row>
    <row r="8" spans="1:5" ht="18.75" customHeight="1">
      <c r="A8" s="1106" t="str">
        <f>CPYG!A8</f>
        <v>SPET, TURISMO DE TENERIFE, S.A.</v>
      </c>
      <c r="B8" s="1107"/>
      <c r="C8" s="1107"/>
      <c r="D8" s="1108"/>
      <c r="E8" s="234" t="s">
        <v>377</v>
      </c>
    </row>
    <row r="9" spans="1:5" ht="23.25" customHeight="1" thickBot="1">
      <c r="A9" s="1103" t="s">
        <v>609</v>
      </c>
      <c r="B9" s="1104"/>
      <c r="C9" s="1104"/>
      <c r="D9" s="1104"/>
      <c r="E9" s="1105"/>
    </row>
    <row r="10" spans="1:5" ht="28.5" customHeight="1" thickBot="1">
      <c r="A10" s="1089" t="s">
        <v>63</v>
      </c>
      <c r="B10" s="1090"/>
      <c r="C10" s="235" t="s">
        <v>790</v>
      </c>
      <c r="D10" s="235" t="s">
        <v>798</v>
      </c>
      <c r="E10" s="236" t="s">
        <v>691</v>
      </c>
    </row>
    <row r="11" spans="1:5" ht="16.5" customHeight="1">
      <c r="A11" s="1109" t="str">
        <f>+CPYG!A21</f>
        <v>          b.1.1.) A la Entidad Local o a sus unidades dependientes.(1)</v>
      </c>
      <c r="B11" s="1092"/>
      <c r="C11" s="651">
        <f>+CPYG!C21</f>
        <v>326525.69999999995</v>
      </c>
      <c r="D11" s="651">
        <f>+CPYG!D21</f>
        <v>301700.94</v>
      </c>
      <c r="E11" s="652"/>
    </row>
    <row r="12" spans="1:5" ht="16.5" customHeight="1">
      <c r="A12" s="1110" t="str">
        <f>+CPYG!A22</f>
        <v>          b.1.2.) A otras Administraciones Públicas.(1)</v>
      </c>
      <c r="B12" s="1111"/>
      <c r="C12" s="653">
        <f>+CPYG!C22</f>
        <v>18000</v>
      </c>
      <c r="D12" s="653">
        <f>+CPYG!D22</f>
        <v>18000</v>
      </c>
      <c r="E12" s="587"/>
    </row>
    <row r="13" spans="1:8" ht="16.5" customHeight="1">
      <c r="A13" s="1110" t="str">
        <f>+CPYG!A23</f>
        <v>          b.1.3.) A empresas y Entes Públicos.(1)</v>
      </c>
      <c r="B13" s="1111"/>
      <c r="C13" s="653">
        <f>+CPYG!C23</f>
        <v>843472.8899999999</v>
      </c>
      <c r="D13" s="653">
        <f>+CPYG!D23</f>
        <v>400000</v>
      </c>
      <c r="E13" s="587"/>
      <c r="G13" s="227"/>
      <c r="H13" s="227"/>
    </row>
    <row r="14" spans="1:8" ht="16.5" customHeight="1">
      <c r="A14" s="1110" t="str">
        <f>+CPYG!A24</f>
        <v>          b.2.) Al sector privado</v>
      </c>
      <c r="B14" s="1111"/>
      <c r="C14" s="653">
        <f>+CPYG!C24</f>
        <v>891398.71</v>
      </c>
      <c r="D14" s="653">
        <f>+CPYG!D24</f>
        <v>808718.36</v>
      </c>
      <c r="E14" s="587"/>
      <c r="G14" s="227"/>
      <c r="H14" s="227"/>
    </row>
    <row r="15" spans="1:8" s="226" customFormat="1" ht="22.5" customHeight="1" thickBot="1">
      <c r="A15" s="1087" t="s">
        <v>730</v>
      </c>
      <c r="B15" s="1088"/>
      <c r="C15" s="238">
        <f>SUM(C11:C14)</f>
        <v>2079397.2999999998</v>
      </c>
      <c r="D15" s="238">
        <f>SUM(D11:D14)</f>
        <v>1528419.2999999998</v>
      </c>
      <c r="E15" s="239"/>
      <c r="G15" s="240">
        <f>+C15-CPYG!C12</f>
        <v>0</v>
      </c>
      <c r="H15" s="240">
        <f>+D15-CPYG!D12</f>
        <v>0</v>
      </c>
    </row>
    <row r="16" spans="1:4" ht="9" customHeight="1" thickBot="1">
      <c r="A16" s="1095"/>
      <c r="B16" s="1095"/>
      <c r="C16" s="1095"/>
      <c r="D16" s="1095"/>
    </row>
    <row r="17" spans="1:5" ht="33.75" customHeight="1" thickBot="1">
      <c r="A17" s="1089" t="s">
        <v>527</v>
      </c>
      <c r="B17" s="1090"/>
      <c r="C17" s="235" t="s">
        <v>790</v>
      </c>
      <c r="D17" s="235" t="s">
        <v>798</v>
      </c>
      <c r="E17" s="236" t="s">
        <v>691</v>
      </c>
    </row>
    <row r="18" spans="1:5" ht="12.75">
      <c r="A18" s="1091" t="s">
        <v>64</v>
      </c>
      <c r="B18" s="1092"/>
      <c r="C18" s="241">
        <f>SUM(C19:C22)</f>
        <v>5555.74</v>
      </c>
      <c r="D18" s="241">
        <f>SUM(D19:D22)</f>
        <v>0</v>
      </c>
      <c r="E18" s="242"/>
    </row>
    <row r="19" spans="1:5" ht="16.5" customHeight="1">
      <c r="A19" s="1093" t="s">
        <v>128</v>
      </c>
      <c r="B19" s="1094"/>
      <c r="C19" s="654">
        <f>+CPYG!C81</f>
        <v>5555.74</v>
      </c>
      <c r="D19" s="654"/>
      <c r="E19" s="655"/>
    </row>
    <row r="20" spans="1:5" ht="16.5" customHeight="1">
      <c r="A20" s="1098"/>
      <c r="B20" s="1099"/>
      <c r="C20" s="656"/>
      <c r="D20" s="656"/>
      <c r="E20" s="657"/>
    </row>
    <row r="21" spans="1:5" ht="16.5" customHeight="1">
      <c r="A21" s="1098"/>
      <c r="B21" s="1099"/>
      <c r="C21" s="656"/>
      <c r="D21" s="656"/>
      <c r="E21" s="657"/>
    </row>
    <row r="22" spans="1:5" ht="16.5" customHeight="1">
      <c r="A22" s="1098"/>
      <c r="B22" s="1099"/>
      <c r="C22" s="656"/>
      <c r="D22" s="656"/>
      <c r="E22" s="657"/>
    </row>
    <row r="23" spans="1:5" ht="12.75">
      <c r="A23" s="1096" t="s">
        <v>65</v>
      </c>
      <c r="B23" s="1097"/>
      <c r="C23" s="243">
        <f>SUM(C24:C27)</f>
        <v>-1087.08</v>
      </c>
      <c r="D23" s="243">
        <f>SUM(D24:D27)</f>
        <v>0</v>
      </c>
      <c r="E23" s="244"/>
    </row>
    <row r="24" spans="1:5" ht="16.5" customHeight="1">
      <c r="A24" s="1093" t="s">
        <v>128</v>
      </c>
      <c r="B24" s="1094"/>
      <c r="C24" s="654">
        <f>+CPYG!C80</f>
        <v>-1087.08</v>
      </c>
      <c r="D24" s="654"/>
      <c r="E24" s="655"/>
    </row>
    <row r="25" spans="1:5" ht="16.5" customHeight="1">
      <c r="A25" s="1098"/>
      <c r="B25" s="1099"/>
      <c r="C25" s="656"/>
      <c r="D25" s="656"/>
      <c r="E25" s="657"/>
    </row>
    <row r="26" spans="1:5" ht="16.5" customHeight="1">
      <c r="A26" s="1098"/>
      <c r="B26" s="1099"/>
      <c r="C26" s="656"/>
      <c r="D26" s="656"/>
      <c r="E26" s="657"/>
    </row>
    <row r="27" spans="1:5" ht="16.5" customHeight="1">
      <c r="A27" s="1091"/>
      <c r="B27" s="1092"/>
      <c r="C27" s="651"/>
      <c r="D27" s="651"/>
      <c r="E27" s="652"/>
    </row>
    <row r="28" spans="1:5" s="226" customFormat="1" ht="22.5" customHeight="1" thickBot="1">
      <c r="A28" s="1087" t="s">
        <v>730</v>
      </c>
      <c r="B28" s="1088"/>
      <c r="C28" s="238">
        <f>C18+C23</f>
        <v>4468.66</v>
      </c>
      <c r="D28" s="238">
        <f>D18+D23</f>
        <v>0</v>
      </c>
      <c r="E28" s="239"/>
    </row>
    <row r="29" spans="1:4" ht="21" customHeight="1">
      <c r="A29" s="1095"/>
      <c r="B29" s="1095"/>
      <c r="C29" s="1095"/>
      <c r="D29" s="1095"/>
    </row>
    <row r="30" spans="1:5" s="226" customFormat="1" ht="22.5" customHeight="1">
      <c r="A30" s="237"/>
      <c r="B30" s="237"/>
      <c r="C30" s="245"/>
      <c r="D30" s="245"/>
      <c r="E30" s="246"/>
    </row>
    <row r="31" s="900" customFormat="1" ht="12.75" hidden="1">
      <c r="A31" s="905" t="s">
        <v>646</v>
      </c>
    </row>
    <row r="32" spans="1:5" s="900" customFormat="1" ht="42" customHeight="1" hidden="1">
      <c r="A32" s="1112" t="s">
        <v>604</v>
      </c>
      <c r="B32" s="1112"/>
      <c r="C32" s="1112"/>
      <c r="D32" s="1112"/>
      <c r="E32" s="1112"/>
    </row>
    <row r="33" spans="1:5" s="900" customFormat="1" ht="27" customHeight="1" hidden="1">
      <c r="A33" s="1112" t="s">
        <v>607</v>
      </c>
      <c r="B33" s="1112"/>
      <c r="C33" s="1112"/>
      <c r="D33" s="1112"/>
      <c r="E33" s="1112"/>
    </row>
  </sheetData>
  <sheetProtection/>
  <mergeCells count="25">
    <mergeCell ref="A28:B28"/>
    <mergeCell ref="A19:B19"/>
    <mergeCell ref="A33:E33"/>
    <mergeCell ref="A25:B25"/>
    <mergeCell ref="A27:B27"/>
    <mergeCell ref="A29:D29"/>
    <mergeCell ref="A32:E32"/>
    <mergeCell ref="A22:B22"/>
    <mergeCell ref="A26:B26"/>
    <mergeCell ref="A20:B20"/>
    <mergeCell ref="A11:B11"/>
    <mergeCell ref="A14:B14"/>
    <mergeCell ref="A12:B12"/>
    <mergeCell ref="A13:B13"/>
    <mergeCell ref="A7:D7"/>
    <mergeCell ref="A9:E9"/>
    <mergeCell ref="A10:B10"/>
    <mergeCell ref="A8:D8"/>
    <mergeCell ref="A15:B15"/>
    <mergeCell ref="A17:B17"/>
    <mergeCell ref="A18:B18"/>
    <mergeCell ref="A24:B24"/>
    <mergeCell ref="A16:D16"/>
    <mergeCell ref="A23:B23"/>
    <mergeCell ref="A21:B21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zoomScale="70" zoomScaleNormal="70" zoomScalePageLayoutView="0" workbookViewId="0" topLeftCell="A1">
      <selection activeCell="C4" sqref="C4"/>
    </sheetView>
  </sheetViews>
  <sheetFormatPr defaultColWidth="11.57421875" defaultRowHeight="12.75"/>
  <cols>
    <col min="1" max="1" width="76.421875" style="247" customWidth="1"/>
    <col min="2" max="2" width="0.2890625" style="247" hidden="1" customWidth="1"/>
    <col min="3" max="3" width="24.7109375" style="247" customWidth="1"/>
    <col min="4" max="4" width="19.7109375" style="247" customWidth="1"/>
    <col min="5" max="5" width="19.421875" style="247" customWidth="1"/>
    <col min="6" max="6" width="7.421875" style="247" bestFit="1" customWidth="1"/>
    <col min="7" max="7" width="7.7109375" style="247" bestFit="1" customWidth="1"/>
    <col min="8" max="8" width="7.57421875" style="247" bestFit="1" customWidth="1"/>
    <col min="9" max="9" width="2.140625" style="247" customWidth="1"/>
    <col min="10" max="10" width="8.421875" style="906" hidden="1" customWidth="1"/>
    <col min="11" max="11" width="6.7109375" style="906" hidden="1" customWidth="1"/>
    <col min="12" max="12" width="6.28125" style="906" hidden="1" customWidth="1"/>
    <col min="13" max="13" width="7.140625" style="907" hidden="1" customWidth="1"/>
    <col min="14" max="14" width="16.28125" style="907" hidden="1" customWidth="1"/>
    <col min="15" max="15" width="46.7109375" style="908" hidden="1" customWidth="1"/>
    <col min="16" max="18" width="0" style="908" hidden="1" customWidth="1"/>
    <col min="19" max="16384" width="11.57421875" style="247" customWidth="1"/>
  </cols>
  <sheetData>
    <row r="1" spans="1:3" ht="15">
      <c r="A1" s="223"/>
      <c r="B1" s="223"/>
      <c r="C1" s="820" t="s">
        <v>674</v>
      </c>
    </row>
    <row r="2" spans="1:3" ht="14.25">
      <c r="A2" s="223"/>
      <c r="B2" s="223"/>
      <c r="C2" s="821" t="s">
        <v>675</v>
      </c>
    </row>
    <row r="3" spans="1:3" ht="12.75">
      <c r="A3" s="223"/>
      <c r="B3" s="223"/>
      <c r="C3" s="223"/>
    </row>
    <row r="4" spans="1:3" ht="15">
      <c r="A4" s="819" t="s">
        <v>525</v>
      </c>
      <c r="B4" s="223"/>
      <c r="C4" s="824">
        <v>42339</v>
      </c>
    </row>
    <row r="5" spans="1:3" ht="15">
      <c r="A5" s="819" t="s">
        <v>673</v>
      </c>
      <c r="B5" s="223"/>
      <c r="C5" s="823" t="s">
        <v>676</v>
      </c>
    </row>
    <row r="6" spans="1:8" ht="13.5" thickBot="1">
      <c r="A6" s="705"/>
      <c r="H6" s="706"/>
    </row>
    <row r="7" spans="1:8" ht="46.5" customHeight="1">
      <c r="A7" s="1120" t="s">
        <v>389</v>
      </c>
      <c r="B7" s="1121"/>
      <c r="C7" s="1121"/>
      <c r="D7" s="1121"/>
      <c r="E7" s="1121"/>
      <c r="F7" s="1113">
        <f>CPYG!D7</f>
        <v>2016</v>
      </c>
      <c r="G7" s="1113"/>
      <c r="H7" s="1114"/>
    </row>
    <row r="8" spans="1:8" ht="30" customHeight="1" thickBot="1">
      <c r="A8" s="1118" t="str">
        <f>CPYG!A8</f>
        <v>SPET, TURISMO DE TENERIFE, S.A.</v>
      </c>
      <c r="B8" s="1119"/>
      <c r="C8" s="1119"/>
      <c r="D8" s="1119"/>
      <c r="E8" s="1119"/>
      <c r="F8" s="1115" t="s">
        <v>371</v>
      </c>
      <c r="G8" s="1116"/>
      <c r="H8" s="1117"/>
    </row>
    <row r="9" spans="1:8" ht="24.75" customHeight="1" thickBot="1">
      <c r="A9" s="1123" t="s">
        <v>698</v>
      </c>
      <c r="B9" s="1124"/>
      <c r="C9" s="1124"/>
      <c r="D9" s="1124"/>
      <c r="E9" s="1124"/>
      <c r="F9" s="1124"/>
      <c r="G9" s="1124"/>
      <c r="H9" s="1125"/>
    </row>
    <row r="10" spans="1:8" ht="19.5" customHeight="1" thickBot="1">
      <c r="A10" s="658" t="s">
        <v>697</v>
      </c>
      <c r="B10" s="659"/>
      <c r="C10" s="660" t="s">
        <v>692</v>
      </c>
      <c r="D10" s="660">
        <v>2015</v>
      </c>
      <c r="E10" s="660">
        <v>2016</v>
      </c>
      <c r="F10" s="660" t="s">
        <v>320</v>
      </c>
      <c r="G10" s="660" t="s">
        <v>729</v>
      </c>
      <c r="H10" s="661" t="s">
        <v>728</v>
      </c>
    </row>
    <row r="11" spans="1:8" ht="19.5" customHeight="1" thickBot="1">
      <c r="A11" s="662" t="s">
        <v>693</v>
      </c>
      <c r="B11" s="663"/>
      <c r="C11" s="664"/>
      <c r="D11" s="665">
        <f>PASIVO!B32</f>
        <v>148973.91</v>
      </c>
      <c r="E11" s="666">
        <f>+D24</f>
        <v>143147.86000000002</v>
      </c>
      <c r="F11" s="667"/>
      <c r="G11" s="668"/>
      <c r="H11" s="669"/>
    </row>
    <row r="12" spans="1:8" ht="19.5" customHeight="1">
      <c r="A12" s="686"/>
      <c r="B12" s="687"/>
      <c r="C12" s="249"/>
      <c r="D12" s="250"/>
      <c r="E12" s="250"/>
      <c r="F12" s="251"/>
      <c r="G12" s="251"/>
      <c r="H12" s="252"/>
    </row>
    <row r="13" spans="1:8" ht="19.5" customHeight="1">
      <c r="A13" s="688"/>
      <c r="B13" s="687"/>
      <c r="C13" s="249"/>
      <c r="D13" s="253"/>
      <c r="E13" s="253"/>
      <c r="F13" s="254"/>
      <c r="G13" s="254"/>
      <c r="H13" s="255"/>
    </row>
    <row r="14" spans="1:8" ht="19.5" customHeight="1">
      <c r="A14" s="688"/>
      <c r="B14" s="687"/>
      <c r="C14" s="249"/>
      <c r="D14" s="253"/>
      <c r="E14" s="253"/>
      <c r="F14" s="256"/>
      <c r="G14" s="256"/>
      <c r="H14" s="257"/>
    </row>
    <row r="15" spans="1:8" ht="19.5" customHeight="1">
      <c r="A15" s="732"/>
      <c r="B15" s="733"/>
      <c r="C15" s="734"/>
      <c r="D15" s="735"/>
      <c r="E15" s="735"/>
      <c r="F15" s="745"/>
      <c r="G15" s="745"/>
      <c r="H15" s="746"/>
    </row>
    <row r="16" spans="1:8" ht="19.5" customHeight="1">
      <c r="A16" s="688"/>
      <c r="B16" s="687"/>
      <c r="C16" s="249"/>
      <c r="D16" s="253"/>
      <c r="E16" s="253"/>
      <c r="F16" s="256"/>
      <c r="G16" s="256"/>
      <c r="H16" s="257"/>
    </row>
    <row r="17" spans="1:8" ht="19.5" customHeight="1">
      <c r="A17" s="688"/>
      <c r="B17" s="687"/>
      <c r="C17" s="249"/>
      <c r="D17" s="253"/>
      <c r="E17" s="253"/>
      <c r="F17" s="256"/>
      <c r="G17" s="256"/>
      <c r="H17" s="257"/>
    </row>
    <row r="18" spans="1:8" ht="19.5" customHeight="1">
      <c r="A18" s="688"/>
      <c r="B18" s="687"/>
      <c r="C18" s="249"/>
      <c r="D18" s="253"/>
      <c r="E18" s="253"/>
      <c r="F18" s="256"/>
      <c r="G18" s="256"/>
      <c r="H18" s="257"/>
    </row>
    <row r="19" spans="1:8" ht="19.5" customHeight="1" thickBot="1">
      <c r="A19" s="689"/>
      <c r="B19" s="690"/>
      <c r="C19" s="375"/>
      <c r="D19" s="376"/>
      <c r="E19" s="376"/>
      <c r="F19" s="260"/>
      <c r="G19" s="260"/>
      <c r="H19" s="261"/>
    </row>
    <row r="20" spans="1:8" ht="19.5" customHeight="1" thickBot="1">
      <c r="A20" s="672" t="s">
        <v>700</v>
      </c>
      <c r="B20" s="673"/>
      <c r="C20" s="674"/>
      <c r="D20" s="747">
        <f>SUM(D12:D19)</f>
        <v>0</v>
      </c>
      <c r="E20" s="748">
        <f>SUM(E12:E19)</f>
        <v>0</v>
      </c>
      <c r="F20" s="707"/>
      <c r="G20" s="707"/>
      <c r="H20" s="707"/>
    </row>
    <row r="21" spans="1:8" ht="19.5" customHeight="1">
      <c r="A21" s="675" t="s">
        <v>694</v>
      </c>
      <c r="B21" s="670"/>
      <c r="C21" s="637"/>
      <c r="D21" s="708"/>
      <c r="E21" s="377"/>
      <c r="F21" s="707"/>
      <c r="G21" s="707"/>
      <c r="H21" s="707"/>
    </row>
    <row r="22" spans="1:9" ht="19.5" customHeight="1">
      <c r="A22" s="671" t="s">
        <v>695</v>
      </c>
      <c r="B22" s="670"/>
      <c r="C22" s="262"/>
      <c r="D22" s="263">
        <f>-CPYG!C63</f>
        <v>-5826.05</v>
      </c>
      <c r="E22" s="378">
        <f>-CPYG!D63</f>
        <v>-5840.49</v>
      </c>
      <c r="F22" s="707"/>
      <c r="G22" s="707"/>
      <c r="H22" s="707"/>
      <c r="I22" s="248"/>
    </row>
    <row r="23" spans="1:8" ht="19.5" customHeight="1" thickBot="1">
      <c r="A23" s="671" t="s">
        <v>528</v>
      </c>
      <c r="B23" s="676"/>
      <c r="C23" s="264"/>
      <c r="D23" s="265"/>
      <c r="E23" s="379"/>
      <c r="F23" s="707"/>
      <c r="G23" s="707"/>
      <c r="H23" s="707"/>
    </row>
    <row r="24" spans="1:9" ht="19.5" customHeight="1" thickBot="1" thickTop="1">
      <c r="A24" s="677" t="s">
        <v>696</v>
      </c>
      <c r="B24" s="678"/>
      <c r="C24" s="679"/>
      <c r="D24" s="749">
        <f>D11+D20+D21+D22+D23</f>
        <v>143147.86000000002</v>
      </c>
      <c r="E24" s="749">
        <f>E11+E20+E21+E22+E23</f>
        <v>137307.37000000002</v>
      </c>
      <c r="F24" s="707"/>
      <c r="G24" s="707"/>
      <c r="H24" s="707"/>
      <c r="I24" s="736"/>
    </row>
    <row r="25" spans="1:18" s="133" customFormat="1" ht="19.5" customHeight="1">
      <c r="A25" s="707"/>
      <c r="B25" s="707"/>
      <c r="C25" s="707"/>
      <c r="D25" s="707"/>
      <c r="E25" s="707"/>
      <c r="F25" s="707"/>
      <c r="G25" s="707"/>
      <c r="H25" s="707"/>
      <c r="J25" s="866"/>
      <c r="K25" s="866"/>
      <c r="L25" s="866"/>
      <c r="M25" s="866"/>
      <c r="N25" s="866"/>
      <c r="O25" s="866"/>
      <c r="P25" s="866"/>
      <c r="Q25" s="866"/>
      <c r="R25" s="866"/>
    </row>
    <row r="26" spans="1:18" s="133" customFormat="1" ht="19.5" customHeight="1" thickBot="1">
      <c r="A26" s="707"/>
      <c r="B26" s="707"/>
      <c r="C26" s="707"/>
      <c r="D26" s="707"/>
      <c r="E26" s="707"/>
      <c r="F26" s="707"/>
      <c r="G26" s="707"/>
      <c r="H26" s="707"/>
      <c r="J26" s="866"/>
      <c r="K26" s="866"/>
      <c r="L26" s="866"/>
      <c r="M26" s="866"/>
      <c r="N26" s="866"/>
      <c r="O26" s="866"/>
      <c r="P26" s="866"/>
      <c r="Q26" s="866"/>
      <c r="R26" s="866"/>
    </row>
    <row r="27" spans="1:18" s="133" customFormat="1" ht="19.5" customHeight="1" thickBot="1">
      <c r="A27" s="658" t="s">
        <v>314</v>
      </c>
      <c r="B27" s="659"/>
      <c r="C27" s="660" t="s">
        <v>692</v>
      </c>
      <c r="D27" s="660">
        <v>2015</v>
      </c>
      <c r="E27" s="660">
        <v>2016</v>
      </c>
      <c r="F27" s="660" t="s">
        <v>320</v>
      </c>
      <c r="G27" s="660" t="s">
        <v>729</v>
      </c>
      <c r="H27" s="661" t="s">
        <v>728</v>
      </c>
      <c r="J27" s="866"/>
      <c r="K27" s="866"/>
      <c r="L27" s="866"/>
      <c r="M27" s="866"/>
      <c r="N27" s="866"/>
      <c r="O27" s="866"/>
      <c r="P27" s="866"/>
      <c r="Q27" s="866"/>
      <c r="R27" s="866"/>
    </row>
    <row r="28" spans="1:18" s="133" customFormat="1" ht="19.5" customHeight="1" thickBot="1">
      <c r="A28" s="658" t="s">
        <v>530</v>
      </c>
      <c r="B28" s="659"/>
      <c r="C28" s="680"/>
      <c r="D28" s="681"/>
      <c r="E28" s="681"/>
      <c r="F28" s="852"/>
      <c r="G28" s="852"/>
      <c r="H28" s="853"/>
      <c r="J28" s="866"/>
      <c r="K28" s="909"/>
      <c r="L28" s="909"/>
      <c r="M28" s="909"/>
      <c r="N28" s="910"/>
      <c r="O28" s="875"/>
      <c r="P28" s="866"/>
      <c r="Q28" s="866"/>
      <c r="R28" s="866"/>
    </row>
    <row r="29" spans="1:18" s="133" customFormat="1" ht="19.5" customHeight="1">
      <c r="A29" s="686" t="s">
        <v>170</v>
      </c>
      <c r="B29" s="687"/>
      <c r="C29" s="249" t="s">
        <v>708</v>
      </c>
      <c r="D29" s="250">
        <v>0</v>
      </c>
      <c r="E29" s="862">
        <v>200000</v>
      </c>
      <c r="F29" s="857">
        <v>911</v>
      </c>
      <c r="G29" s="850">
        <v>4391</v>
      </c>
      <c r="H29" s="851">
        <v>44933</v>
      </c>
      <c r="J29" s="911"/>
      <c r="K29" s="875"/>
      <c r="L29" s="875"/>
      <c r="M29" s="875"/>
      <c r="N29" s="875"/>
      <c r="O29" s="875"/>
      <c r="P29" s="866"/>
      <c r="Q29" s="866"/>
      <c r="R29" s="866"/>
    </row>
    <row r="30" spans="1:18" s="133" customFormat="1" ht="19.5" customHeight="1">
      <c r="A30" s="688" t="s">
        <v>172</v>
      </c>
      <c r="B30" s="687"/>
      <c r="C30" s="710" t="s">
        <v>708</v>
      </c>
      <c r="D30" s="253">
        <v>3222914.48</v>
      </c>
      <c r="E30" s="863">
        <f>N32</f>
        <v>4199114.48</v>
      </c>
      <c r="F30" s="320">
        <v>901</v>
      </c>
      <c r="G30" s="854">
        <v>4322</v>
      </c>
      <c r="H30" s="858">
        <v>44933</v>
      </c>
      <c r="J30" s="911"/>
      <c r="K30" s="912">
        <f>'[1]C.23.11'!C1912</f>
        <v>901</v>
      </c>
      <c r="L30" s="912">
        <f>'[1]C.23.11'!D1912</f>
        <v>4322</v>
      </c>
      <c r="M30" s="912">
        <f>'[1]C.23.11'!E1912</f>
        <v>44933</v>
      </c>
      <c r="N30" s="913">
        <f>'[1]C.23.11'!F1912</f>
        <v>3199114.48</v>
      </c>
      <c r="O30" s="866" t="str">
        <f>'[1]C.23.11'!H1912</f>
        <v>A4- SPET PROMOCIÓN EXTERIOR Y EN DESTINO</v>
      </c>
      <c r="P30" s="866"/>
      <c r="Q30" s="866"/>
      <c r="R30" s="866"/>
    </row>
    <row r="31" spans="1:18" s="133" customFormat="1" ht="19.5" customHeight="1">
      <c r="A31" s="688" t="s">
        <v>173</v>
      </c>
      <c r="B31" s="687"/>
      <c r="C31" s="710" t="s">
        <v>708</v>
      </c>
      <c r="D31" s="253">
        <v>3156000</v>
      </c>
      <c r="E31" s="855">
        <v>3208000</v>
      </c>
      <c r="F31" s="320">
        <v>901</v>
      </c>
      <c r="G31" s="854">
        <v>4322</v>
      </c>
      <c r="H31" s="858">
        <v>44933</v>
      </c>
      <c r="I31" s="134"/>
      <c r="J31" s="911"/>
      <c r="K31" s="914">
        <f>'[1]C.23.11'!C1915</f>
        <v>901</v>
      </c>
      <c r="L31" s="914">
        <f>'[1]C.23.11'!D1915</f>
        <v>4322</v>
      </c>
      <c r="M31" s="914">
        <f>'[1]C.23.11'!E1915</f>
        <v>44933</v>
      </c>
      <c r="N31" s="915">
        <f>'[1]C.23.11'!F1915</f>
        <v>1000000</v>
      </c>
      <c r="O31" s="916" t="str">
        <f>'[1]C.23.11'!H1915</f>
        <v>A4- SPET INCREMENTO PROMOCIÓN</v>
      </c>
      <c r="P31" s="866"/>
      <c r="Q31" s="866"/>
      <c r="R31" s="866"/>
    </row>
    <row r="32" spans="1:18" s="133" customFormat="1" ht="19.5" customHeight="1">
      <c r="A32" s="688" t="s">
        <v>174</v>
      </c>
      <c r="B32" s="687"/>
      <c r="C32" s="710" t="s">
        <v>708</v>
      </c>
      <c r="D32" s="253">
        <v>1470000</v>
      </c>
      <c r="E32" s="864">
        <v>1470000</v>
      </c>
      <c r="F32" s="320">
        <v>901</v>
      </c>
      <c r="G32" s="854">
        <v>4322</v>
      </c>
      <c r="H32" s="858">
        <v>44933</v>
      </c>
      <c r="I32" s="744"/>
      <c r="J32" s="911"/>
      <c r="K32" s="909"/>
      <c r="L32" s="909"/>
      <c r="M32" s="909"/>
      <c r="N32" s="867">
        <f>+N30+N31</f>
        <v>4199114.48</v>
      </c>
      <c r="O32" s="875"/>
      <c r="P32" s="866"/>
      <c r="Q32" s="866"/>
      <c r="R32" s="866"/>
    </row>
    <row r="33" spans="1:18" s="133" customFormat="1" ht="19.5" customHeight="1">
      <c r="A33" s="688" t="s">
        <v>175</v>
      </c>
      <c r="B33" s="687"/>
      <c r="C33" s="249" t="s">
        <v>708</v>
      </c>
      <c r="D33" s="253">
        <v>171387.3</v>
      </c>
      <c r="E33" s="855">
        <v>171387.3</v>
      </c>
      <c r="F33" s="320">
        <v>901</v>
      </c>
      <c r="G33" s="854">
        <v>4322</v>
      </c>
      <c r="H33" s="858">
        <v>44933</v>
      </c>
      <c r="I33" s="744"/>
      <c r="J33" s="911"/>
      <c r="K33" s="909"/>
      <c r="L33" s="909"/>
      <c r="M33" s="909"/>
      <c r="N33" s="867">
        <v>4204914.48</v>
      </c>
      <c r="O33" s="875"/>
      <c r="P33" s="866"/>
      <c r="Q33" s="866"/>
      <c r="R33" s="866"/>
    </row>
    <row r="34" spans="1:18" s="133" customFormat="1" ht="19.5" customHeight="1">
      <c r="A34" s="688" t="s">
        <v>176</v>
      </c>
      <c r="B34" s="687"/>
      <c r="C34" s="249" t="s">
        <v>708</v>
      </c>
      <c r="D34" s="253">
        <v>98000</v>
      </c>
      <c r="E34" s="855">
        <v>98000</v>
      </c>
      <c r="F34" s="320">
        <v>901</v>
      </c>
      <c r="G34" s="854">
        <v>4322</v>
      </c>
      <c r="H34" s="858">
        <v>44933</v>
      </c>
      <c r="I34" s="744"/>
      <c r="J34" s="911"/>
      <c r="K34" s="866"/>
      <c r="L34" s="866"/>
      <c r="M34" s="866"/>
      <c r="N34" s="867">
        <f>+N32-N33</f>
        <v>-5800</v>
      </c>
      <c r="O34" s="866"/>
      <c r="P34" s="866"/>
      <c r="Q34" s="866"/>
      <c r="R34" s="866"/>
    </row>
    <row r="35" spans="1:18" s="133" customFormat="1" ht="19.5" customHeight="1">
      <c r="A35" s="688" t="s">
        <v>177</v>
      </c>
      <c r="B35" s="687"/>
      <c r="C35" s="249" t="s">
        <v>708</v>
      </c>
      <c r="D35" s="253">
        <v>5800</v>
      </c>
      <c r="E35" s="855">
        <v>0</v>
      </c>
      <c r="F35" s="320"/>
      <c r="G35" s="854"/>
      <c r="H35" s="858"/>
      <c r="I35" s="744"/>
      <c r="J35" s="917" t="s">
        <v>198</v>
      </c>
      <c r="K35" s="917" t="s">
        <v>199</v>
      </c>
      <c r="L35" s="917" t="s">
        <v>200</v>
      </c>
      <c r="M35" s="917" t="s">
        <v>201</v>
      </c>
      <c r="N35" s="918">
        <v>3199114.48</v>
      </c>
      <c r="O35" s="919" t="s">
        <v>202</v>
      </c>
      <c r="P35" s="866"/>
      <c r="Q35" s="866"/>
      <c r="R35" s="866"/>
    </row>
    <row r="36" spans="1:18" s="133" customFormat="1" ht="19.5" customHeight="1">
      <c r="A36" s="688" t="s">
        <v>178</v>
      </c>
      <c r="B36" s="687"/>
      <c r="C36" s="249" t="s">
        <v>708</v>
      </c>
      <c r="D36" s="253">
        <v>30000</v>
      </c>
      <c r="E36" s="855"/>
      <c r="F36" s="320"/>
      <c r="G36" s="854"/>
      <c r="H36" s="858"/>
      <c r="I36" s="744"/>
      <c r="J36" s="917" t="s">
        <v>198</v>
      </c>
      <c r="K36" s="917" t="s">
        <v>199</v>
      </c>
      <c r="L36" s="917" t="s">
        <v>200</v>
      </c>
      <c r="M36" s="917" t="s">
        <v>201</v>
      </c>
      <c r="N36" s="918">
        <v>1000000</v>
      </c>
      <c r="O36" s="919" t="s">
        <v>203</v>
      </c>
      <c r="P36" s="866"/>
      <c r="Q36" s="866"/>
      <c r="R36" s="866"/>
    </row>
    <row r="37" spans="1:18" s="133" customFormat="1" ht="19.5" customHeight="1">
      <c r="A37" s="688" t="s">
        <v>187</v>
      </c>
      <c r="B37" s="687"/>
      <c r="C37" s="249" t="s">
        <v>708</v>
      </c>
      <c r="D37" s="253">
        <v>0</v>
      </c>
      <c r="E37" s="855">
        <v>330000</v>
      </c>
      <c r="F37" s="320">
        <v>901</v>
      </c>
      <c r="G37" s="854">
        <v>4322</v>
      </c>
      <c r="H37" s="858">
        <v>44933</v>
      </c>
      <c r="I37" s="744"/>
      <c r="J37" s="917" t="s">
        <v>198</v>
      </c>
      <c r="K37" s="917" t="s">
        <v>199</v>
      </c>
      <c r="L37" s="917" t="s">
        <v>200</v>
      </c>
      <c r="M37" s="917" t="s">
        <v>201</v>
      </c>
      <c r="N37" s="918">
        <v>330000</v>
      </c>
      <c r="O37" s="919" t="s">
        <v>204</v>
      </c>
      <c r="P37" s="866"/>
      <c r="Q37" s="866"/>
      <c r="R37" s="866"/>
    </row>
    <row r="38" spans="1:18" s="133" customFormat="1" ht="19.5" customHeight="1">
      <c r="A38" s="688" t="s">
        <v>179</v>
      </c>
      <c r="B38" s="687"/>
      <c r="C38" s="249" t="s">
        <v>708</v>
      </c>
      <c r="D38" s="253">
        <v>185000</v>
      </c>
      <c r="E38" s="855">
        <f>'[1]C.23.11'!F1908</f>
        <v>185000</v>
      </c>
      <c r="F38" s="320">
        <v>901</v>
      </c>
      <c r="G38" s="854">
        <v>4322</v>
      </c>
      <c r="H38" s="858">
        <v>44933</v>
      </c>
      <c r="I38" s="744"/>
      <c r="J38" s="920" t="s">
        <v>198</v>
      </c>
      <c r="K38" s="920" t="s">
        <v>199</v>
      </c>
      <c r="L38" s="920" t="s">
        <v>200</v>
      </c>
      <c r="M38" s="920" t="s">
        <v>201</v>
      </c>
      <c r="N38" s="918">
        <v>1470000</v>
      </c>
      <c r="O38" s="921" t="s">
        <v>205</v>
      </c>
      <c r="P38" s="866"/>
      <c r="Q38" s="866"/>
      <c r="R38" s="866"/>
    </row>
    <row r="39" spans="1:18" s="133" customFormat="1" ht="19.5" customHeight="1">
      <c r="A39" s="688" t="s">
        <v>180</v>
      </c>
      <c r="B39" s="687"/>
      <c r="C39" s="249" t="s">
        <v>708</v>
      </c>
      <c r="D39" s="253">
        <v>165500</v>
      </c>
      <c r="E39" s="855">
        <f>'[1]C.23.11'!F1907</f>
        <v>165500</v>
      </c>
      <c r="F39" s="320">
        <f>'[1]C.23.11'!C1907</f>
        <v>901</v>
      </c>
      <c r="G39" s="854">
        <f>'[1]C.23.11'!D1907</f>
        <v>4322</v>
      </c>
      <c r="H39" s="858">
        <f>'[1]C.23.11'!E1907</f>
        <v>44933</v>
      </c>
      <c r="I39" s="744"/>
      <c r="J39" s="917" t="s">
        <v>198</v>
      </c>
      <c r="K39" s="917" t="s">
        <v>199</v>
      </c>
      <c r="L39" s="917" t="s">
        <v>200</v>
      </c>
      <c r="M39" s="917" t="s">
        <v>201</v>
      </c>
      <c r="N39" s="918">
        <v>165500</v>
      </c>
      <c r="O39" s="919" t="s">
        <v>206</v>
      </c>
      <c r="P39" s="866"/>
      <c r="Q39" s="866"/>
      <c r="R39" s="866"/>
    </row>
    <row r="40" spans="1:18" s="133" customFormat="1" ht="19.5" customHeight="1">
      <c r="A40" s="688" t="s">
        <v>197</v>
      </c>
      <c r="B40" s="687"/>
      <c r="C40" s="249" t="s">
        <v>708</v>
      </c>
      <c r="D40" s="253">
        <v>0</v>
      </c>
      <c r="E40" s="855">
        <v>60000</v>
      </c>
      <c r="F40" s="320">
        <v>901</v>
      </c>
      <c r="G40" s="854" t="s">
        <v>200</v>
      </c>
      <c r="H40" s="858" t="s">
        <v>201</v>
      </c>
      <c r="I40" s="744"/>
      <c r="J40" s="917" t="s">
        <v>198</v>
      </c>
      <c r="K40" s="917" t="s">
        <v>199</v>
      </c>
      <c r="L40" s="917" t="s">
        <v>200</v>
      </c>
      <c r="M40" s="917" t="s">
        <v>201</v>
      </c>
      <c r="N40" s="918">
        <v>98000</v>
      </c>
      <c r="O40" s="919" t="s">
        <v>207</v>
      </c>
      <c r="P40" s="866"/>
      <c r="Q40" s="866"/>
      <c r="R40" s="866"/>
    </row>
    <row r="41" spans="1:18" s="133" customFormat="1" ht="19.5" customHeight="1">
      <c r="A41" s="688" t="s">
        <v>181</v>
      </c>
      <c r="B41" s="687"/>
      <c r="C41" s="249" t="s">
        <v>708</v>
      </c>
      <c r="D41" s="253">
        <v>261000</v>
      </c>
      <c r="E41" s="855"/>
      <c r="F41" s="320"/>
      <c r="G41" s="854"/>
      <c r="H41" s="858"/>
      <c r="I41" s="744"/>
      <c r="J41" s="917" t="s">
        <v>198</v>
      </c>
      <c r="K41" s="917" t="s">
        <v>199</v>
      </c>
      <c r="L41" s="917" t="s">
        <v>200</v>
      </c>
      <c r="M41" s="917" t="s">
        <v>201</v>
      </c>
      <c r="N41" s="918">
        <v>185000</v>
      </c>
      <c r="O41" s="919" t="s">
        <v>208</v>
      </c>
      <c r="P41" s="866"/>
      <c r="Q41" s="866"/>
      <c r="R41" s="866"/>
    </row>
    <row r="42" spans="1:18" s="133" customFormat="1" ht="19.5" customHeight="1">
      <c r="A42" s="688" t="s">
        <v>182</v>
      </c>
      <c r="B42" s="687"/>
      <c r="C42" s="249" t="s">
        <v>708</v>
      </c>
      <c r="D42" s="253">
        <v>304134</v>
      </c>
      <c r="E42" s="855"/>
      <c r="F42" s="320"/>
      <c r="G42" s="854"/>
      <c r="H42" s="858"/>
      <c r="I42" s="744"/>
      <c r="J42" s="917" t="s">
        <v>198</v>
      </c>
      <c r="K42" s="917" t="s">
        <v>199</v>
      </c>
      <c r="L42" s="917" t="s">
        <v>200</v>
      </c>
      <c r="M42" s="917" t="s">
        <v>201</v>
      </c>
      <c r="N42" s="918">
        <v>171387.3</v>
      </c>
      <c r="O42" s="919" t="s">
        <v>209</v>
      </c>
      <c r="P42" s="866"/>
      <c r="Q42" s="866"/>
      <c r="R42" s="866"/>
    </row>
    <row r="43" spans="1:18" s="133" customFormat="1" ht="19.5" customHeight="1">
      <c r="A43" s="688" t="s">
        <v>188</v>
      </c>
      <c r="B43" s="687"/>
      <c r="C43" s="249" t="s">
        <v>710</v>
      </c>
      <c r="D43" s="253">
        <v>150000</v>
      </c>
      <c r="E43" s="855">
        <v>150000</v>
      </c>
      <c r="F43" s="320"/>
      <c r="G43" s="854"/>
      <c r="H43" s="858"/>
      <c r="I43" s="744"/>
      <c r="J43" s="920" t="s">
        <v>198</v>
      </c>
      <c r="K43" s="920" t="s">
        <v>199</v>
      </c>
      <c r="L43" s="920" t="s">
        <v>200</v>
      </c>
      <c r="M43" s="920" t="s">
        <v>201</v>
      </c>
      <c r="N43" s="918">
        <v>3208000</v>
      </c>
      <c r="O43" s="921" t="s">
        <v>210</v>
      </c>
      <c r="P43" s="866"/>
      <c r="Q43" s="866"/>
      <c r="R43" s="866"/>
    </row>
    <row r="44" spans="1:18" s="133" customFormat="1" ht="19.5" customHeight="1">
      <c r="A44" s="688" t="s">
        <v>189</v>
      </c>
      <c r="B44" s="687"/>
      <c r="C44" s="249" t="s">
        <v>710</v>
      </c>
      <c r="D44" s="253">
        <v>150000</v>
      </c>
      <c r="E44" s="855">
        <v>150000</v>
      </c>
      <c r="F44" s="320"/>
      <c r="G44" s="854"/>
      <c r="H44" s="858"/>
      <c r="I44" s="744"/>
      <c r="J44" s="917" t="s">
        <v>198</v>
      </c>
      <c r="K44" s="917" t="s">
        <v>199</v>
      </c>
      <c r="L44" s="917" t="s">
        <v>200</v>
      </c>
      <c r="M44" s="917" t="s">
        <v>201</v>
      </c>
      <c r="N44" s="918">
        <v>60000</v>
      </c>
      <c r="O44" s="919" t="s">
        <v>211</v>
      </c>
      <c r="P44" s="866"/>
      <c r="Q44" s="866"/>
      <c r="R44" s="866"/>
    </row>
    <row r="45" spans="1:18" s="133" customFormat="1" ht="19.5" customHeight="1">
      <c r="A45" s="688" t="s">
        <v>190</v>
      </c>
      <c r="B45" s="687"/>
      <c r="C45" s="249" t="s">
        <v>710</v>
      </c>
      <c r="D45" s="253">
        <v>7500</v>
      </c>
      <c r="E45" s="855">
        <v>7500</v>
      </c>
      <c r="F45" s="859"/>
      <c r="G45" s="700"/>
      <c r="H45" s="703"/>
      <c r="I45" s="744"/>
      <c r="J45" s="920" t="s">
        <v>198</v>
      </c>
      <c r="K45" s="920" t="s">
        <v>212</v>
      </c>
      <c r="L45" s="920" t="s">
        <v>213</v>
      </c>
      <c r="M45" s="920" t="s">
        <v>201</v>
      </c>
      <c r="N45" s="918">
        <v>135852</v>
      </c>
      <c r="O45" s="921" t="s">
        <v>214</v>
      </c>
      <c r="P45" s="866"/>
      <c r="Q45" s="866"/>
      <c r="R45" s="866"/>
    </row>
    <row r="46" spans="1:18" s="133" customFormat="1" ht="19.5" customHeight="1">
      <c r="A46" s="688" t="s">
        <v>191</v>
      </c>
      <c r="B46" s="687"/>
      <c r="C46" s="249" t="s">
        <v>710</v>
      </c>
      <c r="D46" s="253">
        <v>40000</v>
      </c>
      <c r="E46" s="855">
        <v>40000</v>
      </c>
      <c r="F46" s="859"/>
      <c r="G46" s="700"/>
      <c r="H46" s="703"/>
      <c r="I46" s="744"/>
      <c r="J46" s="920" t="s">
        <v>198</v>
      </c>
      <c r="K46" s="920" t="s">
        <v>212</v>
      </c>
      <c r="L46" s="920" t="s">
        <v>213</v>
      </c>
      <c r="M46" s="920" t="s">
        <v>201</v>
      </c>
      <c r="N46" s="918">
        <v>64148</v>
      </c>
      <c r="O46" s="921" t="s">
        <v>215</v>
      </c>
      <c r="P46" s="866"/>
      <c r="Q46" s="866"/>
      <c r="R46" s="866"/>
    </row>
    <row r="47" spans="1:18" s="133" customFormat="1" ht="19.5" customHeight="1">
      <c r="A47" s="688" t="s">
        <v>192</v>
      </c>
      <c r="B47" s="687"/>
      <c r="C47" s="249" t="s">
        <v>710</v>
      </c>
      <c r="D47" s="253">
        <v>6000</v>
      </c>
      <c r="E47" s="855">
        <v>6000</v>
      </c>
      <c r="F47" s="859"/>
      <c r="G47" s="700"/>
      <c r="H47" s="703"/>
      <c r="I47" s="744"/>
      <c r="J47" s="866"/>
      <c r="K47" s="911"/>
      <c r="L47" s="866"/>
      <c r="M47" s="866"/>
      <c r="N47" s="918">
        <f>+N35+N36+N37+N38+N39+N40+N41+N42+N43+N44+N45+N46</f>
        <v>10087001.780000001</v>
      </c>
      <c r="O47" s="866"/>
      <c r="P47" s="866"/>
      <c r="Q47" s="866"/>
      <c r="R47" s="866"/>
    </row>
    <row r="48" spans="1:18" s="133" customFormat="1" ht="19.5" customHeight="1">
      <c r="A48" s="688" t="s">
        <v>193</v>
      </c>
      <c r="B48" s="687"/>
      <c r="C48" s="249" t="s">
        <v>710</v>
      </c>
      <c r="D48" s="253">
        <v>23351</v>
      </c>
      <c r="E48" s="855">
        <v>23351</v>
      </c>
      <c r="F48" s="859"/>
      <c r="G48" s="700"/>
      <c r="H48" s="703"/>
      <c r="I48" s="744"/>
      <c r="J48" s="866"/>
      <c r="K48" s="911"/>
      <c r="L48" s="866"/>
      <c r="M48" s="866"/>
      <c r="N48" s="867">
        <f>SUM(E43:E50)</f>
        <v>397851</v>
      </c>
      <c r="O48" s="866"/>
      <c r="P48" s="866"/>
      <c r="Q48" s="866"/>
      <c r="R48" s="866"/>
    </row>
    <row r="49" spans="1:18" s="133" customFormat="1" ht="19.5" customHeight="1">
      <c r="A49" s="688" t="s">
        <v>194</v>
      </c>
      <c r="B49" s="687"/>
      <c r="C49" s="249" t="s">
        <v>710</v>
      </c>
      <c r="D49" s="253">
        <v>3000</v>
      </c>
      <c r="E49" s="855">
        <v>3000</v>
      </c>
      <c r="F49" s="859"/>
      <c r="G49" s="700"/>
      <c r="H49" s="703"/>
      <c r="I49" s="744"/>
      <c r="J49" s="866"/>
      <c r="K49" s="911"/>
      <c r="L49" s="866"/>
      <c r="M49" s="866"/>
      <c r="N49" s="866"/>
      <c r="O49" s="866"/>
      <c r="P49" s="866"/>
      <c r="Q49" s="866"/>
      <c r="R49" s="866"/>
    </row>
    <row r="50" spans="1:18" s="133" customFormat="1" ht="19.5" customHeight="1">
      <c r="A50" s="688" t="s">
        <v>195</v>
      </c>
      <c r="B50" s="687"/>
      <c r="C50" s="249" t="s">
        <v>710</v>
      </c>
      <c r="D50" s="253">
        <v>18000</v>
      </c>
      <c r="E50" s="855">
        <v>18000</v>
      </c>
      <c r="F50" s="859"/>
      <c r="G50" s="700"/>
      <c r="H50" s="703"/>
      <c r="I50" s="744"/>
      <c r="J50" s="866"/>
      <c r="K50" s="866"/>
      <c r="L50" s="866"/>
      <c r="M50" s="866"/>
      <c r="N50" s="866"/>
      <c r="O50" s="866"/>
      <c r="P50" s="866"/>
      <c r="Q50" s="866"/>
      <c r="R50" s="866"/>
    </row>
    <row r="51" spans="1:18" s="133" customFormat="1" ht="19.5" customHeight="1">
      <c r="A51" s="688" t="s">
        <v>183</v>
      </c>
      <c r="B51" s="687"/>
      <c r="C51" s="249" t="s">
        <v>711</v>
      </c>
      <c r="D51" s="253">
        <v>20915.03</v>
      </c>
      <c r="E51" s="855"/>
      <c r="F51" s="859"/>
      <c r="G51" s="700"/>
      <c r="H51" s="703"/>
      <c r="I51" s="744"/>
      <c r="J51" s="866"/>
      <c r="K51" s="866"/>
      <c r="L51" s="866"/>
      <c r="M51" s="866"/>
      <c r="N51" s="867">
        <f>SUM(E43:E50)</f>
        <v>397851</v>
      </c>
      <c r="O51" s="866"/>
      <c r="P51" s="866"/>
      <c r="Q51" s="866"/>
      <c r="R51" s="866"/>
    </row>
    <row r="52" spans="1:18" s="133" customFormat="1" ht="19.5" customHeight="1">
      <c r="A52" s="688" t="s">
        <v>184</v>
      </c>
      <c r="B52" s="687"/>
      <c r="C52" s="249" t="s">
        <v>711</v>
      </c>
      <c r="D52" s="253">
        <v>61333.17</v>
      </c>
      <c r="E52" s="855"/>
      <c r="F52" s="859"/>
      <c r="G52" s="700"/>
      <c r="H52" s="703"/>
      <c r="J52" s="866"/>
      <c r="K52" s="866"/>
      <c r="L52" s="866"/>
      <c r="M52" s="866"/>
      <c r="N52" s="911">
        <f>N47+N51</f>
        <v>10484852.780000001</v>
      </c>
      <c r="O52" s="866"/>
      <c r="P52" s="866"/>
      <c r="Q52" s="866"/>
      <c r="R52" s="866"/>
    </row>
    <row r="53" spans="1:18" s="133" customFormat="1" ht="19.5" customHeight="1">
      <c r="A53" s="688" t="s">
        <v>185</v>
      </c>
      <c r="B53" s="687"/>
      <c r="C53" s="249" t="s">
        <v>711</v>
      </c>
      <c r="D53" s="253">
        <v>43258.15</v>
      </c>
      <c r="E53" s="855"/>
      <c r="F53" s="859"/>
      <c r="G53" s="700"/>
      <c r="H53" s="703"/>
      <c r="J53" s="866"/>
      <c r="K53" s="866"/>
      <c r="L53" s="866"/>
      <c r="M53" s="866"/>
      <c r="N53" s="866"/>
      <c r="O53" s="866"/>
      <c r="P53" s="866"/>
      <c r="Q53" s="866"/>
      <c r="R53" s="866"/>
    </row>
    <row r="54" spans="1:18" s="133" customFormat="1" ht="19.5" customHeight="1" thickBot="1">
      <c r="A54" s="689" t="s">
        <v>186</v>
      </c>
      <c r="B54" s="690"/>
      <c r="C54" s="375" t="s">
        <v>711</v>
      </c>
      <c r="D54" s="376">
        <v>88510.68</v>
      </c>
      <c r="E54" s="856"/>
      <c r="F54" s="860"/>
      <c r="G54" s="704"/>
      <c r="H54" s="261"/>
      <c r="J54" s="866"/>
      <c r="K54" s="866"/>
      <c r="L54" s="866"/>
      <c r="M54" s="866"/>
      <c r="N54" s="866"/>
      <c r="O54" s="866"/>
      <c r="P54" s="866"/>
      <c r="Q54" s="866"/>
      <c r="R54" s="866"/>
    </row>
    <row r="55" spans="1:18" s="133" customFormat="1" ht="19.5" customHeight="1" thickBot="1">
      <c r="A55" s="701" t="s">
        <v>319</v>
      </c>
      <c r="B55" s="663"/>
      <c r="C55" s="702"/>
      <c r="D55" s="750">
        <f>SUM(D29:D54)</f>
        <v>9681603.81</v>
      </c>
      <c r="E55" s="751">
        <f>SUM(E29:E54)</f>
        <v>10484852.780000001</v>
      </c>
      <c r="F55" s="707"/>
      <c r="G55" s="707"/>
      <c r="H55" s="707"/>
      <c r="J55" s="866"/>
      <c r="K55" s="866"/>
      <c r="L55" s="866"/>
      <c r="M55" s="866"/>
      <c r="N55" s="922">
        <f>+N47+N48</f>
        <v>10484852.780000001</v>
      </c>
      <c r="O55" s="866"/>
      <c r="P55" s="866"/>
      <c r="Q55" s="866"/>
      <c r="R55" s="866"/>
    </row>
    <row r="56" spans="1:18" s="133" customFormat="1" ht="19.5" customHeight="1" thickBot="1">
      <c r="A56" s="707"/>
      <c r="B56" s="707"/>
      <c r="C56" s="707"/>
      <c r="D56" s="707"/>
      <c r="E56" s="707"/>
      <c r="F56" s="707"/>
      <c r="G56" s="707"/>
      <c r="H56" s="707"/>
      <c r="J56" s="866"/>
      <c r="K56" s="866"/>
      <c r="L56" s="866"/>
      <c r="M56" s="866"/>
      <c r="N56" s="866"/>
      <c r="O56" s="866"/>
      <c r="P56" s="866"/>
      <c r="Q56" s="866"/>
      <c r="R56" s="866"/>
    </row>
    <row r="57" spans="1:18" s="133" customFormat="1" ht="41.25" customHeight="1" thickBot="1">
      <c r="A57" s="684" t="s">
        <v>610</v>
      </c>
      <c r="B57" s="659"/>
      <c r="C57" s="660" t="s">
        <v>692</v>
      </c>
      <c r="D57" s="660">
        <v>2015</v>
      </c>
      <c r="E57" s="660">
        <v>2016</v>
      </c>
      <c r="F57" s="660" t="s">
        <v>320</v>
      </c>
      <c r="G57" s="660" t="s">
        <v>729</v>
      </c>
      <c r="H57" s="661" t="s">
        <v>728</v>
      </c>
      <c r="J57" s="866"/>
      <c r="K57" s="866"/>
      <c r="L57" s="866"/>
      <c r="M57" s="866"/>
      <c r="N57" s="866"/>
      <c r="O57" s="866"/>
      <c r="P57" s="866"/>
      <c r="Q57" s="866"/>
      <c r="R57" s="866"/>
    </row>
    <row r="58" spans="1:18" s="133" customFormat="1" ht="19.5" customHeight="1">
      <c r="A58" s="695" t="s">
        <v>171</v>
      </c>
      <c r="B58" s="696"/>
      <c r="C58" s="697" t="s">
        <v>708</v>
      </c>
      <c r="D58" s="698">
        <v>1903196.01</v>
      </c>
      <c r="E58" s="699">
        <v>1903196.01</v>
      </c>
      <c r="F58" s="850">
        <v>901</v>
      </c>
      <c r="G58" s="850">
        <v>4322</v>
      </c>
      <c r="H58" s="851">
        <v>44933</v>
      </c>
      <c r="I58" s="709"/>
      <c r="J58" s="917" t="s">
        <v>198</v>
      </c>
      <c r="K58" s="917" t="s">
        <v>199</v>
      </c>
      <c r="L58" s="917" t="s">
        <v>200</v>
      </c>
      <c r="M58" s="917" t="s">
        <v>201</v>
      </c>
      <c r="N58" s="922">
        <v>1903196.01</v>
      </c>
      <c r="O58" s="866"/>
      <c r="P58" s="866"/>
      <c r="Q58" s="866"/>
      <c r="R58" s="866"/>
    </row>
    <row r="59" spans="1:18" s="133" customFormat="1" ht="19.5" customHeight="1">
      <c r="A59" s="688"/>
      <c r="B59" s="687"/>
      <c r="C59" s="249"/>
      <c r="D59" s="253"/>
      <c r="E59" s="253"/>
      <c r="F59" s="769"/>
      <c r="G59" s="769"/>
      <c r="H59" s="770"/>
      <c r="I59" s="709"/>
      <c r="J59" s="923"/>
      <c r="K59" s="866"/>
      <c r="L59" s="866"/>
      <c r="M59" s="866"/>
      <c r="N59" s="866"/>
      <c r="O59" s="866"/>
      <c r="P59" s="866"/>
      <c r="Q59" s="866"/>
      <c r="R59" s="866"/>
    </row>
    <row r="60" spans="1:18" s="133" customFormat="1" ht="19.5" customHeight="1">
      <c r="A60" s="688"/>
      <c r="B60" s="687"/>
      <c r="C60" s="249"/>
      <c r="D60" s="253"/>
      <c r="E60" s="253"/>
      <c r="F60" s="256"/>
      <c r="G60" s="256"/>
      <c r="H60" s="257"/>
      <c r="J60" s="866"/>
      <c r="K60" s="866"/>
      <c r="L60" s="866"/>
      <c r="M60" s="866"/>
      <c r="N60" s="866"/>
      <c r="O60" s="866"/>
      <c r="P60" s="866"/>
      <c r="Q60" s="866"/>
      <c r="R60" s="866"/>
    </row>
    <row r="61" spans="1:8" ht="24.75" customHeight="1">
      <c r="A61" s="688"/>
      <c r="B61" s="687"/>
      <c r="C61" s="249"/>
      <c r="D61" s="253"/>
      <c r="E61" s="253"/>
      <c r="F61" s="256"/>
      <c r="G61" s="256"/>
      <c r="H61" s="257"/>
    </row>
    <row r="62" spans="1:8" ht="19.5" customHeight="1">
      <c r="A62" s="688"/>
      <c r="B62" s="687"/>
      <c r="C62" s="249"/>
      <c r="D62" s="253"/>
      <c r="E62" s="253"/>
      <c r="F62" s="256"/>
      <c r="G62" s="256"/>
      <c r="H62" s="257"/>
    </row>
    <row r="63" spans="1:8" ht="19.5" customHeight="1">
      <c r="A63" s="688"/>
      <c r="B63" s="687"/>
      <c r="C63" s="249"/>
      <c r="D63" s="253"/>
      <c r="E63" s="253"/>
      <c r="F63" s="256"/>
      <c r="G63" s="256"/>
      <c r="H63" s="257"/>
    </row>
    <row r="64" spans="1:8" ht="19.5" customHeight="1">
      <c r="A64" s="688"/>
      <c r="B64" s="687"/>
      <c r="C64" s="249"/>
      <c r="D64" s="253"/>
      <c r="E64" s="555"/>
      <c r="F64" s="256"/>
      <c r="G64" s="256"/>
      <c r="H64" s="257"/>
    </row>
    <row r="65" spans="1:8" ht="19.5" customHeight="1" thickBot="1">
      <c r="A65" s="689"/>
      <c r="B65" s="690"/>
      <c r="C65" s="375"/>
      <c r="D65" s="376"/>
      <c r="E65" s="376"/>
      <c r="F65" s="260"/>
      <c r="G65" s="260"/>
      <c r="H65" s="261"/>
    </row>
    <row r="66" spans="1:8" ht="19.5" customHeight="1" thickBot="1">
      <c r="A66" s="682" t="s">
        <v>319</v>
      </c>
      <c r="B66" s="659"/>
      <c r="C66" s="683"/>
      <c r="D66" s="752">
        <f>SUM(D58:D65)</f>
        <v>1903196.01</v>
      </c>
      <c r="E66" s="748">
        <f>SUM(E58:E65)</f>
        <v>1903196.01</v>
      </c>
      <c r="F66" s="707"/>
      <c r="G66" s="707"/>
      <c r="H66" s="707"/>
    </row>
    <row r="67" spans="1:18" s="133" customFormat="1" ht="19.5" customHeight="1">
      <c r="A67" s="707"/>
      <c r="B67" s="707"/>
      <c r="C67" s="707"/>
      <c r="D67" s="707"/>
      <c r="E67" s="707"/>
      <c r="F67" s="707"/>
      <c r="G67" s="707"/>
      <c r="H67" s="707"/>
      <c r="J67" s="866"/>
      <c r="K67" s="866"/>
      <c r="L67" s="866"/>
      <c r="M67" s="866"/>
      <c r="N67" s="866"/>
      <c r="O67" s="866"/>
      <c r="P67" s="866"/>
      <c r="Q67" s="866"/>
      <c r="R67" s="866"/>
    </row>
    <row r="68" spans="1:18" s="133" customFormat="1" ht="19.5" customHeight="1" thickBot="1">
      <c r="A68" s="707"/>
      <c r="B68" s="707"/>
      <c r="C68" s="707"/>
      <c r="D68" s="707"/>
      <c r="E68" s="707"/>
      <c r="F68" s="707"/>
      <c r="G68" s="707"/>
      <c r="H68" s="707"/>
      <c r="J68" s="866"/>
      <c r="K68" s="866"/>
      <c r="L68" s="866"/>
      <c r="M68" s="866"/>
      <c r="N68" s="866"/>
      <c r="O68" s="866"/>
      <c r="P68" s="866"/>
      <c r="Q68" s="866"/>
      <c r="R68" s="866"/>
    </row>
    <row r="69" spans="1:18" s="133" customFormat="1" ht="19.5" customHeight="1" thickBot="1">
      <c r="A69" s="684" t="s">
        <v>699</v>
      </c>
      <c r="B69" s="659"/>
      <c r="C69" s="660" t="s">
        <v>692</v>
      </c>
      <c r="D69" s="660">
        <v>2015</v>
      </c>
      <c r="E69" s="660">
        <v>2016</v>
      </c>
      <c r="F69" s="660" t="s">
        <v>320</v>
      </c>
      <c r="G69" s="660" t="s">
        <v>729</v>
      </c>
      <c r="H69" s="661" t="s">
        <v>728</v>
      </c>
      <c r="J69" s="866"/>
      <c r="K69" s="866"/>
      <c r="L69" s="866"/>
      <c r="M69" s="866"/>
      <c r="N69" s="866"/>
      <c r="O69" s="866"/>
      <c r="P69" s="866"/>
      <c r="Q69" s="866"/>
      <c r="R69" s="866"/>
    </row>
    <row r="70" spans="1:18" s="133" customFormat="1" ht="19.5" customHeight="1">
      <c r="A70" s="686"/>
      <c r="B70" s="687"/>
      <c r="C70" s="249"/>
      <c r="D70" s="250"/>
      <c r="E70" s="250"/>
      <c r="F70" s="254"/>
      <c r="G70" s="254"/>
      <c r="H70" s="255"/>
      <c r="J70" s="866"/>
      <c r="K70" s="866"/>
      <c r="L70" s="866"/>
      <c r="M70" s="866"/>
      <c r="N70" s="866"/>
      <c r="O70" s="866"/>
      <c r="P70" s="866"/>
      <c r="Q70" s="866"/>
      <c r="R70" s="866"/>
    </row>
    <row r="71" spans="1:18" s="133" customFormat="1" ht="19.5" customHeight="1">
      <c r="A71" s="688"/>
      <c r="B71" s="687"/>
      <c r="C71" s="249"/>
      <c r="D71" s="253"/>
      <c r="E71" s="253"/>
      <c r="F71" s="256"/>
      <c r="G71" s="256"/>
      <c r="H71" s="257"/>
      <c r="J71" s="866"/>
      <c r="K71" s="866"/>
      <c r="L71" s="866"/>
      <c r="M71" s="866"/>
      <c r="N71" s="866"/>
      <c r="O71" s="866"/>
      <c r="P71" s="866"/>
      <c r="Q71" s="866"/>
      <c r="R71" s="866"/>
    </row>
    <row r="72" spans="1:18" s="133" customFormat="1" ht="19.5" customHeight="1">
      <c r="A72" s="688"/>
      <c r="B72" s="687"/>
      <c r="C72" s="249"/>
      <c r="D72" s="253"/>
      <c r="E72" s="253"/>
      <c r="F72" s="256"/>
      <c r="G72" s="256"/>
      <c r="H72" s="257"/>
      <c r="J72" s="866"/>
      <c r="K72" s="866"/>
      <c r="L72" s="866"/>
      <c r="M72" s="866"/>
      <c r="N72" s="866"/>
      <c r="O72" s="866"/>
      <c r="P72" s="866"/>
      <c r="Q72" s="866"/>
      <c r="R72" s="866"/>
    </row>
    <row r="73" spans="1:18" s="133" customFormat="1" ht="19.5" customHeight="1">
      <c r="A73" s="688"/>
      <c r="B73" s="687"/>
      <c r="C73" s="249"/>
      <c r="D73" s="253"/>
      <c r="E73" s="253"/>
      <c r="F73" s="256"/>
      <c r="G73" s="256"/>
      <c r="H73" s="257"/>
      <c r="J73" s="866"/>
      <c r="K73" s="866"/>
      <c r="L73" s="866"/>
      <c r="M73" s="866"/>
      <c r="N73" s="866"/>
      <c r="O73" s="866"/>
      <c r="P73" s="866"/>
      <c r="Q73" s="866"/>
      <c r="R73" s="866"/>
    </row>
    <row r="74" spans="1:18" s="133" customFormat="1" ht="19.5" customHeight="1">
      <c r="A74" s="688"/>
      <c r="B74" s="687"/>
      <c r="C74" s="249"/>
      <c r="D74" s="253"/>
      <c r="E74" s="253"/>
      <c r="F74" s="256"/>
      <c r="G74" s="256"/>
      <c r="H74" s="257"/>
      <c r="J74" s="866"/>
      <c r="K74" s="866"/>
      <c r="L74" s="866"/>
      <c r="M74" s="866"/>
      <c r="N74" s="866"/>
      <c r="O74" s="866"/>
      <c r="P74" s="866"/>
      <c r="Q74" s="866"/>
      <c r="R74" s="866"/>
    </row>
    <row r="75" spans="1:18" s="133" customFormat="1" ht="19.5" customHeight="1">
      <c r="A75" s="688"/>
      <c r="B75" s="687"/>
      <c r="C75" s="249"/>
      <c r="D75" s="253"/>
      <c r="E75" s="253"/>
      <c r="F75" s="256"/>
      <c r="G75" s="256"/>
      <c r="H75" s="257"/>
      <c r="J75" s="866"/>
      <c r="K75" s="866"/>
      <c r="L75" s="866"/>
      <c r="M75" s="866"/>
      <c r="N75" s="866"/>
      <c r="O75" s="866"/>
      <c r="P75" s="866"/>
      <c r="Q75" s="866"/>
      <c r="R75" s="866"/>
    </row>
    <row r="76" spans="1:18" s="133" customFormat="1" ht="19.5" customHeight="1">
      <c r="A76" s="688"/>
      <c r="B76" s="687"/>
      <c r="C76" s="249"/>
      <c r="D76" s="253"/>
      <c r="E76" s="253"/>
      <c r="F76" s="256"/>
      <c r="G76" s="256"/>
      <c r="H76" s="257"/>
      <c r="J76" s="866"/>
      <c r="K76" s="866"/>
      <c r="L76" s="866"/>
      <c r="M76" s="866"/>
      <c r="N76" s="866"/>
      <c r="O76" s="866"/>
      <c r="P76" s="866"/>
      <c r="Q76" s="866"/>
      <c r="R76" s="866"/>
    </row>
    <row r="77" spans="1:18" s="133" customFormat="1" ht="19.5" customHeight="1" thickBot="1">
      <c r="A77" s="688"/>
      <c r="B77" s="691"/>
      <c r="C77" s="258"/>
      <c r="D77" s="259"/>
      <c r="E77" s="259"/>
      <c r="F77" s="260"/>
      <c r="G77" s="260"/>
      <c r="H77" s="261"/>
      <c r="J77" s="866"/>
      <c r="K77" s="866"/>
      <c r="L77" s="866"/>
      <c r="M77" s="866"/>
      <c r="N77" s="866"/>
      <c r="O77" s="866"/>
      <c r="P77" s="866"/>
      <c r="Q77" s="866"/>
      <c r="R77" s="866"/>
    </row>
    <row r="78" spans="1:18" s="133" customFormat="1" ht="19.5" customHeight="1" thickBot="1">
      <c r="A78" s="682" t="s">
        <v>706</v>
      </c>
      <c r="B78" s="659"/>
      <c r="C78" s="683"/>
      <c r="D78" s="685">
        <f>SUM(D70:D77)</f>
        <v>0</v>
      </c>
      <c r="E78" s="685">
        <f>SUM(E70:E77)</f>
        <v>0</v>
      </c>
      <c r="F78" s="707"/>
      <c r="G78" s="707"/>
      <c r="H78" s="707"/>
      <c r="J78" s="866"/>
      <c r="K78" s="866"/>
      <c r="L78" s="866"/>
      <c r="M78" s="866"/>
      <c r="N78" s="866"/>
      <c r="O78" s="866"/>
      <c r="P78" s="866"/>
      <c r="Q78" s="866"/>
      <c r="R78" s="866"/>
    </row>
    <row r="79" spans="1:18" s="133" customFormat="1" ht="19.5" customHeight="1">
      <c r="A79" s="266"/>
      <c r="B79" s="267"/>
      <c r="C79" s="268"/>
      <c r="D79" s="268"/>
      <c r="E79" s="268"/>
      <c r="J79" s="866"/>
      <c r="K79" s="866"/>
      <c r="L79" s="866"/>
      <c r="M79" s="866"/>
      <c r="N79" s="866"/>
      <c r="O79" s="866"/>
      <c r="P79" s="866"/>
      <c r="Q79" s="866"/>
      <c r="R79" s="866"/>
    </row>
    <row r="80" spans="1:18" s="133" customFormat="1" ht="45.75" customHeight="1">
      <c r="A80" s="1126"/>
      <c r="B80" s="1126"/>
      <c r="C80" s="1126"/>
      <c r="D80" s="1126"/>
      <c r="E80" s="1126"/>
      <c r="F80" s="1126"/>
      <c r="G80" s="1126"/>
      <c r="H80" s="1126"/>
      <c r="J80" s="866"/>
      <c r="K80" s="866"/>
      <c r="L80" s="866"/>
      <c r="M80" s="866"/>
      <c r="N80" s="866"/>
      <c r="O80" s="866"/>
      <c r="P80" s="866"/>
      <c r="Q80" s="866"/>
      <c r="R80" s="866"/>
    </row>
    <row r="81" spans="1:18" s="133" customFormat="1" ht="19.5" customHeight="1">
      <c r="A81" s="1122"/>
      <c r="B81" s="1122"/>
      <c r="C81" s="1122"/>
      <c r="D81" s="1122"/>
      <c r="E81" s="1122"/>
      <c r="F81" s="1122"/>
      <c r="G81" s="1122"/>
      <c r="H81" s="1122"/>
      <c r="J81" s="866"/>
      <c r="K81" s="866"/>
      <c r="L81" s="866"/>
      <c r="M81" s="866"/>
      <c r="N81" s="866"/>
      <c r="O81" s="866"/>
      <c r="P81" s="866"/>
      <c r="Q81" s="866"/>
      <c r="R81" s="866"/>
    </row>
    <row r="82" spans="1:18" s="133" customFormat="1" ht="18.75" customHeight="1">
      <c r="A82" s="1122"/>
      <c r="B82" s="1122"/>
      <c r="C82" s="1122"/>
      <c r="D82" s="1122"/>
      <c r="E82" s="1122"/>
      <c r="F82" s="1122"/>
      <c r="G82" s="1122"/>
      <c r="H82" s="1122"/>
      <c r="J82" s="866"/>
      <c r="K82" s="866"/>
      <c r="L82" s="866"/>
      <c r="M82" s="866"/>
      <c r="N82" s="866"/>
      <c r="O82" s="866"/>
      <c r="P82" s="866"/>
      <c r="Q82" s="866"/>
      <c r="R82" s="866"/>
    </row>
    <row r="83" spans="10:18" s="133" customFormat="1" ht="19.5" customHeight="1">
      <c r="J83" s="866"/>
      <c r="K83" s="866"/>
      <c r="L83" s="866"/>
      <c r="M83" s="866"/>
      <c r="N83" s="866"/>
      <c r="O83" s="866"/>
      <c r="P83" s="866"/>
      <c r="Q83" s="866"/>
      <c r="R83" s="866"/>
    </row>
    <row r="84" spans="10:18" s="133" customFormat="1" ht="19.5" customHeight="1">
      <c r="J84" s="866"/>
      <c r="K84" s="866"/>
      <c r="L84" s="866"/>
      <c r="M84" s="866"/>
      <c r="N84" s="866"/>
      <c r="O84" s="866"/>
      <c r="P84" s="866"/>
      <c r="Q84" s="866"/>
      <c r="R84" s="866"/>
    </row>
    <row r="85" spans="10:18" s="133" customFormat="1" ht="19.5" customHeight="1">
      <c r="J85" s="866"/>
      <c r="K85" s="866"/>
      <c r="L85" s="866"/>
      <c r="M85" s="866"/>
      <c r="N85" s="866"/>
      <c r="O85" s="866"/>
      <c r="P85" s="866"/>
      <c r="Q85" s="866"/>
      <c r="R85" s="866"/>
    </row>
    <row r="86" spans="10:18" s="133" customFormat="1" ht="19.5" customHeight="1">
      <c r="J86" s="866"/>
      <c r="K86" s="866"/>
      <c r="L86" s="866"/>
      <c r="M86" s="866"/>
      <c r="N86" s="866"/>
      <c r="O86" s="866"/>
      <c r="P86" s="866"/>
      <c r="Q86" s="866"/>
      <c r="R86" s="866"/>
    </row>
    <row r="87" spans="10:18" s="133" customFormat="1" ht="19.5" customHeight="1">
      <c r="J87" s="866"/>
      <c r="K87" s="866"/>
      <c r="L87" s="866"/>
      <c r="M87" s="866"/>
      <c r="N87" s="866"/>
      <c r="O87" s="866"/>
      <c r="P87" s="866"/>
      <c r="Q87" s="866"/>
      <c r="R87" s="866"/>
    </row>
    <row r="88" spans="10:18" s="133" customFormat="1" ht="19.5" customHeight="1">
      <c r="J88" s="866"/>
      <c r="K88" s="866"/>
      <c r="L88" s="866"/>
      <c r="M88" s="866"/>
      <c r="N88" s="866"/>
      <c r="O88" s="866"/>
      <c r="P88" s="866"/>
      <c r="Q88" s="866"/>
      <c r="R88" s="866"/>
    </row>
    <row r="89" spans="10:18" s="133" customFormat="1" ht="19.5" customHeight="1">
      <c r="J89" s="866"/>
      <c r="K89" s="866"/>
      <c r="L89" s="866"/>
      <c r="M89" s="866"/>
      <c r="N89" s="866"/>
      <c r="O89" s="866"/>
      <c r="P89" s="866"/>
      <c r="Q89" s="866"/>
      <c r="R89" s="866"/>
    </row>
    <row r="90" spans="10:18" s="133" customFormat="1" ht="19.5" customHeight="1">
      <c r="J90" s="866"/>
      <c r="K90" s="866"/>
      <c r="L90" s="866"/>
      <c r="M90" s="866"/>
      <c r="N90" s="866"/>
      <c r="O90" s="866"/>
      <c r="P90" s="866"/>
      <c r="Q90" s="866"/>
      <c r="R90" s="866"/>
    </row>
    <row r="91" spans="10:18" s="133" customFormat="1" ht="19.5" customHeight="1">
      <c r="J91" s="866"/>
      <c r="K91" s="866"/>
      <c r="L91" s="866"/>
      <c r="M91" s="866"/>
      <c r="N91" s="866"/>
      <c r="O91" s="866"/>
      <c r="P91" s="866"/>
      <c r="Q91" s="866"/>
      <c r="R91" s="866"/>
    </row>
    <row r="92" spans="10:18" s="133" customFormat="1" ht="19.5" customHeight="1">
      <c r="J92" s="866"/>
      <c r="K92" s="866"/>
      <c r="L92" s="866"/>
      <c r="M92" s="866"/>
      <c r="N92" s="866"/>
      <c r="O92" s="866"/>
      <c r="P92" s="866"/>
      <c r="Q92" s="866"/>
      <c r="R92" s="866"/>
    </row>
    <row r="93" spans="10:18" s="133" customFormat="1" ht="19.5" customHeight="1">
      <c r="J93" s="866"/>
      <c r="K93" s="866"/>
      <c r="L93" s="866"/>
      <c r="M93" s="866"/>
      <c r="N93" s="866"/>
      <c r="O93" s="866"/>
      <c r="P93" s="866"/>
      <c r="Q93" s="866"/>
      <c r="R93" s="866"/>
    </row>
    <row r="94" spans="10:18" s="133" customFormat="1" ht="19.5" customHeight="1">
      <c r="J94" s="866"/>
      <c r="K94" s="866"/>
      <c r="L94" s="866"/>
      <c r="M94" s="866"/>
      <c r="N94" s="866"/>
      <c r="O94" s="866"/>
      <c r="P94" s="866"/>
      <c r="Q94" s="866"/>
      <c r="R94" s="866"/>
    </row>
    <row r="95" spans="10:18" s="133" customFormat="1" ht="12.75">
      <c r="J95" s="866"/>
      <c r="K95" s="866"/>
      <c r="L95" s="866"/>
      <c r="M95" s="866"/>
      <c r="N95" s="866"/>
      <c r="O95" s="866"/>
      <c r="P95" s="866"/>
      <c r="Q95" s="866"/>
      <c r="R95" s="866"/>
    </row>
    <row r="96" spans="10:18" s="133" customFormat="1" ht="12.75">
      <c r="J96" s="866"/>
      <c r="K96" s="866"/>
      <c r="L96" s="866"/>
      <c r="M96" s="866"/>
      <c r="N96" s="866"/>
      <c r="O96" s="866"/>
      <c r="P96" s="866"/>
      <c r="Q96" s="866"/>
      <c r="R96" s="866"/>
    </row>
    <row r="97" spans="10:18" s="133" customFormat="1" ht="12.75">
      <c r="J97" s="866"/>
      <c r="K97" s="866"/>
      <c r="L97" s="866"/>
      <c r="M97" s="866"/>
      <c r="N97" s="866"/>
      <c r="O97" s="866"/>
      <c r="P97" s="866"/>
      <c r="Q97" s="866"/>
      <c r="R97" s="866"/>
    </row>
    <row r="98" spans="10:18" s="133" customFormat="1" ht="12.75">
      <c r="J98" s="866"/>
      <c r="K98" s="866"/>
      <c r="L98" s="866"/>
      <c r="M98" s="866"/>
      <c r="N98" s="866"/>
      <c r="O98" s="866"/>
      <c r="P98" s="866"/>
      <c r="Q98" s="866"/>
      <c r="R98" s="866"/>
    </row>
    <row r="99" spans="3:18" s="133" customFormat="1" ht="12.75">
      <c r="C99" s="866"/>
      <c r="J99" s="866"/>
      <c r="K99" s="866"/>
      <c r="L99" s="866"/>
      <c r="M99" s="866"/>
      <c r="N99" s="866"/>
      <c r="O99" s="866"/>
      <c r="P99" s="866"/>
      <c r="Q99" s="866"/>
      <c r="R99" s="866"/>
    </row>
    <row r="100" spans="3:18" s="133" customFormat="1" ht="12.75">
      <c r="C100" s="866"/>
      <c r="J100" s="866"/>
      <c r="K100" s="866"/>
      <c r="L100" s="866"/>
      <c r="M100" s="866"/>
      <c r="N100" s="866"/>
      <c r="O100" s="866"/>
      <c r="P100" s="866"/>
      <c r="Q100" s="866"/>
      <c r="R100" s="866"/>
    </row>
    <row r="101" ht="12.75">
      <c r="C101" s="908"/>
    </row>
    <row r="102" ht="12.75">
      <c r="C102" s="908"/>
    </row>
    <row r="103" ht="12.75">
      <c r="C103" s="908"/>
    </row>
    <row r="104" ht="12.75">
      <c r="C104" s="908"/>
    </row>
    <row r="105" ht="12.75">
      <c r="C105" s="908"/>
    </row>
    <row r="106" ht="12.75">
      <c r="C106" s="908" t="s">
        <v>707</v>
      </c>
    </row>
    <row r="107" ht="12.75">
      <c r="C107" s="908" t="s">
        <v>708</v>
      </c>
    </row>
    <row r="108" ht="12.75">
      <c r="C108" s="908" t="s">
        <v>709</v>
      </c>
    </row>
    <row r="109" ht="12.75">
      <c r="C109" s="908" t="s">
        <v>710</v>
      </c>
    </row>
    <row r="110" ht="12.75">
      <c r="C110" s="908" t="s">
        <v>711</v>
      </c>
    </row>
    <row r="111" ht="12.75">
      <c r="C111" s="908" t="s">
        <v>712</v>
      </c>
    </row>
    <row r="112" ht="12.75">
      <c r="C112" s="908"/>
    </row>
    <row r="113" ht="12.75">
      <c r="C113" s="908"/>
    </row>
    <row r="114" ht="12.75">
      <c r="C114" s="908"/>
    </row>
    <row r="115" ht="12.75">
      <c r="C115" s="908"/>
    </row>
    <row r="116" ht="12.75">
      <c r="C116" s="908"/>
    </row>
    <row r="117" ht="12.75">
      <c r="C117" s="908"/>
    </row>
    <row r="118" ht="12.75">
      <c r="C118" s="908"/>
    </row>
    <row r="119" ht="12.75">
      <c r="C119" s="908"/>
    </row>
    <row r="120" ht="12.75">
      <c r="C120" s="908"/>
    </row>
    <row r="121" ht="12.75">
      <c r="C121" s="908"/>
    </row>
    <row r="122" ht="12.75">
      <c r="C122" s="908"/>
    </row>
  </sheetData>
  <sheetProtection formatCells="0" formatColumns="0" formatRows="0" insertColumns="0" insertRows="0" insertHyperlinks="0" deleteColumns="0" deleteRows="0" sort="0" autoFilter="0" pivotTables="0"/>
  <mergeCells count="8">
    <mergeCell ref="A81:H81"/>
    <mergeCell ref="A82:H82"/>
    <mergeCell ref="A9:H9"/>
    <mergeCell ref="A80:H80"/>
    <mergeCell ref="F7:H7"/>
    <mergeCell ref="F8:H8"/>
    <mergeCell ref="A8:E8"/>
    <mergeCell ref="A7:E7"/>
  </mergeCells>
  <dataValidations count="3">
    <dataValidation type="list" allowBlank="1" showInputMessage="1" showErrorMessage="1" promptTitle="Especifique la Entidad" sqref="C106:D106">
      <formula1>$C$11:$C$16</formula1>
    </dataValidation>
    <dataValidation type="list" allowBlank="1" showInputMessage="1" showErrorMessage="1" promptTitle="TENER EN CUENTA" prompt="Indicar Entidad Pública" sqref="C58:C65 C29:C54 C12:C19">
      <formula1>$C$106:$C$111</formula1>
    </dataValidation>
    <dataValidation allowBlank="1" showInputMessage="1" showErrorMessage="1" promptTitle="ENTRADA" prompt="Antes de Estimar esta Celda debes incluir en Celda Naranja el Dato Inicial" sqref="D58:E58 D12:E12 D29:E29"/>
  </dataValidations>
  <printOptions horizontalCentered="1" verticalCentered="1"/>
  <pageMargins left="0.7480314960629921" right="0.2362204724409449" top="0.984251968503937" bottom="0.984251968503937" header="0" footer="0"/>
  <pageSetup fitToHeight="1" fitToWidth="1" horizontalDpi="300" verticalDpi="300" orientation="portrait" paperSize="9" scale="47" r:id="rId2"/>
  <headerFooter alignWithMargins="0">
    <oddFooter>&amp;L&amp;7Plaza de España, 1
38003 Santa Cruz de Tenerife
Teléfono: 901 501 901
www.tenerife.es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7"/>
  <sheetViews>
    <sheetView zoomScale="55" zoomScaleNormal="55" zoomScalePageLayoutView="0" workbookViewId="0" topLeftCell="A1">
      <selection activeCell="C4" sqref="C4"/>
    </sheetView>
  </sheetViews>
  <sheetFormatPr defaultColWidth="11.57421875" defaultRowHeight="12.75"/>
  <cols>
    <col min="1" max="1" width="2.7109375" style="133" customWidth="1"/>
    <col min="2" max="2" width="75.421875" style="133" customWidth="1"/>
    <col min="3" max="3" width="14.7109375" style="133" bestFit="1" customWidth="1"/>
    <col min="4" max="4" width="14.28125" style="133" customWidth="1"/>
    <col min="5" max="5" width="14.7109375" style="133" bestFit="1" customWidth="1"/>
    <col min="6" max="6" width="14.8515625" style="133" bestFit="1" customWidth="1"/>
    <col min="7" max="7" width="12.8515625" style="133" customWidth="1"/>
    <col min="8" max="8" width="13.140625" style="133" bestFit="1" customWidth="1"/>
    <col min="9" max="9" width="17.140625" style="133" customWidth="1"/>
    <col min="10" max="10" width="15.8515625" style="133" customWidth="1"/>
    <col min="11" max="16384" width="11.57421875" style="133" customWidth="1"/>
  </cols>
  <sheetData>
    <row r="1" spans="2:5" ht="15">
      <c r="B1" s="223"/>
      <c r="C1" s="820" t="s">
        <v>674</v>
      </c>
      <c r="E1" s="247"/>
    </row>
    <row r="2" spans="2:5" ht="14.25">
      <c r="B2" s="223"/>
      <c r="C2" s="821" t="s">
        <v>675</v>
      </c>
      <c r="E2" s="247"/>
    </row>
    <row r="3" spans="2:5" ht="12.75">
      <c r="B3" s="223"/>
      <c r="C3" s="223"/>
      <c r="D3" s="223"/>
      <c r="E3" s="247"/>
    </row>
    <row r="4" spans="2:5" ht="15">
      <c r="B4" s="819" t="s">
        <v>525</v>
      </c>
      <c r="C4" s="824">
        <v>42339</v>
      </c>
      <c r="E4" s="247"/>
    </row>
    <row r="5" spans="2:5" ht="15">
      <c r="B5" s="819" t="s">
        <v>673</v>
      </c>
      <c r="C5" s="823" t="s">
        <v>676</v>
      </c>
      <c r="E5" s="247"/>
    </row>
    <row r="6" ht="26.25" customHeight="1" thickBot="1"/>
    <row r="7" spans="1:10" ht="21.75" customHeight="1">
      <c r="A7" s="1005" t="s">
        <v>493</v>
      </c>
      <c r="B7" s="1006"/>
      <c r="C7" s="1006"/>
      <c r="D7" s="1006"/>
      <c r="E7" s="1006"/>
      <c r="F7" s="1006"/>
      <c r="G7" s="1006"/>
      <c r="H7" s="1006"/>
      <c r="I7" s="1157">
        <v>2016</v>
      </c>
      <c r="J7" s="1158"/>
    </row>
    <row r="8" spans="1:10" ht="19.5" customHeight="1">
      <c r="A8" s="1153" t="s">
        <v>494</v>
      </c>
      <c r="B8" s="1154"/>
      <c r="C8" s="1154"/>
      <c r="D8" s="1154"/>
      <c r="E8" s="1154"/>
      <c r="F8" s="1154"/>
      <c r="G8" s="1154"/>
      <c r="H8" s="1154"/>
      <c r="I8" s="1159"/>
      <c r="J8" s="1160"/>
    </row>
    <row r="9" spans="1:10" ht="27.75" customHeight="1" thickBot="1">
      <c r="A9" s="1150" t="str">
        <f>CPYG!A8</f>
        <v>SPET, TURISMO DE TENERIFE, S.A.</v>
      </c>
      <c r="B9" s="1151"/>
      <c r="C9" s="1151"/>
      <c r="D9" s="1151"/>
      <c r="E9" s="1151"/>
      <c r="F9" s="1151"/>
      <c r="G9" s="1151"/>
      <c r="H9" s="1152"/>
      <c r="I9" s="1155" t="s">
        <v>508</v>
      </c>
      <c r="J9" s="1156"/>
    </row>
    <row r="10" spans="1:15" ht="18" customHeight="1">
      <c r="A10" s="1133" t="s">
        <v>714</v>
      </c>
      <c r="B10" s="1134"/>
      <c r="C10" s="1148" t="s">
        <v>799</v>
      </c>
      <c r="D10" s="1149"/>
      <c r="E10" s="1148" t="s">
        <v>800</v>
      </c>
      <c r="F10" s="1161"/>
      <c r="G10" s="1161"/>
      <c r="H10" s="1149"/>
      <c r="I10" s="1148" t="s">
        <v>801</v>
      </c>
      <c r="J10" s="1149"/>
      <c r="K10" s="269"/>
      <c r="L10" s="269"/>
      <c r="M10" s="269"/>
      <c r="N10" s="269"/>
      <c r="O10" s="269"/>
    </row>
    <row r="11" spans="1:15" ht="21" customHeight="1">
      <c r="A11" s="1133"/>
      <c r="B11" s="1134"/>
      <c r="C11" s="270"/>
      <c r="D11" s="271"/>
      <c r="E11" s="1142" t="s">
        <v>509</v>
      </c>
      <c r="F11" s="1144" t="s">
        <v>312</v>
      </c>
      <c r="G11" s="1145"/>
      <c r="H11" s="1139" t="s">
        <v>510</v>
      </c>
      <c r="I11" s="270"/>
      <c r="J11" s="271"/>
      <c r="K11" s="269"/>
      <c r="L11" s="269"/>
      <c r="M11" s="269"/>
      <c r="N11" s="269"/>
      <c r="O11" s="269"/>
    </row>
    <row r="12" spans="1:15" ht="27" customHeight="1">
      <c r="A12" s="1135"/>
      <c r="B12" s="1136"/>
      <c r="C12" s="272" t="s">
        <v>511</v>
      </c>
      <c r="D12" s="273" t="s">
        <v>512</v>
      </c>
      <c r="E12" s="1143"/>
      <c r="F12" s="274" t="s">
        <v>513</v>
      </c>
      <c r="G12" s="274" t="s">
        <v>514</v>
      </c>
      <c r="H12" s="1140"/>
      <c r="I12" s="272" t="s">
        <v>515</v>
      </c>
      <c r="J12" s="273" t="s">
        <v>512</v>
      </c>
      <c r="K12" s="269"/>
      <c r="L12" s="269"/>
      <c r="M12" s="269"/>
      <c r="N12" s="269"/>
      <c r="O12" s="269"/>
    </row>
    <row r="13" spans="1:10" ht="12.75">
      <c r="A13" s="1127" t="s">
        <v>516</v>
      </c>
      <c r="B13" s="1141"/>
      <c r="C13" s="275"/>
      <c r="D13" s="276"/>
      <c r="E13" s="275"/>
      <c r="F13" s="277"/>
      <c r="G13" s="277"/>
      <c r="H13" s="276"/>
      <c r="I13" s="275"/>
      <c r="J13" s="276"/>
    </row>
    <row r="14" spans="1:10" ht="12.75">
      <c r="A14" s="231"/>
      <c r="B14" s="158" t="s">
        <v>517</v>
      </c>
      <c r="C14" s="219"/>
      <c r="D14" s="218"/>
      <c r="E14" s="219"/>
      <c r="F14" s="217"/>
      <c r="G14" s="217"/>
      <c r="H14" s="218"/>
      <c r="I14" s="219">
        <f>C14+E14+F14+G14</f>
        <v>0</v>
      </c>
      <c r="J14" s="218"/>
    </row>
    <row r="15" spans="1:10" ht="12.75">
      <c r="A15" s="231"/>
      <c r="B15" s="158" t="s">
        <v>518</v>
      </c>
      <c r="C15" s="219"/>
      <c r="D15" s="218"/>
      <c r="E15" s="219"/>
      <c r="F15" s="217"/>
      <c r="G15" s="217"/>
      <c r="H15" s="218"/>
      <c r="I15" s="219">
        <f>C15+E15+F15+G15</f>
        <v>0</v>
      </c>
      <c r="J15" s="218"/>
    </row>
    <row r="16" spans="1:10" ht="12.75">
      <c r="A16" s="231"/>
      <c r="B16" s="158" t="s">
        <v>519</v>
      </c>
      <c r="C16" s="219"/>
      <c r="D16" s="218"/>
      <c r="E16" s="219"/>
      <c r="F16" s="217"/>
      <c r="G16" s="217"/>
      <c r="H16" s="218"/>
      <c r="I16" s="219">
        <f>C16+E16+F16+G16</f>
        <v>0</v>
      </c>
      <c r="J16" s="218"/>
    </row>
    <row r="17" spans="1:10" ht="12.75">
      <c r="A17" s="231"/>
      <c r="B17" s="158" t="s">
        <v>520</v>
      </c>
      <c r="C17" s="219"/>
      <c r="D17" s="218"/>
      <c r="E17" s="219"/>
      <c r="F17" s="217"/>
      <c r="G17" s="217"/>
      <c r="H17" s="218"/>
      <c r="I17" s="219">
        <f>C17+E17+F17+G17</f>
        <v>0</v>
      </c>
      <c r="J17" s="218"/>
    </row>
    <row r="18" spans="1:10" ht="12.75">
      <c r="A18" s="1127" t="s">
        <v>521</v>
      </c>
      <c r="B18" s="1128"/>
      <c r="C18" s="275"/>
      <c r="D18" s="276"/>
      <c r="E18" s="275"/>
      <c r="F18" s="277"/>
      <c r="G18" s="277"/>
      <c r="H18" s="276"/>
      <c r="I18" s="275"/>
      <c r="J18" s="276"/>
    </row>
    <row r="19" spans="1:10" ht="12.75">
      <c r="A19" s="1137" t="s">
        <v>522</v>
      </c>
      <c r="B19" s="1138"/>
      <c r="C19" s="275"/>
      <c r="D19" s="276"/>
      <c r="E19" s="275"/>
      <c r="F19" s="277"/>
      <c r="G19" s="277"/>
      <c r="H19" s="276"/>
      <c r="I19" s="275"/>
      <c r="J19" s="276"/>
    </row>
    <row r="20" spans="1:10" ht="12.75">
      <c r="A20" s="231"/>
      <c r="B20" s="158" t="s">
        <v>523</v>
      </c>
      <c r="C20" s="219"/>
      <c r="D20" s="218"/>
      <c r="E20" s="219"/>
      <c r="F20" s="217"/>
      <c r="G20" s="217"/>
      <c r="H20" s="218"/>
      <c r="I20" s="219">
        <f aca="true" t="shared" si="0" ref="I20:I25">C20+E20+F20+G20</f>
        <v>0</v>
      </c>
      <c r="J20" s="218"/>
    </row>
    <row r="21" spans="1:10" ht="12.75">
      <c r="A21" s="231"/>
      <c r="B21" s="158" t="s">
        <v>524</v>
      </c>
      <c r="C21" s="219"/>
      <c r="D21" s="218"/>
      <c r="E21" s="219"/>
      <c r="F21" s="217"/>
      <c r="G21" s="217"/>
      <c r="H21" s="218"/>
      <c r="I21" s="219">
        <f t="shared" si="0"/>
        <v>0</v>
      </c>
      <c r="J21" s="218"/>
    </row>
    <row r="22" spans="1:10" ht="12.75">
      <c r="A22" s="231"/>
      <c r="B22" s="158" t="s">
        <v>529</v>
      </c>
      <c r="C22" s="219"/>
      <c r="D22" s="218"/>
      <c r="E22" s="219"/>
      <c r="F22" s="217"/>
      <c r="G22" s="217"/>
      <c r="H22" s="218"/>
      <c r="I22" s="219">
        <f t="shared" si="0"/>
        <v>0</v>
      </c>
      <c r="J22" s="218"/>
    </row>
    <row r="23" spans="1:10" ht="12.75">
      <c r="A23" s="231"/>
      <c r="B23" s="158" t="s">
        <v>531</v>
      </c>
      <c r="C23" s="219"/>
      <c r="D23" s="218"/>
      <c r="E23" s="219"/>
      <c r="F23" s="217"/>
      <c r="G23" s="217"/>
      <c r="H23" s="218"/>
      <c r="I23" s="219">
        <f t="shared" si="0"/>
        <v>0</v>
      </c>
      <c r="J23" s="218"/>
    </row>
    <row r="24" spans="1:10" ht="12.75">
      <c r="A24" s="231"/>
      <c r="B24" s="158" t="s">
        <v>532</v>
      </c>
      <c r="C24" s="219"/>
      <c r="D24" s="218"/>
      <c r="E24" s="219"/>
      <c r="F24" s="217"/>
      <c r="G24" s="217"/>
      <c r="H24" s="218"/>
      <c r="I24" s="219">
        <f t="shared" si="0"/>
        <v>0</v>
      </c>
      <c r="J24" s="218"/>
    </row>
    <row r="25" spans="1:10" ht="12.75">
      <c r="A25" s="231"/>
      <c r="B25" s="158" t="s">
        <v>533</v>
      </c>
      <c r="C25" s="219"/>
      <c r="D25" s="218"/>
      <c r="E25" s="219"/>
      <c r="F25" s="217"/>
      <c r="G25" s="217"/>
      <c r="H25" s="218"/>
      <c r="I25" s="219">
        <f t="shared" si="0"/>
        <v>0</v>
      </c>
      <c r="J25" s="218"/>
    </row>
    <row r="26" spans="1:10" ht="12.75">
      <c r="A26" s="1137" t="s">
        <v>534</v>
      </c>
      <c r="B26" s="1138"/>
      <c r="C26" s="275"/>
      <c r="D26" s="276"/>
      <c r="E26" s="275"/>
      <c r="F26" s="277"/>
      <c r="G26" s="277"/>
      <c r="H26" s="276"/>
      <c r="I26" s="275"/>
      <c r="J26" s="276"/>
    </row>
    <row r="27" spans="1:10" ht="12.75">
      <c r="A27" s="231"/>
      <c r="B27" s="158" t="s">
        <v>523</v>
      </c>
      <c r="C27" s="219"/>
      <c r="D27" s="218"/>
      <c r="E27" s="219"/>
      <c r="F27" s="217"/>
      <c r="G27" s="217"/>
      <c r="H27" s="218"/>
      <c r="I27" s="219">
        <f aca="true" t="shared" si="1" ref="I27:I32">C27+E27+F27+G27</f>
        <v>0</v>
      </c>
      <c r="J27" s="218"/>
    </row>
    <row r="28" spans="1:10" ht="12.75">
      <c r="A28" s="231"/>
      <c r="B28" s="158" t="s">
        <v>524</v>
      </c>
      <c r="C28" s="219"/>
      <c r="D28" s="218"/>
      <c r="E28" s="219"/>
      <c r="F28" s="217"/>
      <c r="G28" s="217"/>
      <c r="H28" s="218"/>
      <c r="I28" s="219">
        <f t="shared" si="1"/>
        <v>0</v>
      </c>
      <c r="J28" s="218"/>
    </row>
    <row r="29" spans="1:10" ht="12.75">
      <c r="A29" s="231"/>
      <c r="B29" s="158" t="s">
        <v>529</v>
      </c>
      <c r="C29" s="219"/>
      <c r="D29" s="218"/>
      <c r="E29" s="219"/>
      <c r="F29" s="217"/>
      <c r="G29" s="217"/>
      <c r="H29" s="218"/>
      <c r="I29" s="219">
        <f t="shared" si="1"/>
        <v>0</v>
      </c>
      <c r="J29" s="218"/>
    </row>
    <row r="30" spans="1:10" ht="12.75">
      <c r="A30" s="231"/>
      <c r="B30" s="158" t="s">
        <v>531</v>
      </c>
      <c r="C30" s="219"/>
      <c r="D30" s="218"/>
      <c r="E30" s="219"/>
      <c r="F30" s="217"/>
      <c r="G30" s="217"/>
      <c r="H30" s="218"/>
      <c r="I30" s="219">
        <f t="shared" si="1"/>
        <v>0</v>
      </c>
      <c r="J30" s="218"/>
    </row>
    <row r="31" spans="1:10" ht="12.75">
      <c r="A31" s="231"/>
      <c r="B31" s="158" t="s">
        <v>532</v>
      </c>
      <c r="C31" s="219"/>
      <c r="D31" s="218"/>
      <c r="E31" s="219"/>
      <c r="F31" s="217"/>
      <c r="G31" s="217"/>
      <c r="H31" s="218"/>
      <c r="I31" s="219">
        <f t="shared" si="1"/>
        <v>0</v>
      </c>
      <c r="J31" s="218"/>
    </row>
    <row r="32" spans="1:10" ht="12.75">
      <c r="A32" s="231"/>
      <c r="B32" s="158" t="s">
        <v>533</v>
      </c>
      <c r="C32" s="219"/>
      <c r="D32" s="218"/>
      <c r="E32" s="219"/>
      <c r="F32" s="217"/>
      <c r="G32" s="217"/>
      <c r="H32" s="218"/>
      <c r="I32" s="219">
        <f t="shared" si="1"/>
        <v>0</v>
      </c>
      <c r="J32" s="218"/>
    </row>
    <row r="33" spans="1:10" ht="12.75">
      <c r="A33" s="1137" t="s">
        <v>535</v>
      </c>
      <c r="B33" s="1138"/>
      <c r="C33" s="275"/>
      <c r="D33" s="276"/>
      <c r="E33" s="275"/>
      <c r="F33" s="277"/>
      <c r="G33" s="277"/>
      <c r="H33" s="276"/>
      <c r="I33" s="275"/>
      <c r="J33" s="276"/>
    </row>
    <row r="34" spans="1:10" ht="12.75">
      <c r="A34" s="231"/>
      <c r="B34" s="158" t="s">
        <v>523</v>
      </c>
      <c r="C34" s="219"/>
      <c r="D34" s="218"/>
      <c r="E34" s="219"/>
      <c r="F34" s="217"/>
      <c r="G34" s="217"/>
      <c r="H34" s="218"/>
      <c r="I34" s="219">
        <f aca="true" t="shared" si="2" ref="I34:I39">C34+E34+F34+G34</f>
        <v>0</v>
      </c>
      <c r="J34" s="218"/>
    </row>
    <row r="35" spans="1:10" ht="12.75">
      <c r="A35" s="231"/>
      <c r="B35" s="158" t="s">
        <v>524</v>
      </c>
      <c r="C35" s="219"/>
      <c r="D35" s="218"/>
      <c r="E35" s="219"/>
      <c r="F35" s="217"/>
      <c r="G35" s="217"/>
      <c r="H35" s="218"/>
      <c r="I35" s="219">
        <f t="shared" si="2"/>
        <v>0</v>
      </c>
      <c r="J35" s="218"/>
    </row>
    <row r="36" spans="1:10" ht="12.75">
      <c r="A36" s="231"/>
      <c r="B36" s="158" t="s">
        <v>529</v>
      </c>
      <c r="C36" s="219"/>
      <c r="D36" s="218"/>
      <c r="E36" s="219"/>
      <c r="F36" s="217"/>
      <c r="G36" s="217"/>
      <c r="H36" s="218"/>
      <c r="I36" s="219">
        <f t="shared" si="2"/>
        <v>0</v>
      </c>
      <c r="J36" s="218"/>
    </row>
    <row r="37" spans="1:10" ht="12.75">
      <c r="A37" s="231"/>
      <c r="B37" s="158" t="s">
        <v>531</v>
      </c>
      <c r="C37" s="219"/>
      <c r="D37" s="218"/>
      <c r="E37" s="219"/>
      <c r="F37" s="217"/>
      <c r="G37" s="217"/>
      <c r="H37" s="218"/>
      <c r="I37" s="219">
        <f t="shared" si="2"/>
        <v>0</v>
      </c>
      <c r="J37" s="218"/>
    </row>
    <row r="38" spans="1:10" ht="12.75">
      <c r="A38" s="231"/>
      <c r="B38" s="158" t="s">
        <v>532</v>
      </c>
      <c r="C38" s="219"/>
      <c r="D38" s="218"/>
      <c r="E38" s="219"/>
      <c r="F38" s="217"/>
      <c r="G38" s="217"/>
      <c r="H38" s="218"/>
      <c r="I38" s="219">
        <f t="shared" si="2"/>
        <v>0</v>
      </c>
      <c r="J38" s="218"/>
    </row>
    <row r="39" spans="1:10" ht="12.75">
      <c r="A39" s="231"/>
      <c r="B39" s="158" t="s">
        <v>533</v>
      </c>
      <c r="C39" s="219"/>
      <c r="D39" s="218"/>
      <c r="E39" s="219"/>
      <c r="F39" s="217"/>
      <c r="G39" s="217"/>
      <c r="H39" s="218"/>
      <c r="I39" s="219">
        <f t="shared" si="2"/>
        <v>0</v>
      </c>
      <c r="J39" s="218"/>
    </row>
    <row r="40" spans="1:10" ht="12.75">
      <c r="A40" s="1137" t="s">
        <v>536</v>
      </c>
      <c r="B40" s="1138"/>
      <c r="C40" s="556"/>
      <c r="D40" s="556"/>
      <c r="E40" s="275"/>
      <c r="F40" s="277"/>
      <c r="G40" s="277"/>
      <c r="H40" s="276"/>
      <c r="I40" s="275"/>
      <c r="J40" s="276"/>
    </row>
    <row r="41" spans="1:10" ht="12.75">
      <c r="A41" s="1127" t="s">
        <v>537</v>
      </c>
      <c r="B41" s="1128"/>
      <c r="C41" s="275"/>
      <c r="D41" s="276"/>
      <c r="E41" s="275"/>
      <c r="F41" s="277"/>
      <c r="G41" s="277"/>
      <c r="H41" s="276"/>
      <c r="I41" s="275"/>
      <c r="J41" s="276"/>
    </row>
    <row r="42" spans="1:10" ht="12.75">
      <c r="A42" s="231"/>
      <c r="B42" s="158" t="s">
        <v>538</v>
      </c>
      <c r="C42" s="219"/>
      <c r="D42" s="218"/>
      <c r="E42" s="219"/>
      <c r="F42" s="217"/>
      <c r="G42" s="217"/>
      <c r="H42" s="218"/>
      <c r="I42" s="219">
        <f>C42+E42+F42+G42</f>
        <v>0</v>
      </c>
      <c r="J42" s="218"/>
    </row>
    <row r="43" spans="1:10" ht="12.75">
      <c r="A43" s="231"/>
      <c r="B43" s="158" t="s">
        <v>539</v>
      </c>
      <c r="C43" s="219"/>
      <c r="D43" s="218"/>
      <c r="E43" s="219"/>
      <c r="F43" s="217"/>
      <c r="G43" s="217"/>
      <c r="H43" s="218"/>
      <c r="I43" s="219">
        <f>C43+E43+F43+G43</f>
        <v>0</v>
      </c>
      <c r="J43" s="218"/>
    </row>
    <row r="44" spans="1:10" ht="12.75">
      <c r="A44" s="231"/>
      <c r="B44" s="158" t="s">
        <v>540</v>
      </c>
      <c r="C44" s="219"/>
      <c r="D44" s="218"/>
      <c r="E44" s="219"/>
      <c r="F44" s="217"/>
      <c r="G44" s="217"/>
      <c r="H44" s="218"/>
      <c r="I44" s="219">
        <f>C44+E44+F44+G44</f>
        <v>0</v>
      </c>
      <c r="J44" s="218"/>
    </row>
    <row r="45" spans="1:10" ht="12.75">
      <c r="A45" s="1127" t="s">
        <v>541</v>
      </c>
      <c r="B45" s="1128"/>
      <c r="C45" s="275"/>
      <c r="D45" s="276"/>
      <c r="E45" s="275"/>
      <c r="F45" s="277"/>
      <c r="G45" s="277"/>
      <c r="H45" s="276"/>
      <c r="I45" s="275"/>
      <c r="J45" s="276"/>
    </row>
    <row r="46" spans="1:10" ht="12.75">
      <c r="A46" s="1129" t="s">
        <v>542</v>
      </c>
      <c r="B46" s="1130"/>
      <c r="C46" s="219"/>
      <c r="D46" s="218"/>
      <c r="E46" s="219"/>
      <c r="F46" s="217"/>
      <c r="G46" s="217"/>
      <c r="H46" s="218"/>
      <c r="I46" s="219">
        <f aca="true" t="shared" si="3" ref="I46:I51">C46+E46+F46+G46</f>
        <v>0</v>
      </c>
      <c r="J46" s="218"/>
    </row>
    <row r="47" spans="1:10" ht="12.75">
      <c r="A47" s="1146" t="s">
        <v>543</v>
      </c>
      <c r="B47" s="1147"/>
      <c r="C47" s="219"/>
      <c r="D47" s="218"/>
      <c r="E47" s="219"/>
      <c r="F47" s="217"/>
      <c r="G47" s="217"/>
      <c r="H47" s="218"/>
      <c r="I47" s="219">
        <f t="shared" si="3"/>
        <v>0</v>
      </c>
      <c r="J47" s="218"/>
    </row>
    <row r="48" spans="1:10" ht="12.75">
      <c r="A48" s="1129" t="s">
        <v>544</v>
      </c>
      <c r="B48" s="1130"/>
      <c r="C48" s="219"/>
      <c r="D48" s="218"/>
      <c r="E48" s="219"/>
      <c r="F48" s="217"/>
      <c r="G48" s="217"/>
      <c r="H48" s="218"/>
      <c r="I48" s="219">
        <f t="shared" si="3"/>
        <v>0</v>
      </c>
      <c r="J48" s="218"/>
    </row>
    <row r="49" spans="1:10" ht="12.75">
      <c r="A49" s="1129" t="s">
        <v>545</v>
      </c>
      <c r="B49" s="1130"/>
      <c r="C49" s="219"/>
      <c r="D49" s="218"/>
      <c r="E49" s="219"/>
      <c r="F49" s="217"/>
      <c r="G49" s="217"/>
      <c r="H49" s="218"/>
      <c r="I49" s="219">
        <f t="shared" si="3"/>
        <v>0</v>
      </c>
      <c r="J49" s="218"/>
    </row>
    <row r="50" spans="1:10" ht="12.75">
      <c r="A50" s="1129" t="s">
        <v>546</v>
      </c>
      <c r="B50" s="1130"/>
      <c r="C50" s="219"/>
      <c r="D50" s="218"/>
      <c r="E50" s="219"/>
      <c r="F50" s="217"/>
      <c r="G50" s="217"/>
      <c r="H50" s="218"/>
      <c r="I50" s="219">
        <f t="shared" si="3"/>
        <v>0</v>
      </c>
      <c r="J50" s="218"/>
    </row>
    <row r="51" spans="1:10" ht="12.75">
      <c r="A51" s="1129" t="s">
        <v>547</v>
      </c>
      <c r="B51" s="1130"/>
      <c r="C51" s="219"/>
      <c r="D51" s="218"/>
      <c r="E51" s="219"/>
      <c r="F51" s="217"/>
      <c r="G51" s="217"/>
      <c r="H51" s="218"/>
      <c r="I51" s="219">
        <f t="shared" si="3"/>
        <v>0</v>
      </c>
      <c r="J51" s="218"/>
    </row>
    <row r="52" spans="1:10" ht="12.75">
      <c r="A52" s="1127" t="s">
        <v>548</v>
      </c>
      <c r="B52" s="1128"/>
      <c r="C52" s="275"/>
      <c r="D52" s="276"/>
      <c r="E52" s="275"/>
      <c r="F52" s="277"/>
      <c r="G52" s="277"/>
      <c r="H52" s="276"/>
      <c r="I52" s="275"/>
      <c r="J52" s="276"/>
    </row>
    <row r="53" spans="1:10" ht="12.75">
      <c r="A53" s="1129" t="s">
        <v>549</v>
      </c>
      <c r="B53" s="1130"/>
      <c r="C53" s="219"/>
      <c r="D53" s="218"/>
      <c r="E53" s="219"/>
      <c r="F53" s="217"/>
      <c r="G53" s="217"/>
      <c r="H53" s="218"/>
      <c r="I53" s="219">
        <f>C53+E53+F53+G53</f>
        <v>0</v>
      </c>
      <c r="J53" s="218"/>
    </row>
    <row r="54" spans="1:10" ht="12.75">
      <c r="A54" s="1129" t="s">
        <v>550</v>
      </c>
      <c r="B54" s="1130"/>
      <c r="C54" s="219"/>
      <c r="D54" s="218"/>
      <c r="E54" s="219"/>
      <c r="F54" s="217"/>
      <c r="G54" s="217"/>
      <c r="H54" s="218"/>
      <c r="I54" s="219">
        <f>C54+E54+F54+G54</f>
        <v>0</v>
      </c>
      <c r="J54" s="218"/>
    </row>
    <row r="55" spans="1:10" ht="12.75">
      <c r="A55" s="1129" t="s">
        <v>551</v>
      </c>
      <c r="B55" s="1130"/>
      <c r="C55" s="219"/>
      <c r="D55" s="218"/>
      <c r="E55" s="219"/>
      <c r="F55" s="217"/>
      <c r="G55" s="217"/>
      <c r="H55" s="218"/>
      <c r="I55" s="219">
        <f>C55+E55+F55+G55</f>
        <v>0</v>
      </c>
      <c r="J55" s="218"/>
    </row>
    <row r="56" spans="1:10" ht="12.75">
      <c r="A56" s="231" t="s">
        <v>552</v>
      </c>
      <c r="B56" s="158"/>
      <c r="C56" s="219"/>
      <c r="D56" s="218"/>
      <c r="E56" s="219"/>
      <c r="F56" s="217"/>
      <c r="G56" s="217"/>
      <c r="H56" s="218"/>
      <c r="I56" s="219">
        <f>C56+E56+F56+G56</f>
        <v>0</v>
      </c>
      <c r="J56" s="218"/>
    </row>
    <row r="57" spans="1:10" ht="13.5" thickBot="1">
      <c r="A57" s="1131" t="s">
        <v>553</v>
      </c>
      <c r="B57" s="1132"/>
      <c r="C57" s="222"/>
      <c r="D57" s="221"/>
      <c r="E57" s="222"/>
      <c r="F57" s="220"/>
      <c r="G57" s="220"/>
      <c r="H57" s="221"/>
      <c r="I57" s="222">
        <f>C57+E57+F57+G57</f>
        <v>0</v>
      </c>
      <c r="J57" s="221"/>
    </row>
  </sheetData>
  <sheetProtection/>
  <mergeCells count="31">
    <mergeCell ref="A41:B41"/>
    <mergeCell ref="I10:J10"/>
    <mergeCell ref="A7:H7"/>
    <mergeCell ref="A9:H9"/>
    <mergeCell ref="A8:H8"/>
    <mergeCell ref="I9:J9"/>
    <mergeCell ref="I7:J8"/>
    <mergeCell ref="E10:H10"/>
    <mergeCell ref="C10:D10"/>
    <mergeCell ref="H11:H12"/>
    <mergeCell ref="A13:B13"/>
    <mergeCell ref="E11:E12"/>
    <mergeCell ref="F11:G11"/>
    <mergeCell ref="A10:B12"/>
    <mergeCell ref="A50:B50"/>
    <mergeCell ref="A51:B51"/>
    <mergeCell ref="A52:B52"/>
    <mergeCell ref="A19:B19"/>
    <mergeCell ref="A33:B33"/>
    <mergeCell ref="A40:B40"/>
    <mergeCell ref="A26:B26"/>
    <mergeCell ref="A47:B47"/>
    <mergeCell ref="A18:B18"/>
    <mergeCell ref="A45:B45"/>
    <mergeCell ref="A46:B46"/>
    <mergeCell ref="A48:B48"/>
    <mergeCell ref="A57:B57"/>
    <mergeCell ref="A53:B53"/>
    <mergeCell ref="A55:B55"/>
    <mergeCell ref="A54:B54"/>
    <mergeCell ref="A49:B49"/>
  </mergeCells>
  <printOptions horizontalCentered="1" verticalCentered="1"/>
  <pageMargins left="0.7480314960629921" right="0.2362204724409449" top="0.79" bottom="0.984251968503937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2"/>
  <sheetViews>
    <sheetView zoomScale="55" zoomScaleNormal="55" zoomScalePageLayoutView="0" workbookViewId="0" topLeftCell="A1">
      <selection activeCell="G4" sqref="G4"/>
    </sheetView>
  </sheetViews>
  <sheetFormatPr defaultColWidth="11.57421875" defaultRowHeight="12.75"/>
  <cols>
    <col min="1" max="1" width="10.28125" style="278" customWidth="1"/>
    <col min="2" max="2" width="19.8515625" style="278" hidden="1" customWidth="1"/>
    <col min="3" max="3" width="12.140625" style="278" customWidth="1"/>
    <col min="4" max="4" width="16.421875" style="278" customWidth="1"/>
    <col min="5" max="5" width="10.57421875" style="278" customWidth="1"/>
    <col min="6" max="6" width="11.28125" style="278" customWidth="1"/>
    <col min="7" max="8" width="13.57421875" style="278" customWidth="1"/>
    <col min="9" max="9" width="16.57421875" style="278" customWidth="1"/>
    <col min="10" max="10" width="17.28125" style="278" customWidth="1"/>
    <col min="11" max="11" width="13.28125" style="278" customWidth="1"/>
    <col min="12" max="12" width="15.421875" style="278" customWidth="1"/>
    <col min="13" max="13" width="15.57421875" style="278" customWidth="1"/>
    <col min="14" max="14" width="16.7109375" style="278" customWidth="1"/>
    <col min="15" max="15" width="12.57421875" style="278" customWidth="1"/>
    <col min="16" max="16" width="0" style="278" hidden="1" customWidth="1"/>
    <col min="17" max="17" width="17.140625" style="279" hidden="1" customWidth="1"/>
    <col min="18" max="18" width="17.421875" style="279" hidden="1" customWidth="1"/>
    <col min="19" max="19" width="0.9921875" style="279" hidden="1" customWidth="1"/>
    <col min="20" max="16384" width="11.57421875" style="278" customWidth="1"/>
  </cols>
  <sheetData>
    <row r="1" ht="15">
      <c r="G1" s="820" t="s">
        <v>674</v>
      </c>
    </row>
    <row r="2" ht="14.25">
      <c r="G2" s="821" t="s">
        <v>675</v>
      </c>
    </row>
    <row r="4" spans="1:7" ht="15">
      <c r="A4" s="819" t="s">
        <v>525</v>
      </c>
      <c r="G4" s="824">
        <v>42339</v>
      </c>
    </row>
    <row r="5" spans="1:7" ht="15">
      <c r="A5" s="819" t="s">
        <v>673</v>
      </c>
      <c r="G5" s="823" t="s">
        <v>676</v>
      </c>
    </row>
    <row r="6" spans="1:14" ht="24.75" customHeight="1" thickBot="1">
      <c r="A6" s="317"/>
      <c r="N6" s="318"/>
    </row>
    <row r="7" spans="1:19" s="295" customFormat="1" ht="36" customHeight="1" thickBot="1">
      <c r="A7" s="1186" t="s">
        <v>701</v>
      </c>
      <c r="B7" s="1187"/>
      <c r="C7" s="1187"/>
      <c r="D7" s="1187"/>
      <c r="E7" s="1187"/>
      <c r="F7" s="1187"/>
      <c r="G7" s="1187"/>
      <c r="H7" s="1187"/>
      <c r="I7" s="1187"/>
      <c r="J7" s="1187"/>
      <c r="K7" s="1187"/>
      <c r="L7" s="1187"/>
      <c r="M7" s="1188"/>
      <c r="N7" s="1175">
        <f>CPYG!D7</f>
        <v>2016</v>
      </c>
      <c r="O7" s="1176"/>
      <c r="Q7" s="297"/>
      <c r="R7" s="297"/>
      <c r="S7" s="297"/>
    </row>
    <row r="8" spans="1:15" ht="25.5" customHeight="1" thickBot="1">
      <c r="A8" s="1183" t="str">
        <f>CPYG!A8</f>
        <v>SPET, TURISMO DE TENERIFE, S.A.</v>
      </c>
      <c r="B8" s="1184"/>
      <c r="C8" s="1184"/>
      <c r="D8" s="1184"/>
      <c r="E8" s="1184"/>
      <c r="F8" s="1184"/>
      <c r="G8" s="1184"/>
      <c r="H8" s="1184"/>
      <c r="I8" s="1184"/>
      <c r="J8" s="1184"/>
      <c r="K8" s="1184"/>
      <c r="L8" s="1184"/>
      <c r="M8" s="1185"/>
      <c r="N8" s="1183" t="s">
        <v>374</v>
      </c>
      <c r="O8" s="1185"/>
    </row>
    <row r="9" spans="1:15" ht="24.75" customHeight="1">
      <c r="A9" s="1177" t="s">
        <v>318</v>
      </c>
      <c r="B9" s="1178"/>
      <c r="C9" s="1178"/>
      <c r="D9" s="1178"/>
      <c r="E9" s="1178"/>
      <c r="F9" s="1178"/>
      <c r="G9" s="1178"/>
      <c r="H9" s="1178"/>
      <c r="I9" s="1178"/>
      <c r="J9" s="1178"/>
      <c r="K9" s="1178"/>
      <c r="L9" s="1178"/>
      <c r="M9" s="1178"/>
      <c r="N9" s="1178"/>
      <c r="O9" s="1179"/>
    </row>
    <row r="10" spans="1:16" ht="48" customHeight="1">
      <c r="A10" s="1172" t="s">
        <v>618</v>
      </c>
      <c r="B10" s="1173"/>
      <c r="C10" s="1174"/>
      <c r="D10" s="1181" t="s">
        <v>66</v>
      </c>
      <c r="E10" s="1174"/>
      <c r="F10" s="281" t="s">
        <v>67</v>
      </c>
      <c r="G10" s="1180" t="s">
        <v>68</v>
      </c>
      <c r="H10" s="1180"/>
      <c r="I10" s="1180"/>
      <c r="J10" s="1181" t="s">
        <v>69</v>
      </c>
      <c r="K10" s="1174"/>
      <c r="L10" s="1181" t="s">
        <v>802</v>
      </c>
      <c r="M10" s="1174"/>
      <c r="N10" s="1181" t="s">
        <v>803</v>
      </c>
      <c r="O10" s="1182"/>
      <c r="P10" s="282"/>
    </row>
    <row r="11" spans="1:15" ht="19.5" customHeight="1">
      <c r="A11" s="1169"/>
      <c r="B11" s="1170"/>
      <c r="C11" s="1171"/>
      <c r="D11" s="1162"/>
      <c r="E11" s="1163"/>
      <c r="F11" s="283"/>
      <c r="G11" s="1166"/>
      <c r="H11" s="1167"/>
      <c r="I11" s="1168"/>
      <c r="J11" s="1162"/>
      <c r="K11" s="1163"/>
      <c r="L11" s="1162"/>
      <c r="M11" s="1163"/>
      <c r="N11" s="1162"/>
      <c r="O11" s="1189"/>
    </row>
    <row r="12" spans="1:15" ht="19.5" customHeight="1">
      <c r="A12" s="1169"/>
      <c r="B12" s="1170"/>
      <c r="C12" s="1171"/>
      <c r="D12" s="1162"/>
      <c r="E12" s="1163"/>
      <c r="F12" s="283"/>
      <c r="G12" s="1164"/>
      <c r="H12" s="1164"/>
      <c r="I12" s="1164"/>
      <c r="J12" s="1162"/>
      <c r="K12" s="1163"/>
      <c r="L12" s="1162"/>
      <c r="M12" s="1165"/>
      <c r="N12" s="1162"/>
      <c r="O12" s="1189"/>
    </row>
    <row r="13" spans="1:15" ht="19.5" customHeight="1">
      <c r="A13" s="1169"/>
      <c r="B13" s="1170"/>
      <c r="C13" s="1171"/>
      <c r="D13" s="1162"/>
      <c r="E13" s="1163"/>
      <c r="F13" s="283"/>
      <c r="G13" s="1164"/>
      <c r="H13" s="1164"/>
      <c r="I13" s="1164"/>
      <c r="J13" s="1162"/>
      <c r="K13" s="1163"/>
      <c r="L13" s="1162"/>
      <c r="M13" s="1165"/>
      <c r="N13" s="1162"/>
      <c r="O13" s="1189"/>
    </row>
    <row r="14" spans="1:15" ht="19.5" customHeight="1">
      <c r="A14" s="1169"/>
      <c r="B14" s="1170"/>
      <c r="C14" s="1171"/>
      <c r="D14" s="1162"/>
      <c r="E14" s="1163"/>
      <c r="F14" s="283"/>
      <c r="G14" s="1164"/>
      <c r="H14" s="1164"/>
      <c r="I14" s="1164"/>
      <c r="J14" s="1162"/>
      <c r="K14" s="1163"/>
      <c r="L14" s="1162"/>
      <c r="M14" s="1165"/>
      <c r="N14" s="1162"/>
      <c r="O14" s="1189"/>
    </row>
    <row r="15" spans="1:15" ht="19.5" customHeight="1">
      <c r="A15" s="1169"/>
      <c r="B15" s="1170"/>
      <c r="C15" s="1171"/>
      <c r="D15" s="1162"/>
      <c r="E15" s="1163"/>
      <c r="F15" s="285"/>
      <c r="G15" s="1164"/>
      <c r="H15" s="1164"/>
      <c r="I15" s="1164"/>
      <c r="J15" s="1162"/>
      <c r="K15" s="1163"/>
      <c r="L15" s="1162"/>
      <c r="M15" s="1165"/>
      <c r="N15" s="1162"/>
      <c r="O15" s="1189"/>
    </row>
    <row r="16" spans="1:15" ht="24.75" customHeight="1">
      <c r="A16" s="1192" t="s">
        <v>367</v>
      </c>
      <c r="B16" s="1193"/>
      <c r="C16" s="1193"/>
      <c r="D16" s="1193"/>
      <c r="E16" s="1193"/>
      <c r="F16" s="1193"/>
      <c r="G16" s="1193"/>
      <c r="H16" s="1193"/>
      <c r="I16" s="1193"/>
      <c r="J16" s="1193"/>
      <c r="K16" s="1193"/>
      <c r="L16" s="1193"/>
      <c r="M16" s="1193"/>
      <c r="N16" s="1193"/>
      <c r="O16" s="1194"/>
    </row>
    <row r="17" spans="1:15" ht="40.5" customHeight="1">
      <c r="A17" s="1195" t="s">
        <v>70</v>
      </c>
      <c r="B17" s="281"/>
      <c r="C17" s="1180" t="s">
        <v>71</v>
      </c>
      <c r="D17" s="1199" t="s">
        <v>72</v>
      </c>
      <c r="E17" s="1200"/>
      <c r="F17" s="1180" t="s">
        <v>73</v>
      </c>
      <c r="G17" s="1190" t="s">
        <v>615</v>
      </c>
      <c r="H17" s="1190" t="s">
        <v>616</v>
      </c>
      <c r="I17" s="1181" t="s">
        <v>804</v>
      </c>
      <c r="J17" s="1174"/>
      <c r="K17" s="1181" t="s">
        <v>798</v>
      </c>
      <c r="L17" s="1173"/>
      <c r="M17" s="1174"/>
      <c r="N17" s="1180" t="s">
        <v>810</v>
      </c>
      <c r="O17" s="1196"/>
    </row>
    <row r="18" spans="1:19" ht="60" customHeight="1">
      <c r="A18" s="1195"/>
      <c r="B18" s="281"/>
      <c r="C18" s="1180"/>
      <c r="D18" s="1201"/>
      <c r="E18" s="1202"/>
      <c r="F18" s="1180"/>
      <c r="G18" s="1191"/>
      <c r="H18" s="1191"/>
      <c r="I18" s="286" t="s">
        <v>702</v>
      </c>
      <c r="J18" s="281" t="s">
        <v>805</v>
      </c>
      <c r="K18" s="836" t="s">
        <v>806</v>
      </c>
      <c r="L18" s="281" t="s">
        <v>807</v>
      </c>
      <c r="M18" s="280" t="s">
        <v>808</v>
      </c>
      <c r="N18" s="280" t="s">
        <v>809</v>
      </c>
      <c r="O18" s="287" t="s">
        <v>74</v>
      </c>
      <c r="Q18" s="288" t="s">
        <v>313</v>
      </c>
      <c r="R18" s="279" t="s">
        <v>716</v>
      </c>
      <c r="S18" s="279" t="s">
        <v>717</v>
      </c>
    </row>
    <row r="19" spans="1:19" s="295" customFormat="1" ht="19.5" customHeight="1">
      <c r="A19" s="289">
        <v>2007</v>
      </c>
      <c r="B19" s="290"/>
      <c r="C19" s="865" t="s">
        <v>131</v>
      </c>
      <c r="D19" s="1197" t="s">
        <v>130</v>
      </c>
      <c r="E19" s="1198"/>
      <c r="F19" s="284"/>
      <c r="G19" s="291"/>
      <c r="H19" s="291"/>
      <c r="I19" s="292">
        <v>300000</v>
      </c>
      <c r="J19" s="835">
        <v>83210.08126581287</v>
      </c>
      <c r="K19" s="764">
        <v>0</v>
      </c>
      <c r="L19" s="711">
        <v>22329.988335565282</v>
      </c>
      <c r="M19" s="711">
        <v>2190.926116817403</v>
      </c>
      <c r="N19" s="712">
        <v>23009.176298658964</v>
      </c>
      <c r="O19" s="839">
        <v>2017</v>
      </c>
      <c r="Q19" s="296"/>
      <c r="R19" s="297"/>
      <c r="S19" s="297"/>
    </row>
    <row r="20" spans="1:19" s="295" customFormat="1" ht="19.5" customHeight="1">
      <c r="A20" s="298"/>
      <c r="B20" s="290"/>
      <c r="C20" s="290"/>
      <c r="D20" s="1197"/>
      <c r="E20" s="1198"/>
      <c r="F20" s="284"/>
      <c r="G20" s="291"/>
      <c r="H20" s="291"/>
      <c r="I20" s="292"/>
      <c r="J20" s="292"/>
      <c r="K20" s="292"/>
      <c r="L20" s="292"/>
      <c r="M20" s="292"/>
      <c r="N20" s="712">
        <v>23709.022413574265</v>
      </c>
      <c r="O20" s="839">
        <v>2018</v>
      </c>
      <c r="P20" s="295">
        <f aca="true" t="shared" si="0" ref="P20:P28">+P19+1</f>
        <v>1</v>
      </c>
      <c r="Q20" s="296">
        <f aca="true" t="shared" si="1" ref="Q20:Q28">+S20-R20</f>
        <v>-492841.42</v>
      </c>
      <c r="R20" s="297">
        <v>492841.42</v>
      </c>
      <c r="S20" s="297">
        <f aca="true" t="shared" si="2" ref="S20:S28">+R19</f>
        <v>0</v>
      </c>
    </row>
    <row r="21" spans="1:19" s="295" customFormat="1" ht="19.5" customHeight="1">
      <c r="A21" s="298"/>
      <c r="B21" s="290"/>
      <c r="C21" s="290"/>
      <c r="D21" s="1197"/>
      <c r="E21" s="1198"/>
      <c r="F21" s="284"/>
      <c r="G21" s="291"/>
      <c r="H21" s="291"/>
      <c r="I21" s="292"/>
      <c r="J21" s="292"/>
      <c r="K21" s="292"/>
      <c r="L21" s="292"/>
      <c r="M21" s="292"/>
      <c r="N21" s="712">
        <v>14161.894218014371</v>
      </c>
      <c r="O21" s="839">
        <v>2019</v>
      </c>
      <c r="P21" s="295">
        <f t="shared" si="0"/>
        <v>2</v>
      </c>
      <c r="Q21" s="296">
        <f t="shared" si="1"/>
        <v>53178.25</v>
      </c>
      <c r="R21" s="297">
        <v>439663.17</v>
      </c>
      <c r="S21" s="297">
        <f t="shared" si="2"/>
        <v>492841.42</v>
      </c>
    </row>
    <row r="22" spans="1:19" s="295" customFormat="1" ht="19.5" customHeight="1">
      <c r="A22" s="298"/>
      <c r="B22" s="290"/>
      <c r="C22" s="290"/>
      <c r="D22" s="1197"/>
      <c r="E22" s="1198"/>
      <c r="F22" s="284"/>
      <c r="G22" s="291"/>
      <c r="H22" s="291"/>
      <c r="I22" s="292"/>
      <c r="J22" s="292"/>
      <c r="K22" s="292"/>
      <c r="L22" s="292"/>
      <c r="M22" s="292"/>
      <c r="N22" s="293"/>
      <c r="O22" s="294"/>
      <c r="P22" s="295">
        <f t="shared" si="0"/>
        <v>3</v>
      </c>
      <c r="Q22" s="296">
        <f t="shared" si="1"/>
        <v>56170.159999999974</v>
      </c>
      <c r="R22" s="297">
        <v>383493.01</v>
      </c>
      <c r="S22" s="297">
        <f t="shared" si="2"/>
        <v>439663.17</v>
      </c>
    </row>
    <row r="23" spans="1:19" s="295" customFormat="1" ht="19.5" customHeight="1">
      <c r="A23" s="298"/>
      <c r="B23" s="290"/>
      <c r="C23" s="290"/>
      <c r="D23" s="1197"/>
      <c r="E23" s="1198"/>
      <c r="F23" s="284"/>
      <c r="G23" s="291"/>
      <c r="H23" s="291"/>
      <c r="I23" s="292"/>
      <c r="J23" s="292"/>
      <c r="K23" s="292"/>
      <c r="L23" s="292"/>
      <c r="M23" s="292"/>
      <c r="N23" s="293"/>
      <c r="O23" s="294"/>
      <c r="P23" s="295">
        <f t="shared" si="0"/>
        <v>4</v>
      </c>
      <c r="Q23" s="296">
        <f t="shared" si="1"/>
        <v>59330.42999999999</v>
      </c>
      <c r="R23" s="297">
        <v>324162.58</v>
      </c>
      <c r="S23" s="297">
        <f t="shared" si="2"/>
        <v>383493.01</v>
      </c>
    </row>
    <row r="24" spans="1:19" s="295" customFormat="1" ht="19.5" customHeight="1">
      <c r="A24" s="298"/>
      <c r="B24" s="290"/>
      <c r="C24" s="290"/>
      <c r="D24" s="1197"/>
      <c r="E24" s="1198"/>
      <c r="F24" s="284"/>
      <c r="G24" s="291"/>
      <c r="H24" s="291"/>
      <c r="I24" s="292"/>
      <c r="J24" s="292"/>
      <c r="K24" s="292"/>
      <c r="L24" s="292"/>
      <c r="M24" s="292"/>
      <c r="N24" s="293"/>
      <c r="O24" s="294"/>
      <c r="P24" s="295">
        <f t="shared" si="0"/>
        <v>5</v>
      </c>
      <c r="Q24" s="296">
        <f t="shared" si="1"/>
        <v>62668.49000000002</v>
      </c>
      <c r="R24" s="297">
        <v>261494.09</v>
      </c>
      <c r="S24" s="297">
        <f t="shared" si="2"/>
        <v>324162.58</v>
      </c>
    </row>
    <row r="25" spans="1:19" s="295" customFormat="1" ht="19.5" customHeight="1">
      <c r="A25" s="298"/>
      <c r="B25" s="290"/>
      <c r="C25" s="290"/>
      <c r="D25" s="1197"/>
      <c r="E25" s="1198"/>
      <c r="F25" s="284"/>
      <c r="G25" s="284"/>
      <c r="H25" s="284"/>
      <c r="I25" s="299"/>
      <c r="J25" s="299"/>
      <c r="K25" s="299"/>
      <c r="L25" s="299"/>
      <c r="M25" s="299"/>
      <c r="N25" s="300"/>
      <c r="O25" s="294"/>
      <c r="P25" s="295">
        <f t="shared" si="0"/>
        <v>6</v>
      </c>
      <c r="Q25" s="296">
        <f t="shared" si="1"/>
        <v>66194.34</v>
      </c>
      <c r="R25" s="297">
        <v>195299.75</v>
      </c>
      <c r="S25" s="297">
        <f t="shared" si="2"/>
        <v>261494.09</v>
      </c>
    </row>
    <row r="26" spans="1:19" s="295" customFormat="1" ht="19.5" customHeight="1">
      <c r="A26" s="298"/>
      <c r="B26" s="290"/>
      <c r="C26" s="290"/>
      <c r="D26" s="1197"/>
      <c r="E26" s="1198"/>
      <c r="F26" s="284"/>
      <c r="G26" s="284"/>
      <c r="H26" s="284"/>
      <c r="I26" s="299"/>
      <c r="J26" s="299"/>
      <c r="K26" s="299"/>
      <c r="L26" s="299"/>
      <c r="M26" s="299"/>
      <c r="N26" s="300"/>
      <c r="O26" s="294"/>
      <c r="P26" s="295">
        <f t="shared" si="0"/>
        <v>7</v>
      </c>
      <c r="Q26" s="296">
        <f t="shared" si="1"/>
        <v>69918.59</v>
      </c>
      <c r="R26" s="297">
        <v>125381.16</v>
      </c>
      <c r="S26" s="297">
        <f t="shared" si="2"/>
        <v>195299.75</v>
      </c>
    </row>
    <row r="27" spans="1:19" s="295" customFormat="1" ht="19.5" customHeight="1">
      <c r="A27" s="298"/>
      <c r="B27" s="290"/>
      <c r="C27" s="290"/>
      <c r="D27" s="1197"/>
      <c r="E27" s="1198"/>
      <c r="F27" s="284"/>
      <c r="G27" s="284"/>
      <c r="H27" s="284"/>
      <c r="I27" s="299"/>
      <c r="J27" s="299"/>
      <c r="K27" s="299"/>
      <c r="L27" s="299"/>
      <c r="M27" s="299"/>
      <c r="N27" s="300"/>
      <c r="O27" s="294"/>
      <c r="P27" s="295">
        <f t="shared" si="0"/>
        <v>8</v>
      </c>
      <c r="Q27" s="296">
        <f t="shared" si="1"/>
        <v>73852.37</v>
      </c>
      <c r="R27" s="297">
        <v>51528.79</v>
      </c>
      <c r="S27" s="297">
        <f t="shared" si="2"/>
        <v>125381.16</v>
      </c>
    </row>
    <row r="28" spans="1:19" s="295" customFormat="1" ht="19.5" customHeight="1" thickBot="1">
      <c r="A28" s="301"/>
      <c r="B28" s="290"/>
      <c r="C28" s="302"/>
      <c r="D28" s="1205"/>
      <c r="E28" s="1206"/>
      <c r="F28" s="303"/>
      <c r="G28" s="303"/>
      <c r="H28" s="303"/>
      <c r="I28" s="304"/>
      <c r="J28" s="304"/>
      <c r="K28" s="304"/>
      <c r="L28" s="304"/>
      <c r="M28" s="304"/>
      <c r="N28" s="305"/>
      <c r="O28" s="306"/>
      <c r="P28" s="295">
        <f t="shared" si="0"/>
        <v>9</v>
      </c>
      <c r="Q28" s="296">
        <f t="shared" si="1"/>
        <v>51528.79</v>
      </c>
      <c r="R28" s="297">
        <v>0</v>
      </c>
      <c r="S28" s="297">
        <f t="shared" si="2"/>
        <v>51528.79</v>
      </c>
    </row>
    <row r="29" spans="1:19" s="295" customFormat="1" ht="19.5" customHeight="1" thickBot="1">
      <c r="A29" s="307" t="s">
        <v>319</v>
      </c>
      <c r="B29" s="308"/>
      <c r="C29" s="309"/>
      <c r="D29" s="1203"/>
      <c r="E29" s="1204"/>
      <c r="F29" s="310"/>
      <c r="G29" s="310"/>
      <c r="H29" s="310"/>
      <c r="I29" s="816">
        <f aca="true" t="shared" si="3" ref="I29:N29">SUM(I19:I28)</f>
        <v>300000</v>
      </c>
      <c r="J29" s="816">
        <f t="shared" si="3"/>
        <v>83210.08126581287</v>
      </c>
      <c r="K29" s="816">
        <f>SUM(K20:K28)</f>
        <v>0</v>
      </c>
      <c r="L29" s="816">
        <f t="shared" si="3"/>
        <v>22329.988335565282</v>
      </c>
      <c r="M29" s="816">
        <f t="shared" si="3"/>
        <v>2190.926116817403</v>
      </c>
      <c r="N29" s="816">
        <f t="shared" si="3"/>
        <v>60880.0929302476</v>
      </c>
      <c r="O29" s="311"/>
      <c r="Q29" s="297"/>
      <c r="R29" s="297"/>
      <c r="S29" s="297"/>
    </row>
    <row r="30" spans="1:15" ht="12.75">
      <c r="A30" s="312"/>
      <c r="B30" s="313"/>
      <c r="C30" s="313"/>
      <c r="D30" s="314"/>
      <c r="E30" s="312"/>
      <c r="F30" s="312"/>
      <c r="G30" s="312"/>
      <c r="H30" s="312"/>
      <c r="I30" s="312"/>
      <c r="J30" s="312"/>
      <c r="K30" s="312"/>
      <c r="L30" s="312"/>
      <c r="M30" s="312"/>
      <c r="N30" s="315"/>
      <c r="O30" s="316"/>
    </row>
    <row r="31" spans="1:19" s="924" customFormat="1" ht="12.75" hidden="1">
      <c r="A31" s="924" t="s">
        <v>315</v>
      </c>
      <c r="Q31" s="925"/>
      <c r="R31" s="925"/>
      <c r="S31" s="925"/>
    </row>
    <row r="32" spans="1:19" s="924" customFormat="1" ht="12.75" hidden="1">
      <c r="A32" s="924" t="s">
        <v>617</v>
      </c>
      <c r="Q32" s="925"/>
      <c r="R32" s="925"/>
      <c r="S32" s="925"/>
    </row>
    <row r="33" spans="1:19" s="924" customFormat="1" ht="12.75" hidden="1">
      <c r="A33" s="924" t="s">
        <v>368</v>
      </c>
      <c r="Q33" s="925"/>
      <c r="R33" s="925"/>
      <c r="S33" s="925"/>
    </row>
    <row r="34" spans="1:19" s="924" customFormat="1" ht="12.75" hidden="1">
      <c r="A34" s="924" t="s">
        <v>703</v>
      </c>
      <c r="Q34" s="925"/>
      <c r="R34" s="925"/>
      <c r="S34" s="925"/>
    </row>
    <row r="35" spans="17:19" s="924" customFormat="1" ht="12.75" hidden="1">
      <c r="Q35" s="925"/>
      <c r="R35" s="925"/>
      <c r="S35" s="925"/>
    </row>
    <row r="39" ht="12.75">
      <c r="A39" s="133"/>
    </row>
    <row r="40" ht="12.75">
      <c r="A40" s="133"/>
    </row>
    <row r="41" ht="12.75">
      <c r="A41" s="133"/>
    </row>
    <row r="42" ht="12.75">
      <c r="A42" s="133"/>
    </row>
  </sheetData>
  <sheetProtection/>
  <mergeCells count="62">
    <mergeCell ref="D24:E24"/>
    <mergeCell ref="D29:E29"/>
    <mergeCell ref="D25:E25"/>
    <mergeCell ref="D26:E26"/>
    <mergeCell ref="D27:E27"/>
    <mergeCell ref="D28:E28"/>
    <mergeCell ref="D23:E23"/>
    <mergeCell ref="D13:E13"/>
    <mergeCell ref="H17:H18"/>
    <mergeCell ref="G15:I15"/>
    <mergeCell ref="G14:I14"/>
    <mergeCell ref="G13:I13"/>
    <mergeCell ref="N17:O17"/>
    <mergeCell ref="N15:O15"/>
    <mergeCell ref="L14:M14"/>
    <mergeCell ref="D22:E22"/>
    <mergeCell ref="D17:E18"/>
    <mergeCell ref="D21:E21"/>
    <mergeCell ref="D19:E19"/>
    <mergeCell ref="J14:K14"/>
    <mergeCell ref="D20:E20"/>
    <mergeCell ref="L15:M15"/>
    <mergeCell ref="K17:M17"/>
    <mergeCell ref="I17:J17"/>
    <mergeCell ref="D14:E14"/>
    <mergeCell ref="D15:E15"/>
    <mergeCell ref="G17:G18"/>
    <mergeCell ref="A16:O16"/>
    <mergeCell ref="A17:A18"/>
    <mergeCell ref="F17:F18"/>
    <mergeCell ref="C17:C18"/>
    <mergeCell ref="N14:O14"/>
    <mergeCell ref="J15:K15"/>
    <mergeCell ref="N11:O11"/>
    <mergeCell ref="A15:C15"/>
    <mergeCell ref="N13:O13"/>
    <mergeCell ref="N12:O12"/>
    <mergeCell ref="A13:C13"/>
    <mergeCell ref="A14:C14"/>
    <mergeCell ref="J13:K13"/>
    <mergeCell ref="D12:E12"/>
    <mergeCell ref="L11:M11"/>
    <mergeCell ref="N7:O7"/>
    <mergeCell ref="A9:O9"/>
    <mergeCell ref="G10:I10"/>
    <mergeCell ref="N10:O10"/>
    <mergeCell ref="L10:M10"/>
    <mergeCell ref="J10:K10"/>
    <mergeCell ref="D10:E10"/>
    <mergeCell ref="A8:M8"/>
    <mergeCell ref="A7:M7"/>
    <mergeCell ref="N8:O8"/>
    <mergeCell ref="A11:C11"/>
    <mergeCell ref="A10:C10"/>
    <mergeCell ref="A12:C12"/>
    <mergeCell ref="D11:E11"/>
    <mergeCell ref="J12:K12"/>
    <mergeCell ref="G12:I12"/>
    <mergeCell ref="L13:M13"/>
    <mergeCell ref="G11:I11"/>
    <mergeCell ref="J11:K11"/>
    <mergeCell ref="L12:M12"/>
  </mergeCells>
  <dataValidations count="4">
    <dataValidation type="list" allowBlank="1" showInputMessage="1" showErrorMessage="1" promptTitle="Tipo" prompt="Deberá indicar seleccionar el mismo&#10;" sqref="F19:F29">
      <formula1>$E$39:$E$42</formula1>
    </dataValidation>
    <dataValidation allowBlank="1" showInputMessage="1" showErrorMessage="1" prompt="Este número está correlacionado con el Aval del Cabildo, en su caso.&#10;" sqref="G19:H29"/>
    <dataValidation allowBlank="1" showInputMessage="1" showErrorMessage="1" prompt="LO QUE QUEDA POR PAGAR SIN INTERESES. RESPECTO DE PÓLIZAS DE CRÉDITOS ES LO QUE ESTÁ DISPUESTO A ESA FECHA." sqref="J19:J29"/>
    <dataValidation allowBlank="1" showInputMessage="1" showErrorMessage="1" promptTitle="Epígrafe Pasivo Balance" prompt="Incluir en dónde figura del Pasivo del Balance la disposición o reducción de pólizas y préstamos" sqref="C19:C29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207" t="s">
        <v>271</v>
      </c>
      <c r="B1" s="1208"/>
      <c r="C1" s="1208"/>
      <c r="D1" s="1208"/>
      <c r="E1" s="1208"/>
      <c r="F1" s="1208"/>
      <c r="G1" s="1209"/>
      <c r="H1" s="108">
        <v>2011</v>
      </c>
      <c r="I1"/>
      <c r="J1"/>
    </row>
    <row r="2" spans="1:10" s="110" customFormat="1" ht="17.25" thickBot="1">
      <c r="A2" s="1210" t="s">
        <v>272</v>
      </c>
      <c r="B2" s="1211"/>
      <c r="C2" s="1211"/>
      <c r="D2" s="1211"/>
      <c r="E2" s="1211"/>
      <c r="F2" s="1211"/>
      <c r="G2" s="1212"/>
      <c r="H2" s="120" t="s">
        <v>713</v>
      </c>
      <c r="I2"/>
      <c r="J2"/>
    </row>
    <row r="3" spans="1:8" ht="13.5" customHeight="1" thickBot="1">
      <c r="A3" s="1213" t="s">
        <v>273</v>
      </c>
      <c r="B3" s="1214"/>
      <c r="C3" s="1214"/>
      <c r="D3" s="1214"/>
      <c r="E3" s="1214"/>
      <c r="F3" s="1214"/>
      <c r="G3" s="1214"/>
      <c r="H3" s="1215"/>
    </row>
    <row r="4" spans="3:8" ht="20.25" customHeight="1">
      <c r="C4" s="1216">
        <v>2009</v>
      </c>
      <c r="D4" s="1216"/>
      <c r="E4" s="1216" t="s">
        <v>833</v>
      </c>
      <c r="F4" s="1216"/>
      <c r="G4" s="1216" t="s">
        <v>832</v>
      </c>
      <c r="H4" s="1216"/>
    </row>
    <row r="5" spans="1:8" ht="24.75">
      <c r="A5" s="111" t="s">
        <v>274</v>
      </c>
      <c r="B5" s="111" t="s">
        <v>714</v>
      </c>
      <c r="C5" s="112" t="s">
        <v>275</v>
      </c>
      <c r="D5" s="112" t="s">
        <v>276</v>
      </c>
      <c r="E5" s="112" t="s">
        <v>275</v>
      </c>
      <c r="F5" s="112" t="s">
        <v>276</v>
      </c>
      <c r="G5" s="112" t="s">
        <v>275</v>
      </c>
      <c r="H5" s="112" t="s">
        <v>276</v>
      </c>
    </row>
    <row r="6" spans="1:8" ht="15.75">
      <c r="A6" s="111" t="s">
        <v>277</v>
      </c>
      <c r="B6" s="111" t="s">
        <v>278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277</v>
      </c>
      <c r="B7" s="111" t="s">
        <v>279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218" t="s">
        <v>319</v>
      </c>
      <c r="B15" s="1219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217">
        <v>2009</v>
      </c>
      <c r="D17" s="1217"/>
      <c r="E17" s="1217" t="s">
        <v>833</v>
      </c>
      <c r="F17" s="1217"/>
      <c r="G17" s="1217" t="s">
        <v>832</v>
      </c>
      <c r="H17" s="1217"/>
    </row>
    <row r="18" spans="1:8" ht="24.75">
      <c r="A18" s="111" t="s">
        <v>280</v>
      </c>
      <c r="B18" s="111" t="s">
        <v>714</v>
      </c>
      <c r="C18" s="112" t="s">
        <v>281</v>
      </c>
      <c r="D18" s="112" t="s">
        <v>276</v>
      </c>
      <c r="E18" s="112" t="s">
        <v>281</v>
      </c>
      <c r="F18" s="112" t="s">
        <v>276</v>
      </c>
      <c r="G18" s="112" t="s">
        <v>281</v>
      </c>
      <c r="H18" s="112" t="s">
        <v>276</v>
      </c>
    </row>
    <row r="19" spans="1:8" ht="15.75">
      <c r="A19" s="111" t="s">
        <v>282</v>
      </c>
      <c r="B19" s="111" t="s">
        <v>283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284</v>
      </c>
      <c r="B20" s="111" t="s">
        <v>283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285</v>
      </c>
      <c r="B21" s="111" t="s">
        <v>286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287</v>
      </c>
      <c r="B22" s="111" t="s">
        <v>288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289</v>
      </c>
      <c r="B23" s="111" t="s">
        <v>290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277</v>
      </c>
      <c r="B24" s="111" t="s">
        <v>278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277</v>
      </c>
      <c r="B25" s="111" t="s">
        <v>291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218" t="s">
        <v>319</v>
      </c>
      <c r="B28" s="1219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715</v>
      </c>
    </row>
    <row r="32" ht="54" customHeight="1"/>
  </sheetData>
  <sheetProtection/>
  <mergeCells count="11">
    <mergeCell ref="G17:H17"/>
    <mergeCell ref="A28:B28"/>
    <mergeCell ref="A15:B15"/>
    <mergeCell ref="C17:D17"/>
    <mergeCell ref="E17:F17"/>
    <mergeCell ref="A1:G1"/>
    <mergeCell ref="A2:G2"/>
    <mergeCell ref="A3:H3"/>
    <mergeCell ref="C4:D4"/>
    <mergeCell ref="E4:F4"/>
    <mergeCell ref="G4:H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5"/>
  <sheetViews>
    <sheetView zoomScale="49" zoomScaleNormal="49" zoomScalePageLayoutView="0" workbookViewId="0" topLeftCell="A1">
      <selection activeCell="N33" sqref="N33"/>
    </sheetView>
  </sheetViews>
  <sheetFormatPr defaultColWidth="11.57421875" defaultRowHeight="12.75"/>
  <cols>
    <col min="1" max="1" width="10.28125" style="278" customWidth="1"/>
    <col min="2" max="2" width="19.8515625" style="278" hidden="1" customWidth="1"/>
    <col min="3" max="3" width="26.28125" style="278" customWidth="1"/>
    <col min="4" max="4" width="13.28125" style="278" customWidth="1"/>
    <col min="5" max="5" width="10.57421875" style="278" customWidth="1"/>
    <col min="6" max="6" width="13.8515625" style="278" customWidth="1"/>
    <col min="7" max="8" width="15.7109375" style="278" customWidth="1"/>
    <col min="9" max="9" width="16.7109375" style="278" customWidth="1"/>
    <col min="10" max="10" width="16.28125" style="278" customWidth="1"/>
    <col min="11" max="11" width="14.28125" style="278" customWidth="1"/>
    <col min="12" max="12" width="13.00390625" style="278" bestFit="1" customWidth="1"/>
    <col min="13" max="13" width="14.7109375" style="278" bestFit="1" customWidth="1"/>
    <col min="14" max="14" width="13.00390625" style="278" bestFit="1" customWidth="1"/>
    <col min="15" max="15" width="12.57421875" style="278" customWidth="1"/>
    <col min="16" max="16" width="0" style="278" hidden="1" customWidth="1"/>
    <col min="17" max="17" width="17.140625" style="279" hidden="1" customWidth="1"/>
    <col min="18" max="18" width="17.421875" style="279" hidden="1" customWidth="1"/>
    <col min="19" max="19" width="0.9921875" style="279" hidden="1" customWidth="1"/>
    <col min="20" max="16384" width="11.57421875" style="278" customWidth="1"/>
  </cols>
  <sheetData>
    <row r="1" ht="15">
      <c r="F1" s="820" t="s">
        <v>674</v>
      </c>
    </row>
    <row r="2" ht="14.25">
      <c r="F2" s="821" t="s">
        <v>675</v>
      </c>
    </row>
    <row r="4" spans="1:7" ht="15">
      <c r="A4" s="819" t="s">
        <v>525</v>
      </c>
      <c r="F4" s="824">
        <v>42339</v>
      </c>
      <c r="G4" s="831"/>
    </row>
    <row r="5" spans="1:7" ht="15">
      <c r="A5" s="819" t="s">
        <v>673</v>
      </c>
      <c r="F5" s="823" t="s">
        <v>676</v>
      </c>
      <c r="G5" s="832"/>
    </row>
    <row r="6" spans="1:14" ht="13.5" thickBot="1">
      <c r="A6" s="317"/>
      <c r="N6" s="318"/>
    </row>
    <row r="7" spans="1:19" s="295" customFormat="1" ht="36" customHeight="1" thickBot="1">
      <c r="A7" s="1186" t="s">
        <v>701</v>
      </c>
      <c r="B7" s="1187"/>
      <c r="C7" s="1187"/>
      <c r="D7" s="1187"/>
      <c r="E7" s="1187"/>
      <c r="F7" s="1187"/>
      <c r="G7" s="1187"/>
      <c r="H7" s="1187"/>
      <c r="I7" s="1187"/>
      <c r="J7" s="1187"/>
      <c r="K7" s="1187"/>
      <c r="L7" s="1187"/>
      <c r="M7" s="1188"/>
      <c r="N7" s="1175">
        <f>CPYG!D7</f>
        <v>2016</v>
      </c>
      <c r="O7" s="1176"/>
      <c r="Q7" s="297"/>
      <c r="R7" s="297"/>
      <c r="S7" s="297"/>
    </row>
    <row r="8" spans="1:15" ht="34.5" customHeight="1" thickBot="1">
      <c r="A8" s="1183" t="str">
        <f>CPYG!A8</f>
        <v>SPET, TURISMO DE TENERIFE, S.A.</v>
      </c>
      <c r="B8" s="1184"/>
      <c r="C8" s="1184"/>
      <c r="D8" s="1184"/>
      <c r="E8" s="1184"/>
      <c r="F8" s="1184"/>
      <c r="G8" s="1184"/>
      <c r="H8" s="1184"/>
      <c r="I8" s="1184"/>
      <c r="J8" s="1184"/>
      <c r="K8" s="1184"/>
      <c r="L8" s="1184"/>
      <c r="M8" s="1185"/>
      <c r="N8" s="1183" t="s">
        <v>373</v>
      </c>
      <c r="O8" s="1185"/>
    </row>
    <row r="9" spans="1:15" ht="24.75" customHeight="1">
      <c r="A9" s="1220" t="s">
        <v>369</v>
      </c>
      <c r="B9" s="1191"/>
      <c r="C9" s="1191"/>
      <c r="D9" s="1191"/>
      <c r="E9" s="1191"/>
      <c r="F9" s="1191"/>
      <c r="G9" s="1191"/>
      <c r="H9" s="1191"/>
      <c r="I9" s="1191"/>
      <c r="J9" s="1191"/>
      <c r="K9" s="1191"/>
      <c r="L9" s="1191"/>
      <c r="M9" s="1191"/>
      <c r="N9" s="1191"/>
      <c r="O9" s="1221"/>
    </row>
    <row r="10" spans="1:15" ht="40.5" customHeight="1">
      <c r="A10" s="1222" t="s">
        <v>70</v>
      </c>
      <c r="B10" s="281"/>
      <c r="C10" s="1180" t="s">
        <v>71</v>
      </c>
      <c r="D10" s="1199" t="s">
        <v>72</v>
      </c>
      <c r="E10" s="1200"/>
      <c r="F10" s="1180" t="s">
        <v>73</v>
      </c>
      <c r="G10" s="1190" t="s">
        <v>615</v>
      </c>
      <c r="H10" s="1190" t="s">
        <v>616</v>
      </c>
      <c r="I10" s="1181" t="s">
        <v>813</v>
      </c>
      <c r="J10" s="1173"/>
      <c r="K10" s="1174"/>
      <c r="L10" s="1181" t="s">
        <v>800</v>
      </c>
      <c r="M10" s="1173"/>
      <c r="N10" s="1173"/>
      <c r="O10" s="1182"/>
    </row>
    <row r="11" spans="1:19" ht="73.5" customHeight="1">
      <c r="A11" s="1220"/>
      <c r="B11" s="281"/>
      <c r="C11" s="1180"/>
      <c r="D11" s="1201"/>
      <c r="E11" s="1202"/>
      <c r="F11" s="1180"/>
      <c r="G11" s="1191"/>
      <c r="H11" s="1191"/>
      <c r="I11" s="286" t="s">
        <v>702</v>
      </c>
      <c r="J11" s="286" t="s">
        <v>811</v>
      </c>
      <c r="K11" s="280" t="s">
        <v>370</v>
      </c>
      <c r="L11" s="286" t="s">
        <v>812</v>
      </c>
      <c r="M11" s="281" t="s">
        <v>807</v>
      </c>
      <c r="N11" s="280" t="s">
        <v>809</v>
      </c>
      <c r="O11" s="287" t="s">
        <v>370</v>
      </c>
      <c r="Q11" s="288" t="s">
        <v>313</v>
      </c>
      <c r="R11" s="279" t="s">
        <v>716</v>
      </c>
      <c r="S11" s="279" t="s">
        <v>717</v>
      </c>
    </row>
    <row r="12" spans="1:19" s="295" customFormat="1" ht="19.5" customHeight="1">
      <c r="A12" s="289"/>
      <c r="B12" s="290"/>
      <c r="C12" s="290"/>
      <c r="D12" s="1197"/>
      <c r="E12" s="1198"/>
      <c r="F12" s="284"/>
      <c r="G12" s="291"/>
      <c r="H12" s="291"/>
      <c r="I12" s="292"/>
      <c r="J12" s="292"/>
      <c r="K12" s="692"/>
      <c r="L12" s="292"/>
      <c r="M12" s="292"/>
      <c r="N12" s="712"/>
      <c r="O12" s="294"/>
      <c r="Q12" s="296"/>
      <c r="R12" s="297"/>
      <c r="S12" s="297"/>
    </row>
    <row r="13" spans="1:19" s="295" customFormat="1" ht="19.5" customHeight="1">
      <c r="A13" s="298"/>
      <c r="B13" s="290"/>
      <c r="C13" s="290"/>
      <c r="D13" s="1197"/>
      <c r="E13" s="1198"/>
      <c r="F13" s="284"/>
      <c r="G13" s="291"/>
      <c r="H13" s="291"/>
      <c r="I13" s="292"/>
      <c r="J13" s="292"/>
      <c r="K13" s="692"/>
      <c r="L13" s="292"/>
      <c r="M13" s="292"/>
      <c r="N13" s="712"/>
      <c r="O13" s="294"/>
      <c r="Q13" s="296"/>
      <c r="R13" s="297"/>
      <c r="S13" s="297"/>
    </row>
    <row r="14" spans="1:19" s="295" customFormat="1" ht="19.5" customHeight="1">
      <c r="A14" s="298"/>
      <c r="B14" s="290"/>
      <c r="C14" s="290"/>
      <c r="D14" s="1197"/>
      <c r="E14" s="1198"/>
      <c r="F14" s="284"/>
      <c r="G14" s="291"/>
      <c r="H14" s="291"/>
      <c r="I14" s="292"/>
      <c r="J14" s="292"/>
      <c r="K14" s="613"/>
      <c r="L14" s="292"/>
      <c r="M14" s="292"/>
      <c r="N14" s="293"/>
      <c r="O14" s="294"/>
      <c r="P14" s="295">
        <f aca="true" t="shared" si="0" ref="P14:P21">+P13+1</f>
        <v>1</v>
      </c>
      <c r="Q14" s="296">
        <f aca="true" t="shared" si="1" ref="Q14:Q21">+S14-R14</f>
        <v>-439663.17</v>
      </c>
      <c r="R14" s="297">
        <v>439663.17</v>
      </c>
      <c r="S14" s="297">
        <f aca="true" t="shared" si="2" ref="S14:S21">+R13</f>
        <v>0</v>
      </c>
    </row>
    <row r="15" spans="1:19" s="295" customFormat="1" ht="19.5" customHeight="1">
      <c r="A15" s="298"/>
      <c r="B15" s="290"/>
      <c r="C15" s="290"/>
      <c r="D15" s="1197"/>
      <c r="E15" s="1198"/>
      <c r="F15" s="284"/>
      <c r="G15" s="291"/>
      <c r="H15" s="291"/>
      <c r="I15" s="292"/>
      <c r="J15" s="292"/>
      <c r="K15" s="613"/>
      <c r="L15" s="292"/>
      <c r="M15" s="292"/>
      <c r="N15" s="293"/>
      <c r="O15" s="294"/>
      <c r="P15" s="295">
        <f t="shared" si="0"/>
        <v>2</v>
      </c>
      <c r="Q15" s="296">
        <f t="shared" si="1"/>
        <v>56170.159999999974</v>
      </c>
      <c r="R15" s="297">
        <v>383493.01</v>
      </c>
      <c r="S15" s="297">
        <f t="shared" si="2"/>
        <v>439663.17</v>
      </c>
    </row>
    <row r="16" spans="1:19" s="295" customFormat="1" ht="19.5" customHeight="1">
      <c r="A16" s="298"/>
      <c r="B16" s="290"/>
      <c r="C16" s="290"/>
      <c r="D16" s="1197"/>
      <c r="E16" s="1198"/>
      <c r="F16" s="284"/>
      <c r="G16" s="291"/>
      <c r="H16" s="291"/>
      <c r="I16" s="292"/>
      <c r="J16" s="292"/>
      <c r="K16" s="613"/>
      <c r="L16" s="292"/>
      <c r="M16" s="292"/>
      <c r="N16" s="293"/>
      <c r="O16" s="294"/>
      <c r="P16" s="295">
        <f t="shared" si="0"/>
        <v>3</v>
      </c>
      <c r="Q16" s="296">
        <f t="shared" si="1"/>
        <v>59330.42999999999</v>
      </c>
      <c r="R16" s="297">
        <v>324162.58</v>
      </c>
      <c r="S16" s="297">
        <f t="shared" si="2"/>
        <v>383493.01</v>
      </c>
    </row>
    <row r="17" spans="1:19" s="295" customFormat="1" ht="19.5" customHeight="1">
      <c r="A17" s="298"/>
      <c r="B17" s="290"/>
      <c r="C17" s="290"/>
      <c r="D17" s="1197"/>
      <c r="E17" s="1198"/>
      <c r="F17" s="284"/>
      <c r="G17" s="291"/>
      <c r="H17" s="291"/>
      <c r="I17" s="292"/>
      <c r="J17" s="292"/>
      <c r="K17" s="613"/>
      <c r="L17" s="292"/>
      <c r="M17" s="292"/>
      <c r="N17" s="293"/>
      <c r="O17" s="294"/>
      <c r="P17" s="295">
        <f t="shared" si="0"/>
        <v>4</v>
      </c>
      <c r="Q17" s="296">
        <f t="shared" si="1"/>
        <v>62668.49000000002</v>
      </c>
      <c r="R17" s="297">
        <v>261494.09</v>
      </c>
      <c r="S17" s="297">
        <f t="shared" si="2"/>
        <v>324162.58</v>
      </c>
    </row>
    <row r="18" spans="1:19" s="295" customFormat="1" ht="19.5" customHeight="1">
      <c r="A18" s="298"/>
      <c r="B18" s="290"/>
      <c r="C18" s="290"/>
      <c r="D18" s="1197"/>
      <c r="E18" s="1198"/>
      <c r="F18" s="284"/>
      <c r="G18" s="284"/>
      <c r="H18" s="284"/>
      <c r="I18" s="299"/>
      <c r="J18" s="299"/>
      <c r="K18" s="613"/>
      <c r="L18" s="299"/>
      <c r="M18" s="299"/>
      <c r="N18" s="300"/>
      <c r="O18" s="294"/>
      <c r="P18" s="295">
        <f t="shared" si="0"/>
        <v>5</v>
      </c>
      <c r="Q18" s="296">
        <f t="shared" si="1"/>
        <v>66194.34</v>
      </c>
      <c r="R18" s="297">
        <v>195299.75</v>
      </c>
      <c r="S18" s="297">
        <f t="shared" si="2"/>
        <v>261494.09</v>
      </c>
    </row>
    <row r="19" spans="1:19" s="295" customFormat="1" ht="19.5" customHeight="1">
      <c r="A19" s="298"/>
      <c r="B19" s="290"/>
      <c r="C19" s="290"/>
      <c r="D19" s="1197"/>
      <c r="E19" s="1198"/>
      <c r="F19" s="284"/>
      <c r="G19" s="284"/>
      <c r="H19" s="284"/>
      <c r="I19" s="299"/>
      <c r="J19" s="299"/>
      <c r="K19" s="613"/>
      <c r="L19" s="299"/>
      <c r="M19" s="299"/>
      <c r="N19" s="300"/>
      <c r="O19" s="294"/>
      <c r="P19" s="295">
        <f t="shared" si="0"/>
        <v>6</v>
      </c>
      <c r="Q19" s="296">
        <f t="shared" si="1"/>
        <v>69918.59</v>
      </c>
      <c r="R19" s="297">
        <v>125381.16</v>
      </c>
      <c r="S19" s="297">
        <f t="shared" si="2"/>
        <v>195299.75</v>
      </c>
    </row>
    <row r="20" spans="1:19" s="295" customFormat="1" ht="19.5" customHeight="1">
      <c r="A20" s="298"/>
      <c r="B20" s="290"/>
      <c r="C20" s="290"/>
      <c r="D20" s="1197"/>
      <c r="E20" s="1198"/>
      <c r="F20" s="284"/>
      <c r="G20" s="284"/>
      <c r="H20" s="284"/>
      <c r="I20" s="299"/>
      <c r="J20" s="299"/>
      <c r="K20" s="613"/>
      <c r="L20" s="299"/>
      <c r="M20" s="299"/>
      <c r="N20" s="300"/>
      <c r="O20" s="294"/>
      <c r="P20" s="295">
        <f t="shared" si="0"/>
        <v>7</v>
      </c>
      <c r="Q20" s="296">
        <f t="shared" si="1"/>
        <v>73852.37</v>
      </c>
      <c r="R20" s="297">
        <v>51528.79</v>
      </c>
      <c r="S20" s="297">
        <f t="shared" si="2"/>
        <v>125381.16</v>
      </c>
    </row>
    <row r="21" spans="1:19" s="295" customFormat="1" ht="19.5" customHeight="1" thickBot="1">
      <c r="A21" s="301"/>
      <c r="B21" s="290"/>
      <c r="C21" s="302"/>
      <c r="D21" s="1205"/>
      <c r="E21" s="1206"/>
      <c r="F21" s="303"/>
      <c r="G21" s="303"/>
      <c r="H21" s="303"/>
      <c r="I21" s="304"/>
      <c r="J21" s="304"/>
      <c r="K21" s="614"/>
      <c r="L21" s="304"/>
      <c r="M21" s="304"/>
      <c r="N21" s="305"/>
      <c r="O21" s="306"/>
      <c r="P21" s="295">
        <f t="shared" si="0"/>
        <v>8</v>
      </c>
      <c r="Q21" s="296">
        <f t="shared" si="1"/>
        <v>51528.79</v>
      </c>
      <c r="R21" s="297">
        <v>0</v>
      </c>
      <c r="S21" s="297">
        <f t="shared" si="2"/>
        <v>51528.79</v>
      </c>
    </row>
    <row r="22" spans="1:19" s="295" customFormat="1" ht="19.5" customHeight="1" thickBot="1">
      <c r="A22" s="307" t="s">
        <v>319</v>
      </c>
      <c r="B22" s="308"/>
      <c r="C22" s="309"/>
      <c r="D22" s="1203"/>
      <c r="E22" s="1204"/>
      <c r="F22" s="310"/>
      <c r="G22" s="310"/>
      <c r="H22" s="310"/>
      <c r="I22" s="816">
        <f aca="true" t="shared" si="3" ref="I22:N22">SUM(I12:I21)</f>
        <v>0</v>
      </c>
      <c r="J22" s="816">
        <f t="shared" si="3"/>
        <v>0</v>
      </c>
      <c r="K22" s="554"/>
      <c r="L22" s="816">
        <f t="shared" si="3"/>
        <v>0</v>
      </c>
      <c r="M22" s="816">
        <f t="shared" si="3"/>
        <v>0</v>
      </c>
      <c r="N22" s="816">
        <f t="shared" si="3"/>
        <v>0</v>
      </c>
      <c r="O22" s="311"/>
      <c r="Q22" s="297"/>
      <c r="R22" s="297"/>
      <c r="S22" s="297"/>
    </row>
    <row r="23" spans="1:15" ht="12.75">
      <c r="A23" s="312"/>
      <c r="B23" s="313"/>
      <c r="C23" s="313"/>
      <c r="D23" s="314"/>
      <c r="E23" s="312"/>
      <c r="F23" s="312"/>
      <c r="G23" s="312"/>
      <c r="H23" s="312"/>
      <c r="I23" s="312"/>
      <c r="J23" s="312"/>
      <c r="K23" s="312"/>
      <c r="L23" s="312"/>
      <c r="M23" s="312"/>
      <c r="N23" s="315"/>
      <c r="O23" s="316"/>
    </row>
    <row r="24" spans="1:19" s="924" customFormat="1" ht="12.75" hidden="1">
      <c r="A24" s="924" t="s">
        <v>315</v>
      </c>
      <c r="Q24" s="925"/>
      <c r="R24" s="925"/>
      <c r="S24" s="925"/>
    </row>
    <row r="25" spans="1:19" s="924" customFormat="1" ht="12.75" hidden="1">
      <c r="A25" s="924" t="s">
        <v>617</v>
      </c>
      <c r="Q25" s="925"/>
      <c r="R25" s="925"/>
      <c r="S25" s="925"/>
    </row>
    <row r="26" spans="1:19" s="924" customFormat="1" ht="12.75" hidden="1">
      <c r="A26" s="924" t="s">
        <v>380</v>
      </c>
      <c r="Q26" s="925"/>
      <c r="R26" s="925"/>
      <c r="S26" s="925"/>
    </row>
    <row r="27" spans="1:19" s="924" customFormat="1" ht="12.75" hidden="1">
      <c r="A27" s="924" t="s">
        <v>703</v>
      </c>
      <c r="Q27" s="925"/>
      <c r="R27" s="925"/>
      <c r="S27" s="925"/>
    </row>
    <row r="28" spans="17:19" s="924" customFormat="1" ht="12.75" hidden="1">
      <c r="Q28" s="925"/>
      <c r="R28" s="925"/>
      <c r="S28" s="925"/>
    </row>
    <row r="32" ht="12.75">
      <c r="A32" s="133"/>
    </row>
    <row r="33" ht="12.75">
      <c r="A33" s="133"/>
    </row>
    <row r="34" ht="12.75">
      <c r="A34" s="133"/>
    </row>
    <row r="35" ht="12.75">
      <c r="A35" s="133"/>
    </row>
  </sheetData>
  <sheetProtection/>
  <mergeCells count="24">
    <mergeCell ref="D16:E16"/>
    <mergeCell ref="C10:C11"/>
    <mergeCell ref="G10:G11"/>
    <mergeCell ref="A9:O9"/>
    <mergeCell ref="A10:A11"/>
    <mergeCell ref="F10:F11"/>
    <mergeCell ref="D10:E11"/>
    <mergeCell ref="I10:K10"/>
    <mergeCell ref="L10:O10"/>
    <mergeCell ref="D14:E14"/>
    <mergeCell ref="D17:E17"/>
    <mergeCell ref="D22:E22"/>
    <mergeCell ref="D18:E18"/>
    <mergeCell ref="D19:E19"/>
    <mergeCell ref="D20:E20"/>
    <mergeCell ref="D21:E21"/>
    <mergeCell ref="D15:E15"/>
    <mergeCell ref="H10:H11"/>
    <mergeCell ref="D13:E13"/>
    <mergeCell ref="D12:E12"/>
    <mergeCell ref="A7:M7"/>
    <mergeCell ref="N7:O7"/>
    <mergeCell ref="A8:M8"/>
    <mergeCell ref="N8:O8"/>
  </mergeCells>
  <dataValidations count="4">
    <dataValidation type="list" allowBlank="1" showInputMessage="1" showErrorMessage="1" promptTitle="Tipo" prompt="Deberá indicar seleccionar el mismo&#10;" sqref="F12:F22">
      <formula1>$E$32:$E$35</formula1>
    </dataValidation>
    <dataValidation allowBlank="1" showInputMessage="1" showErrorMessage="1" prompt="Este número está correlacionado con el Aval del Cabildo, en su caso.&#10;" sqref="G12:H22"/>
    <dataValidation allowBlank="1" showInputMessage="1" showErrorMessage="1" prompt="LO QUE QUEDA POR PAGAR SIN INTERESES. RESPECTO DE PÓLIZAS DE CRÉDITOS ES LO QUE ESTÁ DISPUESTO A ESA FECHA." sqref="J12:J22"/>
    <dataValidation allowBlank="1" showInputMessage="1" showErrorMessage="1" promptTitle="Epígrafe Pasivo Balance" prompt="Incluir en dónde figura del Pasivo del Balance la disposición o reducción de pólizas y préstamos" sqref="C12:C22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9"/>
  <sheetViews>
    <sheetView zoomScale="70" zoomScaleNormal="70" zoomScalePageLayoutView="0" workbookViewId="0" topLeftCell="A1">
      <selection activeCell="E4" sqref="E4"/>
    </sheetView>
  </sheetViews>
  <sheetFormatPr defaultColWidth="11.57421875" defaultRowHeight="12.75"/>
  <cols>
    <col min="1" max="1" width="2.421875" style="133" customWidth="1"/>
    <col min="2" max="2" width="33.7109375" style="133" customWidth="1"/>
    <col min="3" max="3" width="13.140625" style="133" customWidth="1"/>
    <col min="4" max="4" width="19.7109375" style="133" customWidth="1"/>
    <col min="5" max="5" width="18.7109375" style="133" customWidth="1"/>
    <col min="6" max="6" width="16.140625" style="133" customWidth="1"/>
    <col min="7" max="7" width="13.421875" style="133" customWidth="1"/>
    <col min="8" max="8" width="17.00390625" style="133" customWidth="1"/>
    <col min="9" max="16384" width="11.57421875" style="133" customWidth="1"/>
  </cols>
  <sheetData>
    <row r="1" spans="2:8" ht="15">
      <c r="B1" s="278"/>
      <c r="C1" s="278"/>
      <c r="D1" s="278"/>
      <c r="E1" s="820" t="s">
        <v>674</v>
      </c>
      <c r="F1" s="278"/>
      <c r="H1" s="278"/>
    </row>
    <row r="2" spans="2:8" ht="14.25">
      <c r="B2" s="278"/>
      <c r="C2" s="278"/>
      <c r="D2" s="278"/>
      <c r="E2" s="821" t="s">
        <v>675</v>
      </c>
      <c r="F2" s="278"/>
      <c r="H2" s="278"/>
    </row>
    <row r="3" spans="2:8" ht="12.75">
      <c r="B3" s="278"/>
      <c r="C3" s="278"/>
      <c r="D3" s="278"/>
      <c r="E3" s="278"/>
      <c r="F3" s="278"/>
      <c r="G3" s="278"/>
      <c r="H3" s="278"/>
    </row>
    <row r="4" spans="2:8" ht="15">
      <c r="B4" s="819" t="s">
        <v>525</v>
      </c>
      <c r="C4" s="278"/>
      <c r="D4" s="278"/>
      <c r="E4" s="824">
        <v>42339</v>
      </c>
      <c r="F4" s="278"/>
      <c r="H4" s="831"/>
    </row>
    <row r="5" spans="2:8" ht="15">
      <c r="B5" s="819" t="s">
        <v>673</v>
      </c>
      <c r="C5" s="278"/>
      <c r="D5" s="278"/>
      <c r="E5" s="823" t="s">
        <v>676</v>
      </c>
      <c r="F5" s="278"/>
      <c r="H5" s="832"/>
    </row>
    <row r="6" ht="13.5" thickBot="1"/>
    <row r="7" spans="1:8" ht="14.25">
      <c r="A7" s="1256" t="s">
        <v>493</v>
      </c>
      <c r="B7" s="1257"/>
      <c r="C7" s="1257"/>
      <c r="D7" s="1257"/>
      <c r="E7" s="1257"/>
      <c r="F7" s="1257"/>
      <c r="G7" s="1257"/>
      <c r="H7" s="1254">
        <v>2016</v>
      </c>
    </row>
    <row r="8" spans="1:8" ht="24.75" customHeight="1" thickBot="1">
      <c r="A8" s="1258" t="s">
        <v>559</v>
      </c>
      <c r="B8" s="1259"/>
      <c r="C8" s="1259"/>
      <c r="D8" s="1259"/>
      <c r="E8" s="1259"/>
      <c r="F8" s="1259"/>
      <c r="G8" s="1259"/>
      <c r="H8" s="1255"/>
    </row>
    <row r="9" spans="1:8" ht="33" customHeight="1" thickBot="1">
      <c r="A9" s="1260" t="str">
        <f>CPYG!A8</f>
        <v>SPET, TURISMO DE TENERIFE, S.A.</v>
      </c>
      <c r="B9" s="1261"/>
      <c r="C9" s="1261"/>
      <c r="D9" s="1261"/>
      <c r="E9" s="1261"/>
      <c r="F9" s="1261"/>
      <c r="G9" s="1262"/>
      <c r="H9" s="319" t="s">
        <v>372</v>
      </c>
    </row>
    <row r="10" spans="1:8" ht="12.75">
      <c r="A10" s="231"/>
      <c r="B10" s="158"/>
      <c r="C10" s="158"/>
      <c r="D10" s="158"/>
      <c r="E10" s="158"/>
      <c r="F10" s="158"/>
      <c r="G10" s="158"/>
      <c r="H10" s="232"/>
    </row>
    <row r="11" spans="1:8" ht="12.75">
      <c r="A11" s="231"/>
      <c r="B11" s="1252" t="s">
        <v>560</v>
      </c>
      <c r="C11" s="1252"/>
      <c r="D11" s="1252"/>
      <c r="E11" s="1252"/>
      <c r="F11" s="1252"/>
      <c r="G11" s="1252"/>
      <c r="H11" s="1253"/>
    </row>
    <row r="12" spans="1:8" ht="12.75">
      <c r="A12" s="231"/>
      <c r="B12" s="158"/>
      <c r="C12" s="158"/>
      <c r="D12" s="158"/>
      <c r="E12" s="158"/>
      <c r="F12" s="158"/>
      <c r="G12" s="158"/>
      <c r="H12" s="232"/>
    </row>
    <row r="13" spans="1:8" ht="12.75">
      <c r="A13" s="1127" t="s">
        <v>561</v>
      </c>
      <c r="B13" s="1128"/>
      <c r="C13" s="158"/>
      <c r="D13" s="158"/>
      <c r="E13" s="158"/>
      <c r="F13" s="158"/>
      <c r="G13" s="158"/>
      <c r="H13" s="232"/>
    </row>
    <row r="14" spans="1:8" ht="12.75">
      <c r="A14" s="231"/>
      <c r="B14" s="158"/>
      <c r="C14" s="158"/>
      <c r="D14" s="158"/>
      <c r="E14" s="158"/>
      <c r="F14" s="158"/>
      <c r="G14" s="158"/>
      <c r="H14" s="232"/>
    </row>
    <row r="15" spans="1:8" ht="12.75">
      <c r="A15" s="320" t="s">
        <v>605</v>
      </c>
      <c r="B15" s="321" t="s">
        <v>562</v>
      </c>
      <c r="C15" s="321"/>
      <c r="D15" s="321"/>
      <c r="E15" s="158"/>
      <c r="F15" s="158"/>
      <c r="G15" s="158"/>
      <c r="H15" s="232"/>
    </row>
    <row r="16" spans="1:8" ht="12.75">
      <c r="A16" s="320"/>
      <c r="B16" s="321" t="s">
        <v>563</v>
      </c>
      <c r="C16" s="321"/>
      <c r="D16" s="321"/>
      <c r="E16" s="158"/>
      <c r="F16" s="158"/>
      <c r="G16" s="158"/>
      <c r="H16" s="232"/>
    </row>
    <row r="17" spans="1:8" ht="12.75">
      <c r="A17" s="320"/>
      <c r="B17" s="321" t="s">
        <v>566</v>
      </c>
      <c r="C17" s="321"/>
      <c r="D17" s="321"/>
      <c r="E17" s="158"/>
      <c r="F17" s="158"/>
      <c r="G17" s="158"/>
      <c r="H17" s="232"/>
    </row>
    <row r="18" spans="1:8" ht="12.75">
      <c r="A18" s="320"/>
      <c r="B18" s="321" t="s">
        <v>567</v>
      </c>
      <c r="C18" s="321"/>
      <c r="D18" s="321"/>
      <c r="E18" s="158"/>
      <c r="F18" s="158"/>
      <c r="G18" s="158"/>
      <c r="H18" s="232"/>
    </row>
    <row r="19" spans="1:8" ht="12.75">
      <c r="A19" s="320"/>
      <c r="B19" s="321" t="s">
        <v>568</v>
      </c>
      <c r="C19" s="321"/>
      <c r="D19" s="321"/>
      <c r="E19" s="158"/>
      <c r="F19" s="158"/>
      <c r="G19" s="158"/>
      <c r="H19" s="232"/>
    </row>
    <row r="20" spans="1:8" ht="12.75">
      <c r="A20" s="231"/>
      <c r="B20" s="158"/>
      <c r="C20" s="158"/>
      <c r="D20" s="158"/>
      <c r="E20" s="158"/>
      <c r="F20" s="158"/>
      <c r="G20" s="158"/>
      <c r="H20" s="232"/>
    </row>
    <row r="21" spans="1:8" ht="12.75">
      <c r="A21" s="1127" t="s">
        <v>569</v>
      </c>
      <c r="B21" s="1128"/>
      <c r="C21" s="1128"/>
      <c r="D21" s="1128"/>
      <c r="E21" s="158"/>
      <c r="F21" s="158"/>
      <c r="G21" s="158"/>
      <c r="H21" s="232"/>
    </row>
    <row r="22" spans="1:8" ht="12.75">
      <c r="A22" s="231"/>
      <c r="B22" s="158"/>
      <c r="C22" s="158"/>
      <c r="D22" s="158"/>
      <c r="E22" s="158"/>
      <c r="F22" s="158"/>
      <c r="G22" s="158"/>
      <c r="H22" s="232"/>
    </row>
    <row r="23" spans="1:8" ht="12.75">
      <c r="A23" s="1263" t="s">
        <v>570</v>
      </c>
      <c r="B23" s="1264"/>
      <c r="C23" s="1264"/>
      <c r="D23" s="1264"/>
      <c r="E23" s="1265"/>
      <c r="F23" s="158"/>
      <c r="G23" s="158"/>
      <c r="H23" s="232"/>
    </row>
    <row r="24" spans="1:8" ht="12.75">
      <c r="A24" s="231"/>
      <c r="B24" s="158"/>
      <c r="C24" s="158"/>
      <c r="D24" s="158"/>
      <c r="E24" s="158"/>
      <c r="F24" s="158"/>
      <c r="G24" s="158"/>
      <c r="H24" s="232"/>
    </row>
    <row r="25" spans="1:8" ht="12.75">
      <c r="A25" s="231"/>
      <c r="B25" s="158"/>
      <c r="C25" s="158"/>
      <c r="D25" s="158"/>
      <c r="E25" s="158"/>
      <c r="F25" s="1238" t="s">
        <v>571</v>
      </c>
      <c r="G25" s="1238"/>
      <c r="H25" s="818">
        <f>C41</f>
        <v>48</v>
      </c>
    </row>
    <row r="26" spans="1:11" ht="12.75">
      <c r="A26" s="231"/>
      <c r="B26" s="158"/>
      <c r="C26" s="158"/>
      <c r="D26" s="158"/>
      <c r="E26" s="158"/>
      <c r="F26" s="1238" t="s">
        <v>572</v>
      </c>
      <c r="G26" s="1238"/>
      <c r="H26" s="818">
        <f>H41+H49</f>
        <v>1970039.24</v>
      </c>
      <c r="K26" s="169"/>
    </row>
    <row r="27" spans="1:8" ht="12.75">
      <c r="A27" s="231"/>
      <c r="B27" s="158"/>
      <c r="C27" s="158"/>
      <c r="D27" s="158"/>
      <c r="E27" s="158"/>
      <c r="F27" s="158"/>
      <c r="G27" s="158"/>
      <c r="H27" s="232"/>
    </row>
    <row r="28" spans="1:8" ht="12.75">
      <c r="A28" s="231"/>
      <c r="B28" s="158"/>
      <c r="C28" s="158"/>
      <c r="D28" s="158"/>
      <c r="E28" s="158"/>
      <c r="F28" s="158"/>
      <c r="G28" s="158"/>
      <c r="H28" s="232"/>
    </row>
    <row r="29" spans="1:8" ht="12.75">
      <c r="A29" s="231"/>
      <c r="B29" s="158"/>
      <c r="C29" s="158"/>
      <c r="D29" s="158"/>
      <c r="E29" s="158"/>
      <c r="F29" s="158"/>
      <c r="G29" s="158"/>
      <c r="H29" s="693"/>
    </row>
    <row r="30" spans="1:8" ht="12.75">
      <c r="A30" s="1127" t="s">
        <v>573</v>
      </c>
      <c r="B30" s="1128"/>
      <c r="C30" s="1128"/>
      <c r="D30" s="158"/>
      <c r="E30" s="158"/>
      <c r="F30" s="158"/>
      <c r="G30" s="158"/>
      <c r="H30" s="232"/>
    </row>
    <row r="31" spans="1:8" ht="13.5" thickBot="1">
      <c r="A31" s="231"/>
      <c r="B31" s="158"/>
      <c r="C31" s="158"/>
      <c r="D31" s="158"/>
      <c r="E31" s="158"/>
      <c r="F31" s="158"/>
      <c r="G31" s="158"/>
      <c r="H31" s="232"/>
    </row>
    <row r="32" spans="1:8" ht="13.5" thickBot="1">
      <c r="A32" s="1246" t="s">
        <v>574</v>
      </c>
      <c r="B32" s="1247"/>
      <c r="C32" s="1245" t="s">
        <v>575</v>
      </c>
      <c r="D32" s="1245" t="s">
        <v>576</v>
      </c>
      <c r="E32" s="1245"/>
      <c r="F32" s="1245"/>
      <c r="G32" s="1245"/>
      <c r="H32" s="1245"/>
    </row>
    <row r="33" spans="1:8" ht="13.5" thickBot="1">
      <c r="A33" s="1248"/>
      <c r="B33" s="1249"/>
      <c r="C33" s="1245"/>
      <c r="D33" s="1245" t="s">
        <v>577</v>
      </c>
      <c r="E33" s="1245" t="s">
        <v>578</v>
      </c>
      <c r="F33" s="1245" t="s">
        <v>579</v>
      </c>
      <c r="G33" s="1245" t="s">
        <v>580</v>
      </c>
      <c r="H33" s="1245" t="s">
        <v>582</v>
      </c>
    </row>
    <row r="34" spans="1:8" ht="13.5" thickBot="1">
      <c r="A34" s="1250"/>
      <c r="B34" s="1251"/>
      <c r="C34" s="1245"/>
      <c r="D34" s="1245"/>
      <c r="E34" s="1245"/>
      <c r="F34" s="1245"/>
      <c r="G34" s="1245"/>
      <c r="H34" s="1245"/>
    </row>
    <row r="35" spans="1:8" ht="15" customHeight="1">
      <c r="A35" s="1232" t="s">
        <v>583</v>
      </c>
      <c r="B35" s="1233"/>
      <c r="C35" s="323"/>
      <c r="D35" s="323"/>
      <c r="E35" s="323"/>
      <c r="F35" s="323"/>
      <c r="G35" s="323"/>
      <c r="H35" s="324">
        <f aca="true" t="shared" si="0" ref="H35:H40">D35+E35+F35+G35</f>
        <v>0</v>
      </c>
    </row>
    <row r="36" spans="1:8" ht="15" customHeight="1">
      <c r="A36" s="1232" t="s">
        <v>584</v>
      </c>
      <c r="B36" s="1233"/>
      <c r="C36" s="325">
        <v>1</v>
      </c>
      <c r="D36" s="325">
        <v>62109.04</v>
      </c>
      <c r="E36" s="325"/>
      <c r="F36" s="325"/>
      <c r="G36" s="325"/>
      <c r="H36" s="326">
        <f t="shared" si="0"/>
        <v>62109.04</v>
      </c>
    </row>
    <row r="37" spans="1:8" ht="15" customHeight="1">
      <c r="A37" s="1232" t="s">
        <v>585</v>
      </c>
      <c r="B37" s="1233"/>
      <c r="C37" s="325">
        <v>9</v>
      </c>
      <c r="D37" s="325">
        <v>415757.36</v>
      </c>
      <c r="E37" s="325"/>
      <c r="F37" s="325"/>
      <c r="G37" s="325"/>
      <c r="H37" s="326">
        <f t="shared" si="0"/>
        <v>415757.36</v>
      </c>
    </row>
    <row r="38" spans="1:8" ht="15" customHeight="1">
      <c r="A38" s="1232" t="s">
        <v>586</v>
      </c>
      <c r="B38" s="1233"/>
      <c r="C38" s="325">
        <v>35</v>
      </c>
      <c r="D38" s="325">
        <v>953222.88</v>
      </c>
      <c r="E38" s="325"/>
      <c r="F38" s="325"/>
      <c r="G38" s="325"/>
      <c r="H38" s="326">
        <f t="shared" si="0"/>
        <v>953222.88</v>
      </c>
    </row>
    <row r="39" spans="1:8" ht="15" customHeight="1">
      <c r="A39" s="1232" t="s">
        <v>587</v>
      </c>
      <c r="B39" s="1233"/>
      <c r="C39" s="325">
        <v>3</v>
      </c>
      <c r="D39" s="325">
        <v>79480.28</v>
      </c>
      <c r="E39" s="325"/>
      <c r="F39" s="325"/>
      <c r="G39" s="325"/>
      <c r="H39" s="326">
        <f t="shared" si="0"/>
        <v>79480.28</v>
      </c>
    </row>
    <row r="40" spans="1:8" ht="15" customHeight="1">
      <c r="A40" s="1232" t="s">
        <v>124</v>
      </c>
      <c r="B40" s="1233"/>
      <c r="C40" s="325"/>
      <c r="D40" s="325"/>
      <c r="E40" s="325"/>
      <c r="F40" s="325"/>
      <c r="G40" s="325"/>
      <c r="H40" s="326">
        <f t="shared" si="0"/>
        <v>0</v>
      </c>
    </row>
    <row r="41" spans="1:8" ht="15" customHeight="1" thickBot="1">
      <c r="A41" s="1234" t="s">
        <v>730</v>
      </c>
      <c r="B41" s="1235"/>
      <c r="C41" s="327">
        <f aca="true" t="shared" si="1" ref="C41:H41">C35+C36+C37+C38+C39+C40</f>
        <v>48</v>
      </c>
      <c r="D41" s="327">
        <f t="shared" si="1"/>
        <v>1510569.56</v>
      </c>
      <c r="E41" s="327">
        <f t="shared" si="1"/>
        <v>0</v>
      </c>
      <c r="F41" s="327">
        <f t="shared" si="1"/>
        <v>0</v>
      </c>
      <c r="G41" s="327">
        <f t="shared" si="1"/>
        <v>0</v>
      </c>
      <c r="H41" s="328">
        <f t="shared" si="1"/>
        <v>1510569.56</v>
      </c>
    </row>
    <row r="42" spans="1:8" ht="12.75">
      <c r="A42" s="231"/>
      <c r="B42" s="158"/>
      <c r="C42" s="158"/>
      <c r="D42" s="158"/>
      <c r="E42" s="158"/>
      <c r="F42" s="158"/>
      <c r="G42" s="158"/>
      <c r="H42" s="232"/>
    </row>
    <row r="43" spans="1:8" ht="12.75">
      <c r="A43" s="231"/>
      <c r="B43" s="158"/>
      <c r="C43" s="158"/>
      <c r="D43" s="158"/>
      <c r="E43" s="158"/>
      <c r="F43" s="158"/>
      <c r="G43" s="158"/>
      <c r="H43" s="232"/>
    </row>
    <row r="44" spans="1:8" ht="12.75">
      <c r="A44" s="1127" t="s">
        <v>588</v>
      </c>
      <c r="B44" s="1128"/>
      <c r="C44" s="1128"/>
      <c r="D44" s="158"/>
      <c r="E44" s="158"/>
      <c r="F44" s="158"/>
      <c r="G44" s="158"/>
      <c r="H44" s="232"/>
    </row>
    <row r="45" spans="1:8" ht="13.5" thickBot="1">
      <c r="A45" s="231"/>
      <c r="B45" s="158"/>
      <c r="C45" s="158"/>
      <c r="D45" s="158"/>
      <c r="E45" s="158"/>
      <c r="F45" s="158"/>
      <c r="G45" s="158"/>
      <c r="H45" s="232"/>
    </row>
    <row r="46" spans="1:8" ht="15" customHeight="1" thickBot="1">
      <c r="A46" s="1239" t="s">
        <v>714</v>
      </c>
      <c r="B46" s="1240"/>
      <c r="C46" s="1240"/>
      <c r="D46" s="1241"/>
      <c r="E46" s="1242" t="s">
        <v>294</v>
      </c>
      <c r="F46" s="1243"/>
      <c r="G46" s="1243"/>
      <c r="H46" s="1244"/>
    </row>
    <row r="47" spans="1:8" ht="15" customHeight="1">
      <c r="A47" s="1232" t="s">
        <v>606</v>
      </c>
      <c r="B47" s="1236"/>
      <c r="C47" s="322"/>
      <c r="D47" s="158"/>
      <c r="E47" s="158"/>
      <c r="F47" s="158"/>
      <c r="G47" s="158"/>
      <c r="H47" s="329">
        <f>-CPYG!D51-CPYG!D48</f>
        <v>0</v>
      </c>
    </row>
    <row r="48" spans="1:8" ht="15" customHeight="1">
      <c r="A48" s="1232" t="s">
        <v>589</v>
      </c>
      <c r="B48" s="1236"/>
      <c r="C48" s="322"/>
      <c r="D48" s="158"/>
      <c r="E48" s="158"/>
      <c r="F48" s="158"/>
      <c r="G48" s="158"/>
      <c r="H48" s="330">
        <v>459469.68</v>
      </c>
    </row>
    <row r="49" spans="1:8" ht="15" customHeight="1" thickBot="1">
      <c r="A49" s="1234" t="s">
        <v>590</v>
      </c>
      <c r="B49" s="1237"/>
      <c r="C49" s="331"/>
      <c r="D49" s="332"/>
      <c r="E49" s="332"/>
      <c r="F49" s="332"/>
      <c r="G49" s="332"/>
      <c r="H49" s="333">
        <f>H47+H48</f>
        <v>459469.68</v>
      </c>
    </row>
    <row r="50" spans="1:8" ht="12.75">
      <c r="A50" s="231"/>
      <c r="B50" s="158"/>
      <c r="C50" s="158"/>
      <c r="D50" s="158"/>
      <c r="E50" s="158"/>
      <c r="F50" s="158"/>
      <c r="G50" s="158"/>
      <c r="H50" s="693"/>
    </row>
    <row r="51" spans="1:8" ht="12.75">
      <c r="A51" s="231"/>
      <c r="B51" s="158"/>
      <c r="C51" s="158"/>
      <c r="D51" s="158"/>
      <c r="E51" s="158"/>
      <c r="F51" s="158"/>
      <c r="G51" s="158"/>
      <c r="H51" s="232"/>
    </row>
    <row r="52" spans="1:8" ht="12.75">
      <c r="A52" s="231"/>
      <c r="B52" s="334" t="s">
        <v>591</v>
      </c>
      <c r="C52" s="158"/>
      <c r="D52" s="158"/>
      <c r="E52" s="158"/>
      <c r="F52" s="158"/>
      <c r="G52" s="158"/>
      <c r="H52" s="232"/>
    </row>
    <row r="53" spans="1:8" ht="12.75">
      <c r="A53" s="231"/>
      <c r="B53" s="158"/>
      <c r="C53" s="158"/>
      <c r="D53" s="158"/>
      <c r="E53" s="158"/>
      <c r="F53" s="158"/>
      <c r="G53" s="158"/>
      <c r="H53" s="232"/>
    </row>
    <row r="54" spans="1:8" ht="12.75" customHeight="1">
      <c r="A54" s="1223"/>
      <c r="B54" s="1224"/>
      <c r="C54" s="1224"/>
      <c r="D54" s="1224"/>
      <c r="E54" s="1224"/>
      <c r="F54" s="1224"/>
      <c r="G54" s="1224"/>
      <c r="H54" s="1225"/>
    </row>
    <row r="55" spans="1:8" ht="12.75">
      <c r="A55" s="1226"/>
      <c r="B55" s="1227"/>
      <c r="C55" s="1227"/>
      <c r="D55" s="1227"/>
      <c r="E55" s="1227"/>
      <c r="F55" s="1227"/>
      <c r="G55" s="1227"/>
      <c r="H55" s="1228"/>
    </row>
    <row r="56" spans="1:8" ht="12.75">
      <c r="A56" s="1226"/>
      <c r="B56" s="1227"/>
      <c r="C56" s="1227"/>
      <c r="D56" s="1227"/>
      <c r="E56" s="1227"/>
      <c r="F56" s="1227"/>
      <c r="G56" s="1227"/>
      <c r="H56" s="1228"/>
    </row>
    <row r="57" spans="1:8" ht="12.75">
      <c r="A57" s="1226"/>
      <c r="B57" s="1227"/>
      <c r="C57" s="1227"/>
      <c r="D57" s="1227"/>
      <c r="E57" s="1227"/>
      <c r="F57" s="1227"/>
      <c r="G57" s="1227"/>
      <c r="H57" s="1228"/>
    </row>
    <row r="58" spans="1:8" ht="12.75">
      <c r="A58" s="1229"/>
      <c r="B58" s="1230"/>
      <c r="C58" s="1230"/>
      <c r="D58" s="1230"/>
      <c r="E58" s="1230"/>
      <c r="F58" s="1230"/>
      <c r="G58" s="1230"/>
      <c r="H58" s="1231"/>
    </row>
    <row r="59" spans="1:8" ht="13.5" thickBot="1">
      <c r="A59" s="335"/>
      <c r="B59" s="332"/>
      <c r="C59" s="332"/>
      <c r="D59" s="332"/>
      <c r="E59" s="332"/>
      <c r="F59" s="332"/>
      <c r="G59" s="332"/>
      <c r="H59" s="336"/>
    </row>
  </sheetData>
  <sheetProtection/>
  <mergeCells count="33">
    <mergeCell ref="B11:H11"/>
    <mergeCell ref="F25:G25"/>
    <mergeCell ref="A13:B13"/>
    <mergeCell ref="H7:H8"/>
    <mergeCell ref="A7:G7"/>
    <mergeCell ref="A8:G8"/>
    <mergeCell ref="A9:G9"/>
    <mergeCell ref="A21:D21"/>
    <mergeCell ref="A23:E23"/>
    <mergeCell ref="C32:C34"/>
    <mergeCell ref="D33:D34"/>
    <mergeCell ref="F33:F34"/>
    <mergeCell ref="G33:G34"/>
    <mergeCell ref="F26:G26"/>
    <mergeCell ref="A30:C30"/>
    <mergeCell ref="A44:C44"/>
    <mergeCell ref="A46:D46"/>
    <mergeCell ref="E46:H46"/>
    <mergeCell ref="H33:H34"/>
    <mergeCell ref="A39:B39"/>
    <mergeCell ref="A32:B34"/>
    <mergeCell ref="D32:H32"/>
    <mergeCell ref="E33:E34"/>
    <mergeCell ref="A54:H58"/>
    <mergeCell ref="A35:B35"/>
    <mergeCell ref="A36:B36"/>
    <mergeCell ref="A37:B37"/>
    <mergeCell ref="A38:B38"/>
    <mergeCell ref="A40:B40"/>
    <mergeCell ref="A41:B41"/>
    <mergeCell ref="A48:B48"/>
    <mergeCell ref="A49:B49"/>
    <mergeCell ref="A47:B47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4.57421875" style="0" customWidth="1"/>
    <col min="2" max="2" width="10.28125" style="0" customWidth="1"/>
    <col min="7" max="7" width="17.28125" style="0" customWidth="1"/>
    <col min="8" max="8" width="9.8515625" style="0" bestFit="1" customWidth="1"/>
  </cols>
  <sheetData>
    <row r="1" spans="1:8" ht="12.75">
      <c r="A1" s="822"/>
      <c r="B1" s="822"/>
      <c r="C1" s="822"/>
      <c r="D1" s="825" t="s">
        <v>674</v>
      </c>
      <c r="E1" s="822"/>
      <c r="F1" s="822"/>
      <c r="G1" s="822"/>
      <c r="H1" s="822"/>
    </row>
    <row r="2" spans="1:8" ht="12.75">
      <c r="A2" s="822"/>
      <c r="B2" s="822"/>
      <c r="C2" s="822"/>
      <c r="D2" s="826" t="s">
        <v>675</v>
      </c>
      <c r="E2" s="822"/>
      <c r="F2" s="822"/>
      <c r="G2" s="822"/>
      <c r="H2" s="822"/>
    </row>
    <row r="3" spans="1:8" ht="12.75">
      <c r="A3" s="822"/>
      <c r="B3" s="826"/>
      <c r="C3" s="822"/>
      <c r="D3" s="822"/>
      <c r="E3" s="822"/>
      <c r="F3" s="822"/>
      <c r="G3" s="822"/>
      <c r="H3" s="822"/>
    </row>
    <row r="4" spans="1:9" ht="12.75">
      <c r="A4" s="822" t="s">
        <v>525</v>
      </c>
      <c r="B4" s="822"/>
      <c r="C4" s="822"/>
      <c r="D4" s="822"/>
      <c r="E4" s="822"/>
      <c r="F4" s="822"/>
      <c r="G4" s="827">
        <v>42339</v>
      </c>
      <c r="H4" s="822"/>
      <c r="I4" t="s">
        <v>77</v>
      </c>
    </row>
    <row r="5" spans="1:8" ht="12.75">
      <c r="A5" s="822" t="s">
        <v>673</v>
      </c>
      <c r="B5" s="822"/>
      <c r="C5" s="822"/>
      <c r="D5" s="822"/>
      <c r="E5" s="822"/>
      <c r="F5" s="822"/>
      <c r="G5" s="828" t="s">
        <v>676</v>
      </c>
      <c r="H5" s="822"/>
    </row>
    <row r="6" ht="12" customHeight="1" thickBot="1"/>
    <row r="7" ht="13.5" hidden="1" thickBot="1"/>
    <row r="8" spans="1:8" ht="56.25" customHeight="1">
      <c r="A8" s="970" t="s">
        <v>305</v>
      </c>
      <c r="B8" s="971"/>
      <c r="C8" s="971"/>
      <c r="D8" s="971"/>
      <c r="E8" s="971"/>
      <c r="F8" s="971"/>
      <c r="G8" s="971"/>
      <c r="H8" s="829">
        <v>2016</v>
      </c>
    </row>
    <row r="9" spans="1:8" s="771" customFormat="1" ht="27.75" customHeight="1">
      <c r="A9" s="947" t="str">
        <f>CPYG!A8</f>
        <v>SPET, TURISMO DE TENERIFE, S.A.</v>
      </c>
      <c r="B9" s="946"/>
      <c r="C9" s="946"/>
      <c r="D9" s="946"/>
      <c r="E9" s="946"/>
      <c r="F9" s="946"/>
      <c r="G9" s="946"/>
      <c r="H9" s="942"/>
    </row>
    <row r="10" spans="1:8" ht="12.75">
      <c r="A10" s="772"/>
      <c r="B10" s="773"/>
      <c r="C10" s="773"/>
      <c r="D10" s="773"/>
      <c r="E10" s="773"/>
      <c r="F10" s="773"/>
      <c r="G10" s="773"/>
      <c r="H10" s="774"/>
    </row>
    <row r="11" spans="1:8" ht="15.75">
      <c r="A11" s="775" t="s">
        <v>526</v>
      </c>
      <c r="B11" s="776"/>
      <c r="C11" s="776"/>
      <c r="D11" s="773"/>
      <c r="E11" s="773"/>
      <c r="F11" s="773"/>
      <c r="G11" s="773"/>
      <c r="H11" s="774"/>
    </row>
    <row r="12" spans="1:8" ht="12.75">
      <c r="A12" s="772"/>
      <c r="B12" s="773"/>
      <c r="C12" s="773"/>
      <c r="D12" s="773"/>
      <c r="E12" s="773"/>
      <c r="F12" s="773"/>
      <c r="G12" s="773"/>
      <c r="H12" s="774"/>
    </row>
    <row r="13" spans="1:8" ht="12.75">
      <c r="A13" s="777" t="s">
        <v>739</v>
      </c>
      <c r="B13" s="776"/>
      <c r="C13" s="776"/>
      <c r="D13" s="773"/>
      <c r="E13" s="773"/>
      <c r="F13" s="773"/>
      <c r="G13" s="773"/>
      <c r="H13" s="817">
        <v>12</v>
      </c>
    </row>
    <row r="14" spans="1:8" ht="12.75">
      <c r="A14" s="772"/>
      <c r="B14" s="773"/>
      <c r="C14" s="773"/>
      <c r="D14" s="773"/>
      <c r="E14" s="773"/>
      <c r="F14" s="773"/>
      <c r="G14" s="773"/>
      <c r="H14" s="774"/>
    </row>
    <row r="15" spans="1:8" ht="12.75">
      <c r="A15" s="772"/>
      <c r="B15" s="773" t="s">
        <v>740</v>
      </c>
      <c r="C15" s="773"/>
      <c r="D15" s="773"/>
      <c r="E15" s="773"/>
      <c r="F15" s="773"/>
      <c r="G15" s="773"/>
      <c r="H15" s="817">
        <v>9</v>
      </c>
    </row>
    <row r="16" spans="1:8" ht="12.75">
      <c r="A16" s="772"/>
      <c r="B16" s="778" t="s">
        <v>741</v>
      </c>
      <c r="C16" s="773" t="s">
        <v>742</v>
      </c>
      <c r="D16" s="773"/>
      <c r="E16" s="773"/>
      <c r="F16" s="773"/>
      <c r="G16" s="773"/>
      <c r="H16" s="779">
        <v>5</v>
      </c>
    </row>
    <row r="17" spans="1:8" ht="12.75">
      <c r="A17" s="772"/>
      <c r="B17" s="778" t="s">
        <v>743</v>
      </c>
      <c r="C17" s="773" t="s">
        <v>744</v>
      </c>
      <c r="D17" s="773"/>
      <c r="E17" s="773"/>
      <c r="F17" s="773"/>
      <c r="G17" s="773"/>
      <c r="H17" s="779">
        <v>4</v>
      </c>
    </row>
    <row r="18" spans="1:8" ht="12.75">
      <c r="A18" s="772"/>
      <c r="B18" s="773"/>
      <c r="C18" s="773"/>
      <c r="D18" s="773"/>
      <c r="E18" s="773"/>
      <c r="F18" s="773"/>
      <c r="G18" s="773"/>
      <c r="H18" s="774"/>
    </row>
    <row r="19" spans="1:8" ht="12.75">
      <c r="A19" s="772"/>
      <c r="B19" s="773" t="s">
        <v>745</v>
      </c>
      <c r="C19" s="773"/>
      <c r="D19" s="773"/>
      <c r="E19" s="773"/>
      <c r="F19" s="773"/>
      <c r="G19" s="773"/>
      <c r="H19" s="817">
        <v>3</v>
      </c>
    </row>
    <row r="20" spans="1:8" ht="13.5" thickBot="1">
      <c r="A20" s="780"/>
      <c r="B20" s="781"/>
      <c r="C20" s="781"/>
      <c r="D20" s="781"/>
      <c r="E20" s="781"/>
      <c r="F20" s="781"/>
      <c r="G20" s="781"/>
      <c r="H20" s="782"/>
    </row>
  </sheetData>
  <sheetProtection/>
  <mergeCells count="2">
    <mergeCell ref="A8:G8"/>
    <mergeCell ref="A9:H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8"/>
  <sheetViews>
    <sheetView zoomScale="70" zoomScaleNormal="70" zoomScalePageLayoutView="0" workbookViewId="0" topLeftCell="A1">
      <selection activeCell="B4" sqref="B4"/>
    </sheetView>
  </sheetViews>
  <sheetFormatPr defaultColWidth="11.57421875" defaultRowHeight="12.75"/>
  <cols>
    <col min="1" max="1" width="75.00390625" style="209" customWidth="1"/>
    <col min="2" max="2" width="15.7109375" style="209" customWidth="1"/>
    <col min="3" max="3" width="66.8515625" style="209" customWidth="1"/>
    <col min="4" max="4" width="16.00390625" style="209" customWidth="1"/>
    <col min="5" max="5" width="11.57421875" style="209" customWidth="1"/>
    <col min="6" max="6" width="11.8515625" style="209" bestFit="1" customWidth="1"/>
    <col min="7" max="16384" width="11.57421875" style="209" customWidth="1"/>
  </cols>
  <sheetData>
    <row r="1" spans="1:7" ht="15">
      <c r="A1" s="278"/>
      <c r="B1" s="820" t="s">
        <v>674</v>
      </c>
      <c r="C1" s="278"/>
      <c r="D1" s="278"/>
      <c r="E1" s="278"/>
      <c r="G1" s="278"/>
    </row>
    <row r="2" spans="1:7" ht="14.25">
      <c r="A2" s="278"/>
      <c r="B2" s="821" t="s">
        <v>675</v>
      </c>
      <c r="C2" s="278"/>
      <c r="D2" s="278"/>
      <c r="E2" s="278"/>
      <c r="G2" s="278"/>
    </row>
    <row r="3" spans="1:7" ht="12.75">
      <c r="A3" s="278"/>
      <c r="B3" s="278"/>
      <c r="C3" s="278"/>
      <c r="D3" s="278"/>
      <c r="E3" s="278"/>
      <c r="F3" s="278"/>
      <c r="G3" s="278"/>
    </row>
    <row r="4" spans="1:7" ht="15">
      <c r="A4" s="819" t="s">
        <v>525</v>
      </c>
      <c r="B4" s="824">
        <v>42339</v>
      </c>
      <c r="C4" s="278"/>
      <c r="D4" s="278"/>
      <c r="E4" s="278"/>
      <c r="G4" s="831"/>
    </row>
    <row r="5" spans="1:7" ht="15">
      <c r="A5" s="819" t="s">
        <v>673</v>
      </c>
      <c r="B5" s="823" t="s">
        <v>676</v>
      </c>
      <c r="C5" s="278"/>
      <c r="D5" s="278"/>
      <c r="E5" s="278"/>
      <c r="G5" s="832"/>
    </row>
    <row r="6" ht="13.5" thickBot="1"/>
    <row r="7" spans="1:4" ht="49.5" customHeight="1" thickTop="1">
      <c r="A7" s="1269" t="s">
        <v>705</v>
      </c>
      <c r="B7" s="1270"/>
      <c r="C7" s="1271"/>
      <c r="D7" s="337">
        <f>CPYG!D7</f>
        <v>2016</v>
      </c>
    </row>
    <row r="8" spans="1:4" ht="42.75" customHeight="1">
      <c r="A8" s="1272" t="str">
        <f>CPYG!A8</f>
        <v>SPET, TURISMO DE TENERIFE, S.A.</v>
      </c>
      <c r="B8" s="1273"/>
      <c r="C8" s="1274"/>
      <c r="D8" s="338" t="s">
        <v>379</v>
      </c>
    </row>
    <row r="9" spans="1:4" s="133" customFormat="1" ht="24.75" customHeight="1">
      <c r="A9" s="1275" t="s">
        <v>51</v>
      </c>
      <c r="B9" s="1276"/>
      <c r="C9" s="1276"/>
      <c r="D9" s="1277"/>
    </row>
    <row r="10" spans="1:4" s="133" customFormat="1" ht="16.5" customHeight="1">
      <c r="A10" s="1278" t="s">
        <v>296</v>
      </c>
      <c r="B10" s="1279"/>
      <c r="C10" s="1280" t="s">
        <v>298</v>
      </c>
      <c r="D10" s="1281"/>
    </row>
    <row r="11" spans="1:4" s="133" customFormat="1" ht="19.5" customHeight="1">
      <c r="A11" s="340" t="s">
        <v>297</v>
      </c>
      <c r="B11" s="341" t="s">
        <v>294</v>
      </c>
      <c r="C11" s="341" t="s">
        <v>297</v>
      </c>
      <c r="D11" s="342" t="s">
        <v>294</v>
      </c>
    </row>
    <row r="12" spans="1:4" s="133" customFormat="1" ht="19.5" customHeight="1">
      <c r="A12" s="343" t="s">
        <v>321</v>
      </c>
      <c r="B12" s="344"/>
      <c r="C12" s="345" t="s">
        <v>321</v>
      </c>
      <c r="D12" s="346"/>
    </row>
    <row r="13" spans="1:4" s="133" customFormat="1" ht="19.5" customHeight="1">
      <c r="A13" s="347" t="s">
        <v>322</v>
      </c>
      <c r="B13" s="348"/>
      <c r="C13" s="349" t="s">
        <v>322</v>
      </c>
      <c r="D13" s="350"/>
    </row>
    <row r="14" spans="1:4" s="133" customFormat="1" ht="19.5" customHeight="1">
      <c r="A14" s="347" t="s">
        <v>323</v>
      </c>
      <c r="B14" s="348"/>
      <c r="C14" s="349" t="s">
        <v>323</v>
      </c>
      <c r="D14" s="350"/>
    </row>
    <row r="15" spans="1:4" s="133" customFormat="1" ht="19.5" customHeight="1">
      <c r="A15" s="347" t="s">
        <v>324</v>
      </c>
      <c r="B15" s="348"/>
      <c r="C15" s="349" t="s">
        <v>324</v>
      </c>
      <c r="D15" s="350"/>
    </row>
    <row r="16" spans="1:4" s="133" customFormat="1" ht="19.5" customHeight="1">
      <c r="A16" s="347" t="s">
        <v>325</v>
      </c>
      <c r="B16" s="348"/>
      <c r="C16" s="349" t="s">
        <v>325</v>
      </c>
      <c r="D16" s="350"/>
    </row>
    <row r="17" spans="1:4" s="133" customFormat="1" ht="19.5" customHeight="1">
      <c r="A17" s="347" t="s">
        <v>704</v>
      </c>
      <c r="B17" s="348"/>
      <c r="C17" s="349" t="s">
        <v>704</v>
      </c>
      <c r="D17" s="350"/>
    </row>
    <row r="18" spans="1:4" s="230" customFormat="1" ht="19.5" customHeight="1">
      <c r="A18" s="351" t="s">
        <v>52</v>
      </c>
      <c r="B18" s="352"/>
      <c r="C18" s="349" t="s">
        <v>52</v>
      </c>
      <c r="D18" s="353"/>
    </row>
    <row r="19" spans="1:4" s="133" customFormat="1" ht="19.5" customHeight="1">
      <c r="A19" s="347" t="s">
        <v>358</v>
      </c>
      <c r="B19" s="348"/>
      <c r="C19" s="349" t="s">
        <v>358</v>
      </c>
      <c r="D19" s="350"/>
    </row>
    <row r="20" spans="1:6" s="133" customFormat="1" ht="19.5" customHeight="1">
      <c r="A20" s="347" t="s">
        <v>326</v>
      </c>
      <c r="B20" s="354"/>
      <c r="C20" s="349" t="s">
        <v>326</v>
      </c>
      <c r="D20" s="355"/>
      <c r="F20" s="169"/>
    </row>
    <row r="21" spans="1:4" s="133" customFormat="1" ht="19.5" customHeight="1">
      <c r="A21" s="347" t="s">
        <v>327</v>
      </c>
      <c r="B21" s="354"/>
      <c r="C21" s="349" t="s">
        <v>327</v>
      </c>
      <c r="D21" s="355"/>
    </row>
    <row r="22" spans="1:4" s="133" customFormat="1" ht="19.5" customHeight="1">
      <c r="A22" s="347" t="s">
        <v>328</v>
      </c>
      <c r="B22" s="354"/>
      <c r="C22" s="349" t="s">
        <v>328</v>
      </c>
      <c r="D22" s="355"/>
    </row>
    <row r="23" spans="1:4" s="133" customFormat="1" ht="19.5" customHeight="1">
      <c r="A23" s="347" t="s">
        <v>330</v>
      </c>
      <c r="B23" s="354"/>
      <c r="C23" s="349" t="s">
        <v>330</v>
      </c>
      <c r="D23" s="350">
        <f>5526.36*12</f>
        <v>66316.31999999999</v>
      </c>
    </row>
    <row r="24" spans="1:4" s="133" customFormat="1" ht="19.5" customHeight="1">
      <c r="A24" s="347" t="s">
        <v>329</v>
      </c>
      <c r="B24" s="348"/>
      <c r="C24" s="349" t="s">
        <v>329</v>
      </c>
      <c r="D24" s="350"/>
    </row>
    <row r="25" spans="1:4" s="133" customFormat="1" ht="19.5" customHeight="1">
      <c r="A25" s="347" t="s">
        <v>53</v>
      </c>
      <c r="B25" s="348"/>
      <c r="C25" s="349" t="s">
        <v>54</v>
      </c>
      <c r="D25" s="350"/>
    </row>
    <row r="26" spans="1:4" s="230" customFormat="1" ht="19.5" customHeight="1">
      <c r="A26" s="351" t="s">
        <v>331</v>
      </c>
      <c r="B26" s="352"/>
      <c r="C26" s="349" t="s">
        <v>331</v>
      </c>
      <c r="D26" s="353"/>
    </row>
    <row r="27" spans="1:4" s="133" customFormat="1" ht="19.5" customHeight="1">
      <c r="A27" s="347" t="s">
        <v>55</v>
      </c>
      <c r="B27" s="348"/>
      <c r="C27" s="349" t="s">
        <v>55</v>
      </c>
      <c r="D27" s="350"/>
    </row>
    <row r="28" spans="1:4" s="133" customFormat="1" ht="19.5" customHeight="1">
      <c r="A28" s="347" t="s">
        <v>334</v>
      </c>
      <c r="B28" s="348"/>
      <c r="C28" s="349" t="s">
        <v>334</v>
      </c>
      <c r="D28" s="350"/>
    </row>
    <row r="29" spans="1:4" s="133" customFormat="1" ht="19.5" customHeight="1">
      <c r="A29" s="347" t="s">
        <v>56</v>
      </c>
      <c r="B29" s="348"/>
      <c r="C29" s="349" t="s">
        <v>56</v>
      </c>
      <c r="D29" s="350"/>
    </row>
    <row r="30" spans="1:4" s="133" customFormat="1" ht="19.5" customHeight="1">
      <c r="A30" s="347" t="s">
        <v>57</v>
      </c>
      <c r="B30" s="348"/>
      <c r="C30" s="349" t="s">
        <v>57</v>
      </c>
      <c r="D30" s="350"/>
    </row>
    <row r="31" spans="1:4" s="133" customFormat="1" ht="19.5" customHeight="1">
      <c r="A31" s="347" t="s">
        <v>333</v>
      </c>
      <c r="B31" s="348"/>
      <c r="C31" s="349" t="s">
        <v>333</v>
      </c>
      <c r="D31" s="350"/>
    </row>
    <row r="32" spans="1:4" s="133" customFormat="1" ht="19.5" customHeight="1">
      <c r="A32" s="347" t="s">
        <v>58</v>
      </c>
      <c r="B32" s="348"/>
      <c r="C32" s="349" t="s">
        <v>58</v>
      </c>
      <c r="D32" s="350"/>
    </row>
    <row r="33" spans="1:4" s="133" customFormat="1" ht="19.5" customHeight="1">
      <c r="A33" s="347" t="s">
        <v>59</v>
      </c>
      <c r="B33" s="348"/>
      <c r="C33" s="349" t="s">
        <v>59</v>
      </c>
      <c r="D33" s="350"/>
    </row>
    <row r="34" spans="1:4" s="133" customFormat="1" ht="19.5" customHeight="1">
      <c r="A34" s="347" t="s">
        <v>60</v>
      </c>
      <c r="B34" s="348"/>
      <c r="C34" s="349" t="s">
        <v>60</v>
      </c>
      <c r="D34" s="350"/>
    </row>
    <row r="35" spans="1:4" s="133" customFormat="1" ht="19.5" customHeight="1">
      <c r="A35" s="347" t="s">
        <v>61</v>
      </c>
      <c r="B35" s="348"/>
      <c r="C35" s="349" t="s">
        <v>61</v>
      </c>
      <c r="D35" s="350"/>
    </row>
    <row r="36" spans="1:4" s="133" customFormat="1" ht="29.25" customHeight="1">
      <c r="A36" s="356" t="s">
        <v>664</v>
      </c>
      <c r="B36" s="348"/>
      <c r="C36" s="349" t="s">
        <v>664</v>
      </c>
      <c r="D36" s="350"/>
    </row>
    <row r="37" spans="1:4" s="133" customFormat="1" ht="29.25" customHeight="1">
      <c r="A37" s="356" t="s">
        <v>359</v>
      </c>
      <c r="B37" s="348"/>
      <c r="C37" s="349" t="s">
        <v>359</v>
      </c>
      <c r="D37" s="350"/>
    </row>
    <row r="38" spans="1:4" s="133" customFormat="1" ht="29.25" customHeight="1">
      <c r="A38" s="356" t="s">
        <v>365</v>
      </c>
      <c r="B38" s="348"/>
      <c r="C38" s="349" t="s">
        <v>365</v>
      </c>
      <c r="D38" s="350"/>
    </row>
    <row r="39" spans="1:4" s="133" customFormat="1" ht="29.25" customHeight="1">
      <c r="A39" s="356" t="s">
        <v>9</v>
      </c>
      <c r="B39" s="348"/>
      <c r="C39" s="349" t="str">
        <f>A39</f>
        <v>FUNDACION TENERIFE RURAL</v>
      </c>
      <c r="D39" s="350"/>
    </row>
    <row r="40" spans="1:4" s="133" customFormat="1" ht="29.25" customHeight="1">
      <c r="A40" s="356" t="s">
        <v>361</v>
      </c>
      <c r="B40" s="348"/>
      <c r="C40" s="349" t="s">
        <v>361</v>
      </c>
      <c r="D40" s="350"/>
    </row>
    <row r="41" spans="1:4" s="133" customFormat="1" ht="22.5" customHeight="1">
      <c r="A41" s="356" t="s">
        <v>360</v>
      </c>
      <c r="B41" s="348"/>
      <c r="C41" s="349" t="s">
        <v>360</v>
      </c>
      <c r="D41" s="350"/>
    </row>
    <row r="42" spans="1:4" s="133" customFormat="1" ht="29.25" customHeight="1">
      <c r="A42" s="356" t="s">
        <v>362</v>
      </c>
      <c r="B42" s="348"/>
      <c r="C42" s="349" t="s">
        <v>362</v>
      </c>
      <c r="D42" s="350"/>
    </row>
    <row r="43" spans="1:4" s="133" customFormat="1" ht="19.5" customHeight="1" thickBot="1">
      <c r="A43" s="357" t="s">
        <v>319</v>
      </c>
      <c r="B43" s="358">
        <f>SUM(B12:B42)</f>
        <v>0</v>
      </c>
      <c r="C43" s="359" t="s">
        <v>319</v>
      </c>
      <c r="D43" s="360">
        <f>SUM(D12:D42)</f>
        <v>66316.31999999999</v>
      </c>
    </row>
    <row r="44" ht="13.5" thickTop="1">
      <c r="B44" s="361"/>
    </row>
    <row r="45" ht="13.5" thickBot="1"/>
    <row r="46" spans="1:4" ht="13.5" thickBot="1">
      <c r="A46" s="1266" t="s">
        <v>363</v>
      </c>
      <c r="B46" s="1267"/>
      <c r="C46" s="1267"/>
      <c r="D46" s="1268"/>
    </row>
    <row r="47" spans="1:4" ht="13.5" thickBot="1">
      <c r="A47" s="1266" t="s">
        <v>51</v>
      </c>
      <c r="B47" s="1267"/>
      <c r="C47" s="1267"/>
      <c r="D47" s="1268"/>
    </row>
    <row r="48" spans="1:4" ht="12.75">
      <c r="A48" s="1283" t="s">
        <v>296</v>
      </c>
      <c r="B48" s="1284"/>
      <c r="C48" s="1285" t="s">
        <v>298</v>
      </c>
      <c r="D48" s="1286"/>
    </row>
    <row r="49" spans="1:4" ht="12.75">
      <c r="A49" s="757" t="s">
        <v>297</v>
      </c>
      <c r="B49" s="341" t="s">
        <v>294</v>
      </c>
      <c r="C49" s="341" t="s">
        <v>297</v>
      </c>
      <c r="D49" s="758" t="s">
        <v>294</v>
      </c>
    </row>
    <row r="50" spans="1:4" s="133" customFormat="1" ht="29.25" customHeight="1">
      <c r="A50" s="759" t="s">
        <v>364</v>
      </c>
      <c r="B50" s="348"/>
      <c r="C50" s="349" t="s">
        <v>364</v>
      </c>
      <c r="D50" s="368"/>
    </row>
    <row r="51" spans="1:4" s="133" customFormat="1" ht="19.5" customHeight="1" thickBot="1">
      <c r="A51" s="371" t="s">
        <v>319</v>
      </c>
      <c r="B51" s="372">
        <f>SUM(B50:B50)</f>
        <v>0</v>
      </c>
      <c r="C51" s="760" t="s">
        <v>319</v>
      </c>
      <c r="D51" s="333">
        <f>SUM(D50:D50)</f>
        <v>0</v>
      </c>
    </row>
    <row r="52" spans="1:2" ht="12.75">
      <c r="A52" s="362"/>
      <c r="B52" s="361"/>
    </row>
    <row r="53" ht="12.75">
      <c r="B53" s="361"/>
    </row>
    <row r="54" spans="1:4" s="926" customFormat="1" ht="12.75" hidden="1">
      <c r="A54" s="1282" t="s">
        <v>332</v>
      </c>
      <c r="B54" s="1282"/>
      <c r="C54" s="1282"/>
      <c r="D54" s="1282"/>
    </row>
    <row r="55" spans="1:4" s="926" customFormat="1" ht="12.75" hidden="1">
      <c r="A55" s="1282" t="s">
        <v>335</v>
      </c>
      <c r="B55" s="1282"/>
      <c r="C55" s="1282"/>
      <c r="D55" s="1282"/>
    </row>
    <row r="56" s="926" customFormat="1" ht="12.75" hidden="1">
      <c r="B56" s="927"/>
    </row>
    <row r="57" ht="12.75">
      <c r="B57" s="361"/>
    </row>
    <row r="58" ht="12.75">
      <c r="B58" s="361"/>
    </row>
  </sheetData>
  <sheetProtection/>
  <mergeCells count="11">
    <mergeCell ref="A55:D55"/>
    <mergeCell ref="A54:D54"/>
    <mergeCell ref="A47:D47"/>
    <mergeCell ref="A48:B48"/>
    <mergeCell ref="C48:D48"/>
    <mergeCell ref="A46:D46"/>
    <mergeCell ref="A7:C7"/>
    <mergeCell ref="A8:C8"/>
    <mergeCell ref="A9:D9"/>
    <mergeCell ref="A10:B10"/>
    <mergeCell ref="C10:D10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0" r:id="rId2"/>
  <headerFooter alignWithMargins="0">
    <oddFooter>&amp;L&amp;7Plaza de España, 1
38003 Santa Cruz de Tenerife
Teléfono: 901 501 901
www.tenerife.es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70" zoomScaleNormal="70" workbookViewId="0" topLeftCell="A1">
      <selection activeCell="T17" sqref="T17"/>
    </sheetView>
  </sheetViews>
  <sheetFormatPr defaultColWidth="11.57421875" defaultRowHeight="12.75"/>
  <cols>
    <col min="1" max="1" width="17.7109375" style="133" customWidth="1"/>
    <col min="2" max="2" width="56.28125" style="133" customWidth="1"/>
    <col min="3" max="3" width="18.28125" style="133" customWidth="1"/>
    <col min="4" max="4" width="17.7109375" style="133" customWidth="1"/>
    <col min="5" max="5" width="17.28125" style="133" customWidth="1"/>
    <col min="6" max="6" width="1.8515625" style="133" customWidth="1"/>
    <col min="7" max="10" width="6.00390625" style="866" hidden="1" customWidth="1"/>
    <col min="11" max="15" width="0" style="866" hidden="1" customWidth="1"/>
    <col min="16" max="16384" width="11.57421875" style="133" customWidth="1"/>
  </cols>
  <sheetData>
    <row r="1" spans="1:7" ht="15">
      <c r="A1" s="278"/>
      <c r="B1" s="278"/>
      <c r="C1" s="820" t="s">
        <v>674</v>
      </c>
      <c r="D1" s="278"/>
      <c r="E1" s="278"/>
      <c r="G1" s="924"/>
    </row>
    <row r="2" spans="1:7" ht="14.25">
      <c r="A2" s="278"/>
      <c r="B2" s="278"/>
      <c r="C2" s="821" t="s">
        <v>675</v>
      </c>
      <c r="D2" s="278"/>
      <c r="E2" s="278"/>
      <c r="G2" s="924"/>
    </row>
    <row r="3" spans="1:7" ht="12.75">
      <c r="A3" s="278"/>
      <c r="B3" s="278"/>
      <c r="C3" s="278"/>
      <c r="D3" s="278"/>
      <c r="E3" s="278"/>
      <c r="G3" s="924"/>
    </row>
    <row r="4" spans="1:7" ht="15">
      <c r="A4" s="819" t="s">
        <v>525</v>
      </c>
      <c r="B4" s="278"/>
      <c r="C4" s="824">
        <v>42339</v>
      </c>
      <c r="D4" s="278"/>
      <c r="E4" s="278"/>
      <c r="G4" s="928"/>
    </row>
    <row r="5" spans="1:7" ht="15">
      <c r="A5" s="819" t="s">
        <v>673</v>
      </c>
      <c r="B5" s="278"/>
      <c r="C5" s="823" t="s">
        <v>676</v>
      </c>
      <c r="D5" s="278"/>
      <c r="E5" s="278"/>
      <c r="G5" s="929"/>
    </row>
    <row r="6" ht="13.5" thickBot="1"/>
    <row r="7" spans="1:5" ht="49.5" customHeight="1">
      <c r="A7" s="1019" t="s">
        <v>705</v>
      </c>
      <c r="B7" s="1020"/>
      <c r="C7" s="1020"/>
      <c r="D7" s="1020"/>
      <c r="E7" s="233">
        <f>CPYG!D7</f>
        <v>2016</v>
      </c>
    </row>
    <row r="8" spans="1:5" ht="44.25" customHeight="1">
      <c r="A8" s="1287" t="str">
        <f>CPYG!A8</f>
        <v>SPET, TURISMO DE TENERIFE, S.A.</v>
      </c>
      <c r="B8" s="1288"/>
      <c r="C8" s="1288"/>
      <c r="D8" s="1289"/>
      <c r="E8" s="363" t="s">
        <v>378</v>
      </c>
    </row>
    <row r="9" spans="1:5" ht="24.75" customHeight="1">
      <c r="A9" s="1290" t="s">
        <v>62</v>
      </c>
      <c r="B9" s="1291"/>
      <c r="C9" s="1291"/>
      <c r="D9" s="1291"/>
      <c r="E9" s="1292"/>
    </row>
    <row r="10" spans="1:5" ht="30" customHeight="1">
      <c r="A10" s="364" t="s">
        <v>292</v>
      </c>
      <c r="B10" s="339" t="s">
        <v>293</v>
      </c>
      <c r="C10" s="766" t="s">
        <v>565</v>
      </c>
      <c r="D10" s="766" t="s">
        <v>814</v>
      </c>
      <c r="E10" s="365" t="s">
        <v>295</v>
      </c>
    </row>
    <row r="11" spans="1:12" ht="19.5" customHeight="1">
      <c r="A11" s="366" t="s">
        <v>169</v>
      </c>
      <c r="B11" s="345" t="s">
        <v>167</v>
      </c>
      <c r="C11" s="344">
        <v>94000</v>
      </c>
      <c r="D11" s="741"/>
      <c r="E11" s="368"/>
      <c r="G11" s="917" t="s">
        <v>198</v>
      </c>
      <c r="H11" s="917" t="s">
        <v>199</v>
      </c>
      <c r="I11" s="917" t="s">
        <v>216</v>
      </c>
      <c r="J11" s="917" t="s">
        <v>217</v>
      </c>
      <c r="K11" s="930">
        <v>21000</v>
      </c>
      <c r="L11" s="919" t="s">
        <v>218</v>
      </c>
    </row>
    <row r="12" spans="1:12" ht="19.5" customHeight="1">
      <c r="A12" s="753" t="s">
        <v>169</v>
      </c>
      <c r="B12" s="849" t="s">
        <v>168</v>
      </c>
      <c r="C12" s="344">
        <v>21000</v>
      </c>
      <c r="D12" s="755"/>
      <c r="E12" s="756"/>
      <c r="G12" s="917" t="s">
        <v>198</v>
      </c>
      <c r="H12" s="917" t="s">
        <v>199</v>
      </c>
      <c r="I12" s="917" t="s">
        <v>219</v>
      </c>
      <c r="J12" s="917" t="s">
        <v>217</v>
      </c>
      <c r="K12" s="930">
        <v>94000</v>
      </c>
      <c r="L12" s="919" t="s">
        <v>220</v>
      </c>
    </row>
    <row r="13" spans="1:5" ht="19.5" customHeight="1">
      <c r="A13" s="753"/>
      <c r="B13" s="370"/>
      <c r="C13" s="765"/>
      <c r="D13" s="755"/>
      <c r="E13" s="756"/>
    </row>
    <row r="14" spans="1:5" ht="19.5" customHeight="1">
      <c r="A14" s="753"/>
      <c r="B14" s="754"/>
      <c r="C14" s="754"/>
      <c r="D14" s="755"/>
      <c r="E14" s="756"/>
    </row>
    <row r="15" spans="1:5" ht="19.5" customHeight="1">
      <c r="A15" s="366"/>
      <c r="B15" s="370"/>
      <c r="C15" s="370"/>
      <c r="D15" s="741"/>
      <c r="E15" s="368"/>
    </row>
    <row r="16" spans="1:5" ht="19.5" customHeight="1">
      <c r="A16" s="366"/>
      <c r="B16" s="370"/>
      <c r="C16" s="370"/>
      <c r="D16" s="741"/>
      <c r="E16" s="368"/>
    </row>
    <row r="17" spans="1:5" ht="19.5" customHeight="1">
      <c r="A17" s="366"/>
      <c r="B17" s="370"/>
      <c r="C17" s="370"/>
      <c r="D17" s="741"/>
      <c r="E17" s="368"/>
    </row>
    <row r="18" spans="1:5" ht="19.5" customHeight="1">
      <c r="A18" s="366"/>
      <c r="B18" s="370"/>
      <c r="C18" s="370"/>
      <c r="D18" s="741"/>
      <c r="E18" s="368"/>
    </row>
    <row r="19" spans="1:5" ht="19.5" customHeight="1">
      <c r="A19" s="366"/>
      <c r="B19" s="370"/>
      <c r="C19" s="370"/>
      <c r="D19" s="741"/>
      <c r="E19" s="368"/>
    </row>
    <row r="20" spans="1:5" ht="19.5" customHeight="1">
      <c r="A20" s="366"/>
      <c r="B20" s="369"/>
      <c r="C20" s="369"/>
      <c r="D20" s="370"/>
      <c r="E20" s="368"/>
    </row>
    <row r="21" spans="1:5" ht="19.5" customHeight="1">
      <c r="A21" s="366"/>
      <c r="B21" s="348"/>
      <c r="C21" s="765"/>
      <c r="D21" s="367"/>
      <c r="E21" s="368"/>
    </row>
    <row r="22" spans="1:5" ht="19.5" customHeight="1">
      <c r="A22" s="366"/>
      <c r="B22" s="348"/>
      <c r="C22" s="765"/>
      <c r="D22" s="367"/>
      <c r="E22" s="368"/>
    </row>
    <row r="23" spans="1:5" ht="19.5" customHeight="1">
      <c r="A23" s="366"/>
      <c r="B23" s="348"/>
      <c r="C23" s="765"/>
      <c r="D23" s="367"/>
      <c r="E23" s="368"/>
    </row>
    <row r="24" spans="1:5" ht="19.5" customHeight="1">
      <c r="A24" s="366"/>
      <c r="B24" s="348"/>
      <c r="C24" s="765"/>
      <c r="D24" s="367"/>
      <c r="E24" s="368"/>
    </row>
    <row r="25" spans="1:5" ht="19.5" customHeight="1">
      <c r="A25" s="366"/>
      <c r="B25" s="348"/>
      <c r="C25" s="765"/>
      <c r="D25" s="367"/>
      <c r="E25" s="368"/>
    </row>
    <row r="26" spans="1:5" ht="19.5" customHeight="1">
      <c r="A26" s="366"/>
      <c r="B26" s="348"/>
      <c r="C26" s="765"/>
      <c r="D26" s="367"/>
      <c r="E26" s="368"/>
    </row>
    <row r="27" spans="1:5" ht="19.5" customHeight="1">
      <c r="A27" s="366"/>
      <c r="B27" s="348"/>
      <c r="C27" s="765"/>
      <c r="D27" s="367"/>
      <c r="E27" s="368"/>
    </row>
    <row r="28" spans="1:11" ht="23.25" customHeight="1" thickBot="1">
      <c r="A28" s="371"/>
      <c r="B28" s="372"/>
      <c r="C28" s="694">
        <f>SUM(C11:C27)</f>
        <v>115000</v>
      </c>
      <c r="D28" s="694">
        <f>SUM(D11:D27)</f>
        <v>0</v>
      </c>
      <c r="E28" s="333"/>
      <c r="K28" s="930">
        <f>SUM(K11:K27)</f>
        <v>115000</v>
      </c>
    </row>
    <row r="29" spans="2:3" ht="12.75">
      <c r="B29" s="709"/>
      <c r="C29" s="709"/>
    </row>
    <row r="30" spans="2:3" ht="12.75">
      <c r="B30" s="709"/>
      <c r="C30" s="709"/>
    </row>
    <row r="31" spans="4:5" ht="12.75">
      <c r="D31" s="169"/>
      <c r="E31" s="169"/>
    </row>
    <row r="32" spans="4:5" ht="12.75">
      <c r="D32" s="169"/>
      <c r="E32" s="169"/>
    </row>
    <row r="33" spans="2:5" ht="12.75">
      <c r="B33" s="709"/>
      <c r="C33" s="709"/>
      <c r="D33" s="169"/>
      <c r="E33" s="169"/>
    </row>
    <row r="34" spans="2:5" ht="12.75">
      <c r="B34" s="709"/>
      <c r="C34" s="709"/>
      <c r="D34" s="169"/>
      <c r="E34" s="169"/>
    </row>
    <row r="35" spans="4:5" ht="12.75">
      <c r="D35" s="169"/>
      <c r="E35" s="169"/>
    </row>
    <row r="36" spans="4:5" ht="12.75">
      <c r="D36" s="169"/>
      <c r="E36" s="169"/>
    </row>
    <row r="37" spans="2:5" ht="12.75">
      <c r="B37" s="742"/>
      <c r="C37" s="742"/>
      <c r="D37" s="743"/>
      <c r="E37" s="743"/>
    </row>
    <row r="38" spans="2:5" ht="12.75">
      <c r="B38" s="709"/>
      <c r="C38" s="709"/>
      <c r="D38" s="169"/>
      <c r="E38" s="169"/>
    </row>
    <row r="39" spans="2:3" ht="12.75">
      <c r="B39" s="709"/>
      <c r="C39" s="709"/>
    </row>
    <row r="40" spans="2:5" ht="12.75">
      <c r="B40" s="742"/>
      <c r="C40" s="742"/>
      <c r="D40" s="743"/>
      <c r="E40" s="743"/>
    </row>
    <row r="41" spans="2:5" ht="12.75">
      <c r="B41" s="742"/>
      <c r="C41" s="742"/>
      <c r="D41" s="743"/>
      <c r="E41" s="743"/>
    </row>
    <row r="42" spans="2:3" ht="12.75">
      <c r="B42" s="709"/>
      <c r="C42" s="709"/>
    </row>
    <row r="43" spans="2:3" ht="12.75">
      <c r="B43" s="709"/>
      <c r="C43" s="709"/>
    </row>
    <row r="44" spans="2:3" ht="12.75">
      <c r="B44" s="709"/>
      <c r="C44" s="709"/>
    </row>
    <row r="45" spans="2:3" ht="12.75">
      <c r="B45" s="709"/>
      <c r="C45" s="709"/>
    </row>
    <row r="46" spans="2:3" ht="12.75">
      <c r="B46" s="709"/>
      <c r="C46" s="709"/>
    </row>
    <row r="47" spans="2:3" ht="12.75">
      <c r="B47" s="709"/>
      <c r="C47" s="709"/>
    </row>
    <row r="48" spans="2:3" ht="12.75">
      <c r="B48" s="709"/>
      <c r="C48" s="709"/>
    </row>
    <row r="49" spans="2:3" ht="12.75">
      <c r="B49" s="709"/>
      <c r="C49" s="709"/>
    </row>
    <row r="50" spans="2:3" ht="12.75">
      <c r="B50" s="709"/>
      <c r="C50" s="709"/>
    </row>
    <row r="51" spans="2:3" ht="12.75">
      <c r="B51" s="709"/>
      <c r="C51" s="709"/>
    </row>
    <row r="52" spans="2:3" ht="12.75">
      <c r="B52" s="709"/>
      <c r="C52" s="709"/>
    </row>
    <row r="53" spans="2:3" ht="12.75">
      <c r="B53" s="709"/>
      <c r="C53" s="709"/>
    </row>
    <row r="54" spans="2:3" ht="12.75">
      <c r="B54" s="709"/>
      <c r="C54" s="709"/>
    </row>
  </sheetData>
  <sheetProtection/>
  <mergeCells count="3">
    <mergeCell ref="A7:D7"/>
    <mergeCell ref="A8:D8"/>
    <mergeCell ref="A9:E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78" r:id="rId2"/>
  <headerFooter alignWithMargins="0">
    <oddFooter>&amp;L&amp;7Plaza de España, 1
38003 Santa Cruz de Tenerife
Teléfono: 901 501 901
www.tenerife.es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30"/>
  <sheetViews>
    <sheetView zoomScalePageLayoutView="0" workbookViewId="0" topLeftCell="A65536">
      <selection activeCell="J28" sqref="J28"/>
    </sheetView>
  </sheetViews>
  <sheetFormatPr defaultColWidth="11.421875" defaultRowHeight="12.75" zeroHeight="1"/>
  <cols>
    <col min="1" max="1" width="4.57421875" style="0" customWidth="1"/>
    <col min="2" max="2" width="4.8515625" style="0" customWidth="1"/>
    <col min="7" max="7" width="22.57421875" style="0" customWidth="1"/>
    <col min="8" max="8" width="12.7109375" style="783" bestFit="1" customWidth="1"/>
  </cols>
  <sheetData>
    <row r="1" spans="1:8" ht="12.75" hidden="1">
      <c r="A1" s="822"/>
      <c r="B1" s="822"/>
      <c r="C1" s="822"/>
      <c r="D1" s="825" t="s">
        <v>674</v>
      </c>
      <c r="E1" s="822"/>
      <c r="F1" s="822"/>
      <c r="G1" s="822"/>
      <c r="H1" s="822"/>
    </row>
    <row r="2" spans="1:8" ht="12.75" hidden="1">
      <c r="A2" s="822"/>
      <c r="B2" s="822"/>
      <c r="C2" s="822"/>
      <c r="D2" s="826" t="s">
        <v>675</v>
      </c>
      <c r="E2" s="822"/>
      <c r="F2" s="822"/>
      <c r="G2" s="822"/>
      <c r="H2" s="822"/>
    </row>
    <row r="3" spans="1:8" ht="12.75" hidden="1">
      <c r="A3" s="822"/>
      <c r="B3" s="826"/>
      <c r="C3" s="822"/>
      <c r="D3" s="822"/>
      <c r="E3" s="822"/>
      <c r="F3" s="822"/>
      <c r="G3" s="822"/>
      <c r="H3" s="822"/>
    </row>
    <row r="4" spans="1:8" ht="12.75" hidden="1">
      <c r="A4" s="822" t="s">
        <v>525</v>
      </c>
      <c r="B4" s="822"/>
      <c r="C4" s="822"/>
      <c r="D4" s="822"/>
      <c r="E4" s="822"/>
      <c r="F4" s="822"/>
      <c r="G4" s="827">
        <v>41974</v>
      </c>
      <c r="H4" s="822"/>
    </row>
    <row r="5" spans="1:8" ht="12.75" hidden="1">
      <c r="A5" s="822" t="s">
        <v>673</v>
      </c>
      <c r="B5" s="822"/>
      <c r="C5" s="822"/>
      <c r="D5" s="822"/>
      <c r="E5" s="822"/>
      <c r="F5" s="822"/>
      <c r="G5" s="828" t="s">
        <v>676</v>
      </c>
      <c r="H5" s="822"/>
    </row>
    <row r="6" ht="13.5" hidden="1" thickBot="1"/>
    <row r="7" spans="1:8" ht="51" customHeight="1" hidden="1">
      <c r="A7" s="970" t="s">
        <v>305</v>
      </c>
      <c r="B7" s="971"/>
      <c r="C7" s="971"/>
      <c r="D7" s="971"/>
      <c r="E7" s="971"/>
      <c r="F7" s="971"/>
      <c r="G7" s="971"/>
      <c r="H7" s="829">
        <f>'ORGANOS DE GOBIERNO'!H8</f>
        <v>2016</v>
      </c>
    </row>
    <row r="8" spans="1:8" ht="24" customHeight="1" hidden="1">
      <c r="A8" s="947" t="str">
        <f>'ORGANOS DE GOBIERNO'!A9:H9</f>
        <v>SPET, TURISMO DE TENERIFE, S.A.</v>
      </c>
      <c r="B8" s="946"/>
      <c r="C8" s="946"/>
      <c r="D8" s="946"/>
      <c r="E8" s="946"/>
      <c r="F8" s="946"/>
      <c r="G8" s="946"/>
      <c r="H8" s="942"/>
    </row>
    <row r="9" spans="1:8" ht="12.75" hidden="1">
      <c r="A9" s="772"/>
      <c r="B9" s="773"/>
      <c r="C9" s="773"/>
      <c r="D9" s="773"/>
      <c r="E9" s="773"/>
      <c r="F9" s="773"/>
      <c r="G9" s="773"/>
      <c r="H9" s="784"/>
    </row>
    <row r="10" spans="1:8" ht="15.75" hidden="1">
      <c r="A10" s="775" t="s">
        <v>746</v>
      </c>
      <c r="B10" s="776"/>
      <c r="C10" s="776"/>
      <c r="D10" s="773"/>
      <c r="E10" s="773"/>
      <c r="F10" s="773"/>
      <c r="G10" s="773"/>
      <c r="H10" s="784"/>
    </row>
    <row r="11" spans="1:8" ht="12.75" hidden="1">
      <c r="A11" s="772"/>
      <c r="B11" s="773"/>
      <c r="C11" s="773"/>
      <c r="D11" s="773"/>
      <c r="E11" s="773"/>
      <c r="F11" s="773"/>
      <c r="G11" s="773"/>
      <c r="H11" s="784"/>
    </row>
    <row r="12" spans="1:8" ht="12.75" hidden="1">
      <c r="A12" s="777" t="s">
        <v>747</v>
      </c>
      <c r="B12" s="776" t="s">
        <v>748</v>
      </c>
      <c r="C12" s="776"/>
      <c r="D12" s="773"/>
      <c r="E12" s="773"/>
      <c r="F12" s="773"/>
      <c r="G12" s="773"/>
      <c r="H12" s="838">
        <f>SUM(H14:H16)</f>
        <v>0.05986476468336714</v>
      </c>
    </row>
    <row r="13" spans="1:8" ht="12.75" hidden="1">
      <c r="A13" s="772"/>
      <c r="B13" s="773"/>
      <c r="C13" s="773"/>
      <c r="D13" s="773"/>
      <c r="E13" s="773"/>
      <c r="F13" s="773"/>
      <c r="G13" s="773"/>
      <c r="H13" s="784"/>
    </row>
    <row r="14" spans="1:9" ht="12.75" hidden="1">
      <c r="A14" s="772"/>
      <c r="B14" s="773" t="s">
        <v>749</v>
      </c>
      <c r="C14" s="773" t="s">
        <v>750</v>
      </c>
      <c r="D14" s="773"/>
      <c r="E14" s="773"/>
      <c r="F14" s="773"/>
      <c r="G14" s="773"/>
      <c r="H14" s="837">
        <f>+I14/$I$29</f>
        <v>0.02509550116448461</v>
      </c>
      <c r="I14">
        <f>+CPYG!D21</f>
        <v>301700.94</v>
      </c>
    </row>
    <row r="15" spans="1:9" ht="12.75" hidden="1">
      <c r="A15" s="772"/>
      <c r="B15" s="773" t="s">
        <v>751</v>
      </c>
      <c r="C15" s="773" t="s">
        <v>752</v>
      </c>
      <c r="D15" s="773"/>
      <c r="E15" s="773"/>
      <c r="F15" s="773"/>
      <c r="G15" s="773"/>
      <c r="H15" s="837">
        <f>+I15/$I$29</f>
        <v>0.0014972410127748457</v>
      </c>
      <c r="I15">
        <f>+CPYG!D22</f>
        <v>18000</v>
      </c>
    </row>
    <row r="16" spans="1:9" ht="12.75" hidden="1">
      <c r="A16" s="772"/>
      <c r="B16" s="773" t="s">
        <v>753</v>
      </c>
      <c r="C16" s="773" t="s">
        <v>754</v>
      </c>
      <c r="D16" s="773"/>
      <c r="E16" s="773"/>
      <c r="F16" s="773"/>
      <c r="G16" s="773"/>
      <c r="H16" s="837">
        <f>+I16/$I$29</f>
        <v>0.03327202250610768</v>
      </c>
      <c r="I16">
        <f>+CPYG!D23</f>
        <v>400000</v>
      </c>
    </row>
    <row r="17" spans="1:8" ht="7.5" customHeight="1" hidden="1">
      <c r="A17" s="772"/>
      <c r="B17" s="773"/>
      <c r="C17" s="773"/>
      <c r="D17" s="773"/>
      <c r="E17" s="773"/>
      <c r="F17" s="773"/>
      <c r="G17" s="773"/>
      <c r="H17" s="784"/>
    </row>
    <row r="18" spans="1:9" ht="12.75" hidden="1">
      <c r="A18" s="777" t="s">
        <v>755</v>
      </c>
      <c r="B18" s="776" t="s">
        <v>756</v>
      </c>
      <c r="C18" s="773"/>
      <c r="D18" s="773"/>
      <c r="E18" s="773"/>
      <c r="F18" s="773"/>
      <c r="G18" s="773"/>
      <c r="H18" s="838">
        <f>+I18/$I$29</f>
        <v>0.06726923868755623</v>
      </c>
      <c r="I18">
        <f>+CPYG!D24</f>
        <v>808718.36</v>
      </c>
    </row>
    <row r="19" spans="1:8" ht="12.75" hidden="1">
      <c r="A19" s="777" t="s">
        <v>757</v>
      </c>
      <c r="B19" s="776" t="s">
        <v>758</v>
      </c>
      <c r="C19" s="773"/>
      <c r="D19" s="773"/>
      <c r="E19" s="773"/>
      <c r="F19" s="773"/>
      <c r="G19" s="773"/>
      <c r="H19" s="838">
        <f>SUM(H21:H23)</f>
        <v>0.8721306441734641</v>
      </c>
    </row>
    <row r="20" spans="1:8" ht="12.75" hidden="1">
      <c r="A20" s="772"/>
      <c r="B20" s="773"/>
      <c r="C20" s="773"/>
      <c r="D20" s="773"/>
      <c r="E20" s="773"/>
      <c r="F20" s="773"/>
      <c r="G20" s="773"/>
      <c r="H20" s="784"/>
    </row>
    <row r="21" spans="1:9" ht="12.75" hidden="1">
      <c r="A21" s="772"/>
      <c r="B21" s="773" t="s">
        <v>749</v>
      </c>
      <c r="C21" s="773" t="s">
        <v>759</v>
      </c>
      <c r="D21" s="773"/>
      <c r="E21" s="773"/>
      <c r="F21" s="773"/>
      <c r="G21" s="773"/>
      <c r="H21" s="837">
        <f>+I21/$I$29</f>
        <v>0.8390373756082705</v>
      </c>
      <c r="I21">
        <f>+CPYG!D43</f>
        <v>10087001.78</v>
      </c>
    </row>
    <row r="22" spans="1:9" ht="12.75" hidden="1">
      <c r="A22" s="772"/>
      <c r="B22" s="773" t="s">
        <v>751</v>
      </c>
      <c r="C22" s="773" t="s">
        <v>760</v>
      </c>
      <c r="D22" s="773"/>
      <c r="E22" s="773"/>
      <c r="F22" s="773"/>
      <c r="G22" s="773"/>
      <c r="H22" s="837">
        <f>+I22/$I$29</f>
        <v>0.033093268565193616</v>
      </c>
      <c r="I22">
        <f>+CPYG!D42</f>
        <v>397851</v>
      </c>
    </row>
    <row r="23" spans="1:8" ht="12.75" hidden="1">
      <c r="A23" s="772"/>
      <c r="B23" s="773" t="s">
        <v>753</v>
      </c>
      <c r="C23" s="773" t="s">
        <v>761</v>
      </c>
      <c r="D23" s="773"/>
      <c r="E23" s="773"/>
      <c r="F23" s="773"/>
      <c r="G23" s="773"/>
      <c r="H23" s="785"/>
    </row>
    <row r="24" spans="1:8" ht="12.75" hidden="1">
      <c r="A24" s="772"/>
      <c r="B24" s="773"/>
      <c r="C24" s="773"/>
      <c r="D24" s="773"/>
      <c r="E24" s="773"/>
      <c r="F24" s="773"/>
      <c r="G24" s="773"/>
      <c r="H24" s="784"/>
    </row>
    <row r="25" spans="1:9" ht="12.75" hidden="1">
      <c r="A25" s="777" t="s">
        <v>762</v>
      </c>
      <c r="B25" s="776" t="s">
        <v>763</v>
      </c>
      <c r="C25" s="773"/>
      <c r="D25" s="773"/>
      <c r="E25" s="773"/>
      <c r="F25" s="773"/>
      <c r="G25" s="773"/>
      <c r="H25" s="838">
        <f>+I25/$I$29</f>
        <v>0.0007353524556125497</v>
      </c>
      <c r="I25">
        <f>+CPYG!D63+CPYG!D83</f>
        <v>8840.49</v>
      </c>
    </row>
    <row r="26" spans="1:8" ht="5.25" customHeight="1" hidden="1">
      <c r="A26" s="772"/>
      <c r="B26" s="773"/>
      <c r="C26" s="773"/>
      <c r="D26" s="773"/>
      <c r="E26" s="773"/>
      <c r="F26" s="773"/>
      <c r="G26" s="773"/>
      <c r="H26" s="784"/>
    </row>
    <row r="27" spans="1:8" ht="21" customHeight="1" hidden="1">
      <c r="A27" s="772"/>
      <c r="B27" s="773"/>
      <c r="C27" s="1293" t="s">
        <v>129</v>
      </c>
      <c r="D27" s="1293"/>
      <c r="E27" s="1293"/>
      <c r="F27" s="1293"/>
      <c r="G27" s="1293"/>
      <c r="H27" s="784"/>
    </row>
    <row r="28" spans="1:8" ht="12.75" hidden="1">
      <c r="A28" s="772"/>
      <c r="B28" s="773"/>
      <c r="C28" s="773"/>
      <c r="D28" s="773"/>
      <c r="E28" s="773"/>
      <c r="F28" s="773"/>
      <c r="G28" s="773"/>
      <c r="H28" s="784"/>
    </row>
    <row r="29" spans="1:9" ht="12.75" hidden="1">
      <c r="A29" s="777" t="s">
        <v>764</v>
      </c>
      <c r="B29" s="773"/>
      <c r="C29" s="773"/>
      <c r="D29" s="773"/>
      <c r="E29" s="773"/>
      <c r="F29" s="773"/>
      <c r="G29" s="773"/>
      <c r="H29" s="838">
        <f>+I29/$I$29</f>
        <v>1</v>
      </c>
      <c r="I29">
        <f>SUM(I14:I26)</f>
        <v>12022112.569999998</v>
      </c>
    </row>
    <row r="30" spans="1:8" ht="13.5" hidden="1" thickBot="1">
      <c r="A30" s="780"/>
      <c r="B30" s="781"/>
      <c r="C30" s="781"/>
      <c r="D30" s="781"/>
      <c r="E30" s="781"/>
      <c r="F30" s="781"/>
      <c r="G30" s="781"/>
      <c r="H30" s="786"/>
    </row>
  </sheetData>
  <sheetProtection password="CF7A" sheet="1" objects="1" scenarios="1" selectLockedCells="1" selectUnlockedCells="1"/>
  <mergeCells count="3">
    <mergeCell ref="A7:G7"/>
    <mergeCell ref="C27:G27"/>
    <mergeCell ref="A8:H8"/>
  </mergeCells>
  <printOptions horizontalCentered="1" verticalCentered="1"/>
  <pageMargins left="0.7480314960629921" right="0.2362204724409449" top="0.984251968503937" bottom="0.984251968503937" header="0" footer="0"/>
  <pageSetup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B2:H62"/>
  <sheetViews>
    <sheetView zoomScalePageLayoutView="0" workbookViewId="0" topLeftCell="A65536">
      <selection activeCell="J28" sqref="J28"/>
    </sheetView>
  </sheetViews>
  <sheetFormatPr defaultColWidth="11.57421875" defaultRowHeight="12.75" zeroHeight="1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721" customWidth="1"/>
    <col min="6" max="6" width="13.7109375" style="716" customWidth="1"/>
    <col min="7" max="7" width="8.8515625" style="133" customWidth="1"/>
    <col min="8" max="16384" width="11.57421875" style="133" customWidth="1"/>
  </cols>
  <sheetData>
    <row r="2" spans="2:5" ht="12.75" hidden="1">
      <c r="B2" s="941" t="s">
        <v>781</v>
      </c>
      <c r="C2" s="941"/>
      <c r="D2" s="941"/>
      <c r="E2" s="719"/>
    </row>
    <row r="3" spans="2:5" ht="12.75" hidden="1">
      <c r="B3" s="183"/>
      <c r="C3" s="183"/>
      <c r="D3" s="183"/>
      <c r="E3" s="719"/>
    </row>
    <row r="4" spans="2:5" ht="16.5" hidden="1">
      <c r="B4" s="935" t="s">
        <v>56</v>
      </c>
      <c r="C4" s="936"/>
      <c r="D4" s="934"/>
      <c r="E4" s="720"/>
    </row>
    <row r="5" spans="2:3" ht="13.5" hidden="1" thickBot="1">
      <c r="B5" s="184"/>
      <c r="C5" s="184"/>
    </row>
    <row r="6" spans="2:5" ht="15.75" hidden="1" thickBot="1">
      <c r="B6" s="933" t="s">
        <v>649</v>
      </c>
      <c r="C6" s="931"/>
      <c r="D6" s="932"/>
      <c r="E6" s="720"/>
    </row>
    <row r="7" spans="2:3" ht="13.5" hidden="1" thickBot="1">
      <c r="B7" s="184"/>
      <c r="C7" s="184"/>
    </row>
    <row r="8" spans="2:5" ht="13.5" customHeight="1" hidden="1">
      <c r="B8" s="972" t="s">
        <v>834</v>
      </c>
      <c r="C8" s="973"/>
      <c r="D8" s="937"/>
      <c r="E8" s="722"/>
    </row>
    <row r="9" spans="2:5" ht="12.75" customHeight="1" hidden="1">
      <c r="B9" s="1299"/>
      <c r="C9" s="1300"/>
      <c r="D9" s="1294"/>
      <c r="E9" s="723"/>
    </row>
    <row r="10" spans="2:5" ht="12.75" hidden="1">
      <c r="B10" s="135"/>
      <c r="C10" s="136"/>
      <c r="D10" s="137"/>
      <c r="E10" s="724"/>
    </row>
    <row r="11" spans="2:8" ht="12.75" hidden="1">
      <c r="B11" s="138" t="s">
        <v>836</v>
      </c>
      <c r="C11" s="139" t="s">
        <v>39</v>
      </c>
      <c r="D11" s="140">
        <v>0</v>
      </c>
      <c r="E11" s="725"/>
      <c r="F11" s="717"/>
      <c r="H11" s="717"/>
    </row>
    <row r="12" spans="2:8" ht="12.75" hidden="1">
      <c r="B12" s="138" t="s">
        <v>837</v>
      </c>
      <c r="C12" s="139" t="s">
        <v>40</v>
      </c>
      <c r="D12" s="140">
        <v>0</v>
      </c>
      <c r="E12" s="725"/>
      <c r="F12" s="717"/>
      <c r="H12" s="717"/>
    </row>
    <row r="13" spans="2:8" ht="12.75" hidden="1">
      <c r="B13" s="138" t="s">
        <v>838</v>
      </c>
      <c r="C13" s="139" t="s">
        <v>41</v>
      </c>
      <c r="D13" s="140">
        <f>3!D13</f>
        <v>1528419.2999999998</v>
      </c>
      <c r="E13" s="725"/>
      <c r="F13" s="717"/>
      <c r="H13" s="717"/>
    </row>
    <row r="14" spans="2:8" ht="12.75" hidden="1">
      <c r="B14" s="138" t="s">
        <v>839</v>
      </c>
      <c r="C14" s="139" t="s">
        <v>42</v>
      </c>
      <c r="D14" s="140">
        <f>3!D14+'Transf. y subv.'!E66</f>
        <v>12388048.79</v>
      </c>
      <c r="E14" s="725"/>
      <c r="F14" s="717"/>
      <c r="H14" s="717"/>
    </row>
    <row r="15" spans="2:8" ht="12.75" hidden="1">
      <c r="B15" s="138" t="s">
        <v>840</v>
      </c>
      <c r="C15" s="139" t="s">
        <v>43</v>
      </c>
      <c r="D15" s="140">
        <f>3!D15</f>
        <v>3000</v>
      </c>
      <c r="E15" s="725"/>
      <c r="F15" s="717"/>
      <c r="H15" s="717"/>
    </row>
    <row r="16" spans="2:5" ht="12.75" hidden="1">
      <c r="B16" s="141"/>
      <c r="C16" s="142"/>
      <c r="D16" s="143"/>
      <c r="E16" s="726"/>
    </row>
    <row r="17" spans="2:5" ht="12.75" hidden="1">
      <c r="B17" s="144" t="s">
        <v>841</v>
      </c>
      <c r="C17" s="145"/>
      <c r="D17" s="146">
        <f>SUM(D11:D15)</f>
        <v>13919468.09</v>
      </c>
      <c r="E17" s="727"/>
    </row>
    <row r="18" spans="2:5" ht="12.75" hidden="1">
      <c r="B18" s="147"/>
      <c r="C18" s="148"/>
      <c r="D18" s="149"/>
      <c r="E18" s="726"/>
    </row>
    <row r="19" spans="2:5" ht="12.75" hidden="1">
      <c r="B19" s="141"/>
      <c r="C19" s="142"/>
      <c r="D19" s="143"/>
      <c r="E19" s="726"/>
    </row>
    <row r="20" spans="2:5" ht="12.75" hidden="1">
      <c r="B20" s="138" t="s">
        <v>842</v>
      </c>
      <c r="C20" s="139" t="s">
        <v>44</v>
      </c>
      <c r="D20" s="143">
        <f>-'Inv. NO FIN'!H27</f>
        <v>0</v>
      </c>
      <c r="E20" s="726"/>
    </row>
    <row r="21" spans="2:5" ht="12.75" hidden="1">
      <c r="B21" s="138" t="s">
        <v>843</v>
      </c>
      <c r="C21" s="139" t="s">
        <v>45</v>
      </c>
      <c r="D21" s="143">
        <f>'Transf. y subv.'!E20</f>
        <v>0</v>
      </c>
      <c r="E21" s="726"/>
    </row>
    <row r="22" spans="2:5" ht="12.75" hidden="1">
      <c r="B22" s="141"/>
      <c r="C22" s="142"/>
      <c r="D22" s="143"/>
      <c r="E22" s="726"/>
    </row>
    <row r="23" spans="2:5" ht="12.75" hidden="1">
      <c r="B23" s="144" t="s">
        <v>844</v>
      </c>
      <c r="C23" s="145"/>
      <c r="D23" s="146">
        <f>SUM(D20:D21)</f>
        <v>0</v>
      </c>
      <c r="E23" s="727"/>
    </row>
    <row r="24" spans="2:5" ht="12.75" hidden="1">
      <c r="B24" s="147"/>
      <c r="C24" s="148"/>
      <c r="D24" s="149"/>
      <c r="E24" s="726"/>
    </row>
    <row r="25" spans="2:5" ht="12.75" hidden="1">
      <c r="B25" s="141"/>
      <c r="C25" s="142"/>
      <c r="D25" s="143"/>
      <c r="E25" s="726"/>
    </row>
    <row r="26" spans="2:5" ht="12.75" hidden="1">
      <c r="B26" s="138" t="s">
        <v>845</v>
      </c>
      <c r="C26" s="139" t="s">
        <v>46</v>
      </c>
      <c r="D26" s="140">
        <f>+'Inv. FIN'!G45+'Inv. FIN'!G38+'Inv. FIN'!G26+'Inv. FIN'!G19</f>
        <v>0</v>
      </c>
      <c r="E26" s="725"/>
    </row>
    <row r="27" spans="2:5" ht="12.75" hidden="1">
      <c r="B27" s="138" t="s">
        <v>846</v>
      </c>
      <c r="C27" s="139" t="s">
        <v>47</v>
      </c>
      <c r="D27" s="140">
        <f>'Deuda L.P.'!K29</f>
        <v>0</v>
      </c>
      <c r="E27" s="725"/>
    </row>
    <row r="28" spans="2:5" ht="12.75" hidden="1">
      <c r="B28" s="141"/>
      <c r="C28" s="142"/>
      <c r="D28" s="143"/>
      <c r="E28" s="726"/>
    </row>
    <row r="29" spans="2:5" ht="12.75" hidden="1">
      <c r="B29" s="144" t="s">
        <v>847</v>
      </c>
      <c r="C29" s="145"/>
      <c r="D29" s="150">
        <f>SUM(D26:D27)</f>
        <v>0</v>
      </c>
      <c r="E29" s="728"/>
    </row>
    <row r="30" spans="2:5" ht="12.75" hidden="1">
      <c r="B30" s="151"/>
      <c r="C30" s="152"/>
      <c r="D30" s="153"/>
      <c r="E30" s="729"/>
    </row>
    <row r="31" spans="2:5" ht="12.75" hidden="1">
      <c r="B31" s="373"/>
      <c r="C31" s="189"/>
      <c r="D31" s="374"/>
      <c r="E31" s="724"/>
    </row>
    <row r="32" spans="2:5" ht="12.75" hidden="1">
      <c r="B32" s="154"/>
      <c r="C32" s="156" t="s">
        <v>848</v>
      </c>
      <c r="D32" s="157">
        <f>D17+D23+D29</f>
        <v>13919468.09</v>
      </c>
      <c r="E32" s="728"/>
    </row>
    <row r="33" spans="2:5" ht="13.5" hidden="1" thickBot="1">
      <c r="B33" s="164"/>
      <c r="C33" s="198"/>
      <c r="D33" s="166"/>
      <c r="E33" s="724"/>
    </row>
    <row r="34" spans="3:5" ht="12.75" hidden="1">
      <c r="C34" s="158"/>
      <c r="D34" s="133"/>
      <c r="E34" s="230"/>
    </row>
    <row r="35" ht="12.75" hidden="1"/>
    <row r="36" ht="13.5" hidden="1" thickBot="1"/>
    <row r="37" spans="2:5" ht="13.5" customHeight="1" hidden="1">
      <c r="B37" s="972" t="s">
        <v>834</v>
      </c>
      <c r="C37" s="1297"/>
      <c r="D37" s="1295"/>
      <c r="E37" s="730"/>
    </row>
    <row r="38" spans="2:5" ht="12.75" customHeight="1" hidden="1" thickBot="1">
      <c r="B38" s="974"/>
      <c r="C38" s="1298"/>
      <c r="D38" s="1296"/>
      <c r="E38" s="731"/>
    </row>
    <row r="39" spans="2:8" ht="12.75" hidden="1">
      <c r="B39" s="151"/>
      <c r="C39" s="159"/>
      <c r="D39" s="153"/>
      <c r="E39" s="729"/>
      <c r="H39" s="158"/>
    </row>
    <row r="40" spans="2:8" ht="12.75" hidden="1">
      <c r="B40" s="138" t="s">
        <v>836</v>
      </c>
      <c r="C40" s="205" t="s">
        <v>850</v>
      </c>
      <c r="D40" s="168">
        <f>3!D45</f>
        <v>1970039.24</v>
      </c>
      <c r="E40" s="715"/>
      <c r="H40" s="717"/>
    </row>
    <row r="41" spans="2:8" ht="12.75" hidden="1">
      <c r="B41" s="138" t="s">
        <v>837</v>
      </c>
      <c r="C41" s="205" t="s">
        <v>851</v>
      </c>
      <c r="D41" s="168">
        <f>3!D46</f>
        <v>11861299.719999999</v>
      </c>
      <c r="E41" s="715"/>
      <c r="H41" s="717"/>
    </row>
    <row r="42" spans="2:8" ht="12.75" hidden="1">
      <c r="B42" s="138" t="s">
        <v>838</v>
      </c>
      <c r="C42" s="205" t="s">
        <v>311</v>
      </c>
      <c r="D42" s="168">
        <f>3!D47</f>
        <v>3000</v>
      </c>
      <c r="E42" s="715"/>
      <c r="H42" s="717"/>
    </row>
    <row r="43" spans="2:8" ht="12.75" hidden="1">
      <c r="B43" s="138" t="s">
        <v>839</v>
      </c>
      <c r="C43" s="205" t="s">
        <v>852</v>
      </c>
      <c r="D43" s="524">
        <f>3!D48</f>
        <v>0</v>
      </c>
      <c r="E43" s="715"/>
      <c r="H43" s="717"/>
    </row>
    <row r="44" spans="2:8" ht="12.75" hidden="1">
      <c r="B44" s="151"/>
      <c r="C44" s="159"/>
      <c r="D44" s="168"/>
      <c r="E44" s="715"/>
      <c r="H44" s="717"/>
    </row>
    <row r="45" spans="2:5" ht="12.75" hidden="1">
      <c r="B45" s="144" t="s">
        <v>853</v>
      </c>
      <c r="C45" s="206"/>
      <c r="D45" s="150">
        <f>SUM(D40:D43)</f>
        <v>13834338.959999999</v>
      </c>
      <c r="E45" s="728"/>
    </row>
    <row r="46" spans="2:5" ht="12.75" hidden="1">
      <c r="B46" s="147"/>
      <c r="C46" s="207"/>
      <c r="D46" s="170"/>
      <c r="E46" s="729"/>
    </row>
    <row r="47" spans="2:5" ht="12.75" hidden="1">
      <c r="B47" s="151"/>
      <c r="C47" s="159"/>
      <c r="D47" s="153"/>
      <c r="E47" s="729"/>
    </row>
    <row r="48" spans="2:5" ht="12.75" hidden="1">
      <c r="B48" s="138" t="s">
        <v>842</v>
      </c>
      <c r="C48" s="205" t="s">
        <v>855</v>
      </c>
      <c r="D48" s="168">
        <f>'Inv. NO FIN'!C27+'Inv. NO FIN'!E27</f>
        <v>0</v>
      </c>
      <c r="E48" s="715"/>
    </row>
    <row r="49" spans="2:5" ht="12.75" hidden="1">
      <c r="B49" s="138" t="s">
        <v>843</v>
      </c>
      <c r="C49" s="205" t="s">
        <v>856</v>
      </c>
      <c r="D49" s="168">
        <v>0</v>
      </c>
      <c r="E49" s="715"/>
    </row>
    <row r="50" spans="2:5" ht="12.75" hidden="1">
      <c r="B50" s="151"/>
      <c r="C50" s="159"/>
      <c r="D50" s="153"/>
      <c r="E50" s="729"/>
    </row>
    <row r="51" spans="2:5" ht="12.75" hidden="1">
      <c r="B51" s="144" t="s">
        <v>857</v>
      </c>
      <c r="C51" s="206"/>
      <c r="D51" s="150">
        <f>SUM(D48:D49)</f>
        <v>0</v>
      </c>
      <c r="E51" s="728"/>
    </row>
    <row r="52" spans="2:5" ht="12.75" hidden="1">
      <c r="B52" s="147"/>
      <c r="C52" s="207"/>
      <c r="D52" s="170"/>
      <c r="E52" s="729"/>
    </row>
    <row r="53" spans="2:5" ht="12.75" hidden="1">
      <c r="B53" s="151"/>
      <c r="C53" s="159"/>
      <c r="D53" s="153"/>
      <c r="E53" s="729"/>
    </row>
    <row r="54" spans="2:5" ht="12.75" hidden="1">
      <c r="B54" s="138" t="s">
        <v>845</v>
      </c>
      <c r="C54" s="205" t="s">
        <v>859</v>
      </c>
      <c r="D54" s="168">
        <f>'Inv. FIN'!E19+'Inv. FIN'!E26+'Inv. FIN'!E38+'Inv. FIN'!E45</f>
        <v>0</v>
      </c>
      <c r="E54" s="715"/>
    </row>
    <row r="55" spans="2:5" ht="12.75" hidden="1">
      <c r="B55" s="138" t="s">
        <v>846</v>
      </c>
      <c r="C55" s="205" t="s">
        <v>860</v>
      </c>
      <c r="D55" s="168">
        <f>'Deuda L.P.'!L29</f>
        <v>22329.988335565282</v>
      </c>
      <c r="E55" s="715"/>
    </row>
    <row r="56" spans="2:5" ht="12.75" hidden="1">
      <c r="B56" s="151"/>
      <c r="C56" s="159"/>
      <c r="D56" s="153"/>
      <c r="E56" s="729"/>
    </row>
    <row r="57" spans="2:5" ht="12.75" hidden="1">
      <c r="B57" s="144" t="s">
        <v>861</v>
      </c>
      <c r="C57" s="206"/>
      <c r="D57" s="150">
        <f>SUM(D54:D55)</f>
        <v>22329.988335565282</v>
      </c>
      <c r="E57" s="728"/>
    </row>
    <row r="58" spans="2:5" ht="13.5" hidden="1" thickBot="1">
      <c r="B58" s="171"/>
      <c r="C58" s="208"/>
      <c r="D58" s="173"/>
      <c r="E58" s="728"/>
    </row>
    <row r="59" spans="2:5" ht="13.5" hidden="1" thickTop="1">
      <c r="B59" s="161"/>
      <c r="C59" s="199"/>
      <c r="D59" s="163"/>
      <c r="E59" s="724"/>
    </row>
    <row r="60" spans="2:5" ht="12.75" hidden="1">
      <c r="B60" s="154"/>
      <c r="C60" s="200" t="s">
        <v>366</v>
      </c>
      <c r="D60" s="157">
        <f>D45+D51+D57</f>
        <v>13856668.948335564</v>
      </c>
      <c r="E60" s="728"/>
    </row>
    <row r="61" spans="2:5" ht="13.5" hidden="1" thickBot="1">
      <c r="B61" s="164"/>
      <c r="C61" s="165"/>
      <c r="D61" s="166"/>
      <c r="E61" s="724"/>
    </row>
    <row r="62" spans="3:5" ht="12.75" hidden="1">
      <c r="C62" s="174"/>
      <c r="D62" s="133"/>
      <c r="E62" s="230"/>
    </row>
  </sheetData>
  <sheetProtection password="CF7A" sheet="1" objects="1" scenarios="1" selectLockedCells="1" selectUnlockedCells="1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1"/>
  <headerFooter alignWithMargins="0">
    <oddFooter>&amp;L&amp;7Plaza de España, 1
38003 Santa Cruz de Tenerife
Teléfono: 901 501 901
www.tenerife.es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B2:G93"/>
  <sheetViews>
    <sheetView zoomScalePageLayoutView="0" workbookViewId="0" topLeftCell="A65536">
      <selection activeCell="J28" sqref="J28"/>
    </sheetView>
  </sheetViews>
  <sheetFormatPr defaultColWidth="11.57421875" defaultRowHeight="12.75" zeroHeight="1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57421875" style="133" customWidth="1"/>
  </cols>
  <sheetData>
    <row r="1" ht="19.5" customHeight="1" hidden="1"/>
    <row r="2" spans="2:6" ht="12.75" hidden="1">
      <c r="B2" s="941" t="s">
        <v>781</v>
      </c>
      <c r="C2" s="941"/>
      <c r="D2" s="941"/>
      <c r="E2" s="132"/>
      <c r="F2" s="132"/>
    </row>
    <row r="3" spans="2:6" ht="12.75" hidden="1">
      <c r="B3" s="183"/>
      <c r="C3" s="183"/>
      <c r="D3" s="183"/>
      <c r="E3" s="132"/>
      <c r="F3" s="132"/>
    </row>
    <row r="4" spans="2:6" ht="16.5" hidden="1">
      <c r="B4" s="935" t="s">
        <v>56</v>
      </c>
      <c r="C4" s="936"/>
      <c r="D4" s="934"/>
      <c r="E4" s="132"/>
      <c r="F4" s="132"/>
    </row>
    <row r="5" spans="2:6" ht="13.5" hidden="1" thickBot="1">
      <c r="B5" s="184"/>
      <c r="C5" s="184"/>
      <c r="E5" s="132"/>
      <c r="F5" s="132"/>
    </row>
    <row r="6" spans="2:4" ht="15.75" hidden="1" thickBot="1">
      <c r="B6" s="933" t="s">
        <v>649</v>
      </c>
      <c r="C6" s="931"/>
      <c r="D6" s="932"/>
    </row>
    <row r="7" ht="15" customHeight="1" hidden="1" thickBot="1"/>
    <row r="8" spans="2:4" ht="12.75" hidden="1">
      <c r="B8" s="972" t="s">
        <v>834</v>
      </c>
      <c r="C8" s="973"/>
      <c r="D8" s="1301"/>
    </row>
    <row r="9" spans="2:4" ht="13.5" customHeight="1" hidden="1" thickBot="1">
      <c r="B9" s="974"/>
      <c r="C9" s="975"/>
      <c r="D9" s="1302"/>
    </row>
    <row r="10" spans="2:4" ht="12.75" customHeight="1" hidden="1">
      <c r="B10" s="151"/>
      <c r="C10" s="152"/>
      <c r="D10" s="160"/>
    </row>
    <row r="11" spans="2:7" ht="12.75" hidden="1">
      <c r="B11" s="138" t="s">
        <v>836</v>
      </c>
      <c r="C11" s="139" t="s">
        <v>39</v>
      </c>
      <c r="D11" s="525">
        <v>0</v>
      </c>
      <c r="F11" s="169"/>
      <c r="G11" s="169"/>
    </row>
    <row r="12" spans="2:7" ht="12.75" hidden="1">
      <c r="B12" s="138" t="s">
        <v>837</v>
      </c>
      <c r="C12" s="139" t="s">
        <v>40</v>
      </c>
      <c r="D12" s="525">
        <v>0</v>
      </c>
      <c r="F12" s="169"/>
      <c r="G12" s="169"/>
    </row>
    <row r="13" spans="2:7" ht="12.75" hidden="1">
      <c r="B13" s="138" t="s">
        <v>838</v>
      </c>
      <c r="C13" s="139" t="s">
        <v>41</v>
      </c>
      <c r="D13" s="525">
        <f>CPYG!D12+CPYG!D38+CPYG!D36</f>
        <v>1528419.2999999998</v>
      </c>
      <c r="F13" s="169"/>
      <c r="G13" s="169"/>
    </row>
    <row r="14" spans="2:7" ht="12.75" hidden="1">
      <c r="B14" s="138" t="s">
        <v>839</v>
      </c>
      <c r="C14" s="139" t="s">
        <v>42</v>
      </c>
      <c r="D14" s="525">
        <f>CPYG!D39</f>
        <v>10484852.78</v>
      </c>
      <c r="F14" s="169"/>
      <c r="G14" s="169"/>
    </row>
    <row r="15" spans="2:7" ht="12.75" hidden="1">
      <c r="B15" s="138" t="s">
        <v>840</v>
      </c>
      <c r="C15" s="139" t="s">
        <v>43</v>
      </c>
      <c r="D15" s="525">
        <f>CPYG!D37+CPYG!D84+CPYG!D87+CPYG!D103</f>
        <v>3000</v>
      </c>
      <c r="F15" s="169"/>
      <c r="G15" s="169"/>
    </row>
    <row r="16" spans="2:7" ht="12.75" hidden="1">
      <c r="B16" s="141"/>
      <c r="C16" s="142"/>
      <c r="D16" s="526"/>
      <c r="F16" s="169"/>
      <c r="G16" s="169"/>
    </row>
    <row r="17" spans="2:6" ht="12.75" hidden="1">
      <c r="B17" s="144" t="s">
        <v>841</v>
      </c>
      <c r="C17" s="145"/>
      <c r="D17" s="527">
        <f>SUM(D11:D15)</f>
        <v>12016272.079999998</v>
      </c>
      <c r="F17" s="169"/>
    </row>
    <row r="18" spans="2:4" ht="12.75" hidden="1">
      <c r="B18" s="147"/>
      <c r="C18" s="148"/>
      <c r="D18" s="528"/>
    </row>
    <row r="19" spans="2:4" ht="12.75" hidden="1">
      <c r="B19" s="141"/>
      <c r="C19" s="142"/>
      <c r="D19" s="526"/>
    </row>
    <row r="20" spans="2:4" ht="12.75" hidden="1">
      <c r="B20" s="138" t="s">
        <v>842</v>
      </c>
      <c r="C20" s="139" t="s">
        <v>44</v>
      </c>
      <c r="D20" s="526"/>
    </row>
    <row r="21" spans="2:4" ht="12.75" hidden="1">
      <c r="B21" s="138" t="s">
        <v>843</v>
      </c>
      <c r="C21" s="139" t="s">
        <v>45</v>
      </c>
      <c r="D21" s="526"/>
    </row>
    <row r="22" spans="2:4" ht="12.75" hidden="1">
      <c r="B22" s="141"/>
      <c r="C22" s="142"/>
      <c r="D22" s="526"/>
    </row>
    <row r="23" spans="2:4" ht="12.75" hidden="1">
      <c r="B23" s="144" t="s">
        <v>844</v>
      </c>
      <c r="C23" s="145"/>
      <c r="D23" s="527">
        <f>+D20+D21</f>
        <v>0</v>
      </c>
    </row>
    <row r="24" spans="2:4" ht="12.75" hidden="1">
      <c r="B24" s="147"/>
      <c r="C24" s="148"/>
      <c r="D24" s="528"/>
    </row>
    <row r="25" spans="2:4" ht="12.75" hidden="1">
      <c r="B25" s="141"/>
      <c r="C25" s="142"/>
      <c r="D25" s="526"/>
    </row>
    <row r="26" spans="2:4" ht="12.75" hidden="1">
      <c r="B26" s="138" t="s">
        <v>845</v>
      </c>
      <c r="C26" s="139" t="s">
        <v>46</v>
      </c>
      <c r="D26" s="525"/>
    </row>
    <row r="27" spans="2:4" ht="12.75" hidden="1">
      <c r="B27" s="138" t="s">
        <v>846</v>
      </c>
      <c r="C27" s="139" t="s">
        <v>47</v>
      </c>
      <c r="D27" s="525"/>
    </row>
    <row r="28" spans="2:4" ht="12.75" hidden="1">
      <c r="B28" s="141"/>
      <c r="C28" s="142"/>
      <c r="D28" s="526"/>
    </row>
    <row r="29" spans="2:4" ht="13.5" hidden="1" thickBot="1">
      <c r="B29" s="204" t="s">
        <v>847</v>
      </c>
      <c r="C29" s="530"/>
      <c r="D29" s="529">
        <f>+D27+D26</f>
        <v>0</v>
      </c>
    </row>
    <row r="30" spans="2:4" ht="13.5" hidden="1" thickBot="1">
      <c r="B30" s="151"/>
      <c r="C30" s="159"/>
      <c r="D30" s="160"/>
    </row>
    <row r="31" spans="2:4" ht="12.75" hidden="1">
      <c r="B31" s="161"/>
      <c r="C31" s="162"/>
      <c r="D31" s="531"/>
    </row>
    <row r="32" spans="2:4" ht="12.75" hidden="1">
      <c r="B32" s="154"/>
      <c r="C32" s="156" t="s">
        <v>848</v>
      </c>
      <c r="D32" s="532">
        <f>+D29+D23+D17</f>
        <v>12016272.079999998</v>
      </c>
    </row>
    <row r="33" spans="2:4" ht="13.5" hidden="1" thickBot="1">
      <c r="B33" s="164"/>
      <c r="C33" s="198"/>
      <c r="D33" s="533"/>
    </row>
    <row r="34" spans="2:4" ht="12.75" hidden="1">
      <c r="B34" s="201"/>
      <c r="C34" s="536"/>
      <c r="D34" s="534"/>
    </row>
    <row r="35" spans="2:4" ht="12.75" hidden="1">
      <c r="B35" s="195"/>
      <c r="C35" s="196" t="s">
        <v>849</v>
      </c>
      <c r="D35" s="160">
        <f>CPYG!D26+CPYG!D28+CPYG!D70+CPYG!D64+CPYG!D63+CPYG!D95+CPYG!D74+CPYG!D90</f>
        <v>5840.49</v>
      </c>
    </row>
    <row r="36" spans="2:4" ht="13.5" hidden="1" thickBot="1">
      <c r="B36" s="203"/>
      <c r="C36" s="537"/>
      <c r="D36" s="535"/>
    </row>
    <row r="37" spans="2:4" ht="12.75" hidden="1">
      <c r="B37" s="161"/>
      <c r="C37" s="162"/>
      <c r="D37" s="531"/>
    </row>
    <row r="38" spans="2:4" ht="12.75" hidden="1">
      <c r="B38" s="1299" t="s">
        <v>650</v>
      </c>
      <c r="C38" s="1300"/>
      <c r="D38" s="532">
        <f>D32+D35</f>
        <v>12022112.569999998</v>
      </c>
    </row>
    <row r="39" spans="2:4" ht="13.5" hidden="1" thickBot="1">
      <c r="B39" s="164"/>
      <c r="C39" s="198"/>
      <c r="D39" s="533"/>
    </row>
    <row r="40" ht="12.75" hidden="1"/>
    <row r="41" ht="13.5" hidden="1" thickBot="1"/>
    <row r="42" spans="2:4" ht="12.75" hidden="1">
      <c r="B42" s="972" t="s">
        <v>834</v>
      </c>
      <c r="C42" s="973"/>
      <c r="D42" s="1303"/>
    </row>
    <row r="43" spans="2:4" ht="13.5" customHeight="1" hidden="1" thickBot="1">
      <c r="B43" s="974"/>
      <c r="C43" s="975"/>
      <c r="D43" s="1304"/>
    </row>
    <row r="44" spans="2:4" ht="12.75" customHeight="1" hidden="1">
      <c r="B44" s="151"/>
      <c r="C44" s="152"/>
      <c r="D44" s="538"/>
    </row>
    <row r="45" spans="2:4" ht="12.75" hidden="1">
      <c r="B45" s="138" t="s">
        <v>836</v>
      </c>
      <c r="C45" s="167" t="s">
        <v>850</v>
      </c>
      <c r="D45" s="539">
        <f>-CPYG!D46+CPYG!D52</f>
        <v>1970039.24</v>
      </c>
    </row>
    <row r="46" spans="2:4" ht="12.75" hidden="1">
      <c r="B46" s="138" t="s">
        <v>837</v>
      </c>
      <c r="C46" s="167" t="s">
        <v>851</v>
      </c>
      <c r="D46" s="540">
        <f>-CPYG!D29+CPYG!D33-CPYG!D55-CPYG!D56-CPYG!D107-CPYG!D58</f>
        <v>11861299.719999999</v>
      </c>
    </row>
    <row r="47" spans="2:4" ht="12.75" hidden="1">
      <c r="B47" s="138" t="s">
        <v>838</v>
      </c>
      <c r="C47" s="167" t="s">
        <v>311</v>
      </c>
      <c r="D47" s="540">
        <f>-CPYG!D92-CPYG!D93-CPYG!D104</f>
        <v>3000</v>
      </c>
    </row>
    <row r="48" spans="2:4" ht="12.75" hidden="1">
      <c r="B48" s="138" t="s">
        <v>839</v>
      </c>
      <c r="C48" s="167" t="s">
        <v>852</v>
      </c>
      <c r="D48" s="540">
        <f>CPYG!D75</f>
        <v>0</v>
      </c>
    </row>
    <row r="49" spans="2:4" ht="12.75" hidden="1">
      <c r="B49" s="151"/>
      <c r="C49" s="152"/>
      <c r="D49" s="540"/>
    </row>
    <row r="50" spans="2:4" ht="12.75" hidden="1">
      <c r="B50" s="144" t="s">
        <v>853</v>
      </c>
      <c r="C50" s="145"/>
      <c r="D50" s="541">
        <f>SUM(D45:D48)</f>
        <v>13834338.959999999</v>
      </c>
    </row>
    <row r="51" spans="2:4" ht="12.75" hidden="1">
      <c r="B51" s="147"/>
      <c r="C51" s="148"/>
      <c r="D51" s="542"/>
    </row>
    <row r="52" spans="2:4" ht="12.75" hidden="1">
      <c r="B52" s="151"/>
      <c r="C52" s="152"/>
      <c r="D52" s="538"/>
    </row>
    <row r="53" spans="2:4" ht="12.75" hidden="1">
      <c r="B53" s="138" t="s">
        <v>842</v>
      </c>
      <c r="C53" s="167" t="s">
        <v>855</v>
      </c>
      <c r="D53" s="540"/>
    </row>
    <row r="54" spans="2:4" ht="12.75" hidden="1">
      <c r="B54" s="138" t="s">
        <v>843</v>
      </c>
      <c r="C54" s="167" t="s">
        <v>856</v>
      </c>
      <c r="D54" s="540"/>
    </row>
    <row r="55" spans="2:4" ht="12.75" hidden="1">
      <c r="B55" s="151"/>
      <c r="C55" s="152"/>
      <c r="D55" s="538"/>
    </row>
    <row r="56" spans="2:4" ht="12.75" hidden="1">
      <c r="B56" s="144" t="s">
        <v>857</v>
      </c>
      <c r="C56" s="145"/>
      <c r="D56" s="541">
        <f>+D54+D53</f>
        <v>0</v>
      </c>
    </row>
    <row r="57" spans="2:4" ht="12.75" hidden="1">
      <c r="B57" s="147"/>
      <c r="C57" s="148"/>
      <c r="D57" s="542"/>
    </row>
    <row r="58" spans="2:4" ht="12.75" hidden="1">
      <c r="B58" s="151"/>
      <c r="C58" s="152"/>
      <c r="D58" s="538"/>
    </row>
    <row r="59" spans="2:4" ht="12.75" hidden="1">
      <c r="B59" s="138" t="s">
        <v>845</v>
      </c>
      <c r="C59" s="167" t="s">
        <v>859</v>
      </c>
      <c r="D59" s="540"/>
    </row>
    <row r="60" spans="2:4" ht="12.75" hidden="1">
      <c r="B60" s="138" t="s">
        <v>846</v>
      </c>
      <c r="C60" s="167" t="s">
        <v>860</v>
      </c>
      <c r="D60" s="540"/>
    </row>
    <row r="61" spans="2:4" ht="12.75" hidden="1">
      <c r="B61" s="151"/>
      <c r="C61" s="152"/>
      <c r="D61" s="538"/>
    </row>
    <row r="62" spans="2:4" ht="13.5" hidden="1" thickBot="1">
      <c r="B62" s="204" t="s">
        <v>861</v>
      </c>
      <c r="C62" s="530"/>
      <c r="D62" s="529">
        <f>+D60+D59</f>
        <v>0</v>
      </c>
    </row>
    <row r="63" spans="2:4" ht="14.25" customHeight="1" hidden="1" thickBot="1">
      <c r="B63" s="151"/>
      <c r="C63" s="159"/>
      <c r="D63" s="160"/>
    </row>
    <row r="64" spans="2:4" ht="14.25" customHeight="1" hidden="1">
      <c r="B64" s="161"/>
      <c r="C64" s="162"/>
      <c r="D64" s="531"/>
    </row>
    <row r="65" spans="2:4" ht="12.75" hidden="1">
      <c r="B65" s="154"/>
      <c r="C65" s="156" t="s">
        <v>864</v>
      </c>
      <c r="D65" s="532">
        <f>+D62+D56+D50</f>
        <v>13834338.959999999</v>
      </c>
    </row>
    <row r="66" spans="2:4" ht="13.5" hidden="1" thickBot="1">
      <c r="B66" s="164"/>
      <c r="C66" s="198"/>
      <c r="D66" s="533"/>
    </row>
    <row r="67" spans="2:4" ht="12.75" hidden="1">
      <c r="B67" s="202"/>
      <c r="C67" s="547"/>
      <c r="D67" s="543"/>
    </row>
    <row r="68" spans="2:4" ht="12.75" hidden="1">
      <c r="B68" s="195"/>
      <c r="C68" s="196" t="s">
        <v>863</v>
      </c>
      <c r="D68" s="544">
        <f>-CPYG!D27-CPYG!D33-CPYG!D66-CPYG!D52-CPYG!D59-CPYG!D57-CPYG!D94-CPYG!D98-CPYG!D99</f>
        <v>90969.62</v>
      </c>
    </row>
    <row r="69" spans="2:4" ht="14.25" customHeight="1" hidden="1" thickBot="1">
      <c r="B69" s="203"/>
      <c r="C69" s="537"/>
      <c r="D69" s="545"/>
    </row>
    <row r="70" spans="2:4" ht="14.25" customHeight="1" hidden="1">
      <c r="B70" s="154"/>
      <c r="C70" s="548"/>
      <c r="D70" s="546"/>
    </row>
    <row r="71" spans="2:4" ht="12.75" hidden="1">
      <c r="B71" s="1299" t="s">
        <v>651</v>
      </c>
      <c r="C71" s="1300"/>
      <c r="D71" s="532">
        <f>D65+D68</f>
        <v>13925308.579999998</v>
      </c>
    </row>
    <row r="72" spans="2:4" ht="13.5" hidden="1" thickBot="1">
      <c r="B72" s="164"/>
      <c r="C72" s="198"/>
      <c r="D72" s="533"/>
    </row>
    <row r="73" spans="2:3" ht="12.75" hidden="1">
      <c r="B73" s="158"/>
      <c r="C73" s="158"/>
    </row>
    <row r="74" spans="3:4" ht="12.75" hidden="1">
      <c r="C74" s="185" t="s">
        <v>257</v>
      </c>
      <c r="D74" s="186">
        <f>D38-D71</f>
        <v>-1903196.0099999998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38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873</v>
      </c>
      <c r="D81" s="133"/>
    </row>
    <row r="82" spans="3:4" ht="12.75" hidden="1">
      <c r="C82" s="181" t="s">
        <v>258</v>
      </c>
      <c r="D82" s="133"/>
    </row>
    <row r="83" spans="3:4" ht="18" customHeight="1" hidden="1">
      <c r="C83" s="181" t="s">
        <v>259</v>
      </c>
      <c r="D83" s="133"/>
    </row>
    <row r="84" spans="3:4" ht="18" customHeight="1" hidden="1">
      <c r="C84" s="181" t="s">
        <v>252</v>
      </c>
      <c r="D84" s="133"/>
    </row>
    <row r="85" spans="3:4" ht="18" customHeight="1" hidden="1">
      <c r="C85" s="181" t="s">
        <v>260</v>
      </c>
      <c r="D85" s="133"/>
    </row>
    <row r="86" spans="3:4" ht="18" customHeight="1" hidden="1">
      <c r="C86" s="181" t="s">
        <v>253</v>
      </c>
      <c r="D86" s="133"/>
    </row>
    <row r="87" spans="3:4" ht="18" customHeight="1" hidden="1">
      <c r="C87" s="132" t="s">
        <v>254</v>
      </c>
      <c r="D87" s="133"/>
    </row>
    <row r="88" spans="3:4" ht="21" customHeight="1" hidden="1">
      <c r="C88" s="182"/>
      <c r="D88" s="133"/>
    </row>
    <row r="89" ht="12.75" hidden="1">
      <c r="D89" s="133"/>
    </row>
    <row r="90" ht="12.75" hidden="1">
      <c r="D90" s="133"/>
    </row>
    <row r="91" spans="3:4" ht="12.75" hidden="1">
      <c r="C91" s="713" t="s">
        <v>825</v>
      </c>
      <c r="D91" s="187">
        <f>SUM(D92:D93)</f>
        <v>0</v>
      </c>
    </row>
    <row r="92" spans="3:4" ht="12.75" hidden="1">
      <c r="C92" s="714" t="s">
        <v>815</v>
      </c>
      <c r="D92" s="187">
        <f>CPYG!D80</f>
        <v>0</v>
      </c>
    </row>
    <row r="93" spans="3:4" ht="12.75" customHeight="1" hidden="1">
      <c r="C93" s="714" t="s">
        <v>816</v>
      </c>
      <c r="D93" s="188"/>
    </row>
  </sheetData>
  <sheetProtection password="CF7A" sheet="1" objects="1" scenarios="1" selectLockedCells="1" selectUnlockedCells="1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1"/>
  <headerFooter alignWithMargins="0">
    <oddFooter>&amp;L&amp;7Plaza de España, 1
38003 Santa Cruz de Tenerife
Teléfono: 901 501 901
www.tenerife.es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zoomScale="85" zoomScaleNormal="85" zoomScalePageLayoutView="0" workbookViewId="0" topLeftCell="A1">
      <selection activeCell="C4" sqref="C4"/>
    </sheetView>
  </sheetViews>
  <sheetFormatPr defaultColWidth="11.57421875" defaultRowHeight="12.75"/>
  <cols>
    <col min="1" max="1" width="51.8515625" style="787" customWidth="1"/>
    <col min="2" max="2" width="18.28125" style="787" customWidth="1"/>
    <col min="3" max="3" width="19.57421875" style="787" customWidth="1"/>
    <col min="4" max="4" width="19.421875" style="787" customWidth="1"/>
    <col min="5" max="5" width="18.421875" style="787" customWidth="1"/>
    <col min="6" max="16384" width="11.57421875" style="787" customWidth="1"/>
  </cols>
  <sheetData>
    <row r="1" spans="1:5" ht="12.75">
      <c r="A1" s="822"/>
      <c r="B1" s="825" t="s">
        <v>674</v>
      </c>
      <c r="C1" s="822"/>
      <c r="D1" s="822"/>
      <c r="E1" s="822"/>
    </row>
    <row r="2" spans="1:5" ht="12.75">
      <c r="A2" s="822"/>
      <c r="B2" s="826" t="s">
        <v>675</v>
      </c>
      <c r="C2" s="822"/>
      <c r="D2" s="822"/>
      <c r="E2" s="822"/>
    </row>
    <row r="3" spans="1:5" ht="12.75">
      <c r="A3" s="822"/>
      <c r="B3" s="822"/>
      <c r="C3" s="822"/>
      <c r="D3" s="822"/>
      <c r="E3" s="822"/>
    </row>
    <row r="4" spans="1:4" ht="12.75">
      <c r="A4" s="822" t="s">
        <v>525</v>
      </c>
      <c r="B4" s="822"/>
      <c r="C4" s="827">
        <v>42339</v>
      </c>
      <c r="D4" s="822"/>
    </row>
    <row r="5" spans="1:4" ht="12.75">
      <c r="A5" s="822" t="s">
        <v>673</v>
      </c>
      <c r="B5" s="822"/>
      <c r="C5" s="828" t="s">
        <v>676</v>
      </c>
      <c r="D5" s="822"/>
    </row>
    <row r="6" ht="13.5" thickBot="1"/>
    <row r="7" spans="1:5" ht="24.75" customHeight="1">
      <c r="A7" s="943" t="str">
        <f>'ORGANOS DE GOBIERNO'!A9:H9</f>
        <v>SPET, TURISMO DE TENERIFE, S.A.</v>
      </c>
      <c r="B7" s="944"/>
      <c r="C7" s="944"/>
      <c r="D7" s="944"/>
      <c r="E7" s="945"/>
    </row>
    <row r="8" spans="1:5" ht="24.75" customHeight="1">
      <c r="A8" s="788"/>
      <c r="B8" s="789"/>
      <c r="C8" s="789"/>
      <c r="D8" s="789"/>
      <c r="E8" s="790"/>
    </row>
    <row r="9" spans="1:5" ht="15" customHeight="1">
      <c r="A9" s="791" t="s">
        <v>765</v>
      </c>
      <c r="B9" s="789"/>
      <c r="C9" s="789"/>
      <c r="D9" s="789"/>
      <c r="E9" s="790"/>
    </row>
    <row r="10" spans="1:5" ht="15" customHeight="1">
      <c r="A10" s="792"/>
      <c r="B10" s="793"/>
      <c r="C10" s="789"/>
      <c r="D10" s="789"/>
      <c r="E10" s="790"/>
    </row>
    <row r="11" spans="1:5" ht="28.5" customHeight="1">
      <c r="A11" s="794" t="s">
        <v>766</v>
      </c>
      <c r="B11" s="795" t="s">
        <v>767</v>
      </c>
      <c r="C11" s="796" t="s">
        <v>768</v>
      </c>
      <c r="D11" s="796" t="s">
        <v>769</v>
      </c>
      <c r="E11" s="797" t="s">
        <v>770</v>
      </c>
    </row>
    <row r="12" spans="1:5" ht="15" customHeight="1">
      <c r="A12" s="792" t="s">
        <v>708</v>
      </c>
      <c r="B12" s="841">
        <v>0.913</v>
      </c>
      <c r="C12" s="844">
        <v>212</v>
      </c>
      <c r="D12" s="842">
        <f>+B12*691163.8</f>
        <v>631032.5494</v>
      </c>
      <c r="E12" s="846">
        <f>1039423.73*(C12/230)</f>
        <v>958077.5250434782</v>
      </c>
    </row>
    <row r="13" spans="1:5" ht="15" customHeight="1">
      <c r="A13" s="792" t="s">
        <v>132</v>
      </c>
      <c r="B13" s="840">
        <v>0.02173913043478261</v>
      </c>
      <c r="C13" s="845">
        <v>4</v>
      </c>
      <c r="D13" s="843">
        <f aca="true" t="shared" si="0" ref="D13:D22">+B13*691163.8</f>
        <v>15025.300000000003</v>
      </c>
      <c r="E13" s="846">
        <f aca="true" t="shared" si="1" ref="E13:E22">1039423.73*(C13/230)</f>
        <v>18076.934434782608</v>
      </c>
    </row>
    <row r="14" spans="1:5" ht="15" customHeight="1">
      <c r="A14" s="792" t="s">
        <v>133</v>
      </c>
      <c r="B14" s="840">
        <v>0.02173913043478261</v>
      </c>
      <c r="C14" s="845">
        <v>4</v>
      </c>
      <c r="D14" s="843">
        <f t="shared" si="0"/>
        <v>15025.300000000003</v>
      </c>
      <c r="E14" s="846">
        <f t="shared" si="1"/>
        <v>18076.934434782608</v>
      </c>
    </row>
    <row r="15" spans="1:5" ht="15" customHeight="1">
      <c r="A15" s="792" t="s">
        <v>134</v>
      </c>
      <c r="B15" s="840">
        <v>0.008695652173913044</v>
      </c>
      <c r="C15" s="845">
        <v>2</v>
      </c>
      <c r="D15" s="843">
        <f t="shared" si="0"/>
        <v>6010.120000000001</v>
      </c>
      <c r="E15" s="846">
        <f t="shared" si="1"/>
        <v>9038.467217391304</v>
      </c>
    </row>
    <row r="16" spans="1:5" ht="15" customHeight="1">
      <c r="A16" s="792" t="s">
        <v>135</v>
      </c>
      <c r="B16" s="840">
        <v>0.008695652173913044</v>
      </c>
      <c r="C16" s="845">
        <v>2</v>
      </c>
      <c r="D16" s="843">
        <f t="shared" si="0"/>
        <v>6010.120000000001</v>
      </c>
      <c r="E16" s="846">
        <f t="shared" si="1"/>
        <v>9038.467217391304</v>
      </c>
    </row>
    <row r="17" spans="1:5" ht="15" customHeight="1">
      <c r="A17" s="792" t="s">
        <v>136</v>
      </c>
      <c r="B17" s="840">
        <v>0.004347826086956522</v>
      </c>
      <c r="C17" s="845">
        <v>1</v>
      </c>
      <c r="D17" s="843">
        <f t="shared" si="0"/>
        <v>3005.0600000000004</v>
      </c>
      <c r="E17" s="846">
        <f t="shared" si="1"/>
        <v>4519.233608695652</v>
      </c>
    </row>
    <row r="18" spans="1:5" ht="15" customHeight="1">
      <c r="A18" s="792" t="s">
        <v>137</v>
      </c>
      <c r="B18" s="840">
        <v>0.004347826086956522</v>
      </c>
      <c r="C18" s="845">
        <v>1</v>
      </c>
      <c r="D18" s="843">
        <f t="shared" si="0"/>
        <v>3005.0600000000004</v>
      </c>
      <c r="E18" s="846">
        <f t="shared" si="1"/>
        <v>4519.233608695652</v>
      </c>
    </row>
    <row r="19" spans="1:5" ht="15" customHeight="1">
      <c r="A19" s="792" t="s">
        <v>138</v>
      </c>
      <c r="B19" s="840">
        <v>0.004347826086956522</v>
      </c>
      <c r="C19" s="845">
        <v>1</v>
      </c>
      <c r="D19" s="843">
        <f t="shared" si="0"/>
        <v>3005.0600000000004</v>
      </c>
      <c r="E19" s="846">
        <f t="shared" si="1"/>
        <v>4519.233608695652</v>
      </c>
    </row>
    <row r="20" spans="1:5" ht="15" customHeight="1">
      <c r="A20" s="792" t="s">
        <v>139</v>
      </c>
      <c r="B20" s="840">
        <v>0.004347826086956522</v>
      </c>
      <c r="C20" s="845">
        <v>1</v>
      </c>
      <c r="D20" s="843">
        <f t="shared" si="0"/>
        <v>3005.0600000000004</v>
      </c>
      <c r="E20" s="846">
        <f t="shared" si="1"/>
        <v>4519.233608695652</v>
      </c>
    </row>
    <row r="21" spans="1:5" ht="15" customHeight="1">
      <c r="A21" s="792" t="s">
        <v>140</v>
      </c>
      <c r="B21" s="840">
        <v>0.004347826086956522</v>
      </c>
      <c r="C21" s="845">
        <v>1</v>
      </c>
      <c r="D21" s="843">
        <f t="shared" si="0"/>
        <v>3005.0600000000004</v>
      </c>
      <c r="E21" s="846">
        <f t="shared" si="1"/>
        <v>4519.233608695652</v>
      </c>
    </row>
    <row r="22" spans="1:5" ht="15" customHeight="1">
      <c r="A22" s="792" t="s">
        <v>141</v>
      </c>
      <c r="B22" s="840">
        <v>0.004347826086956522</v>
      </c>
      <c r="C22" s="845">
        <v>1</v>
      </c>
      <c r="D22" s="843">
        <f t="shared" si="0"/>
        <v>3005.0600000000004</v>
      </c>
      <c r="E22" s="846">
        <f t="shared" si="1"/>
        <v>4519.233608695652</v>
      </c>
    </row>
    <row r="23" spans="1:5" ht="15" customHeight="1">
      <c r="A23" s="802"/>
      <c r="B23" s="789"/>
      <c r="C23" s="799"/>
      <c r="D23" s="800"/>
      <c r="E23" s="801"/>
    </row>
    <row r="24" spans="1:5" ht="15" customHeight="1">
      <c r="A24" s="791" t="s">
        <v>771</v>
      </c>
      <c r="B24" s="789"/>
      <c r="C24" s="789"/>
      <c r="D24" s="800"/>
      <c r="E24" s="801"/>
    </row>
    <row r="25" spans="1:5" ht="15" customHeight="1">
      <c r="A25" s="802"/>
      <c r="B25" s="789"/>
      <c r="C25" s="789"/>
      <c r="D25" s="789"/>
      <c r="E25" s="790"/>
    </row>
    <row r="26" spans="1:5" ht="28.5" customHeight="1">
      <c r="A26" s="794" t="s">
        <v>772</v>
      </c>
      <c r="B26" s="795" t="s">
        <v>767</v>
      </c>
      <c r="C26" s="795" t="s">
        <v>768</v>
      </c>
      <c r="D26" s="795" t="s">
        <v>769</v>
      </c>
      <c r="E26" s="797" t="s">
        <v>773</v>
      </c>
    </row>
    <row r="27" spans="1:5" ht="15" customHeight="1">
      <c r="A27" s="792" t="s">
        <v>142</v>
      </c>
      <c r="B27" s="847">
        <v>0.41</v>
      </c>
      <c r="C27" s="789"/>
      <c r="D27" s="843">
        <v>110000</v>
      </c>
      <c r="E27" s="861">
        <v>0</v>
      </c>
    </row>
    <row r="28" spans="1:5" ht="15" customHeight="1">
      <c r="A28" s="792"/>
      <c r="B28" s="798"/>
      <c r="C28" s="789"/>
      <c r="D28" s="789"/>
      <c r="E28" s="790"/>
    </row>
    <row r="29" spans="1:5" ht="15" customHeight="1">
      <c r="A29" s="792"/>
      <c r="B29" s="798"/>
      <c r="C29" s="789"/>
      <c r="D29" s="789"/>
      <c r="E29" s="790"/>
    </row>
    <row r="30" spans="1:5" ht="15" customHeight="1">
      <c r="A30" s="792"/>
      <c r="B30" s="798"/>
      <c r="C30" s="789"/>
      <c r="D30" s="789"/>
      <c r="E30" s="790"/>
    </row>
    <row r="31" spans="1:5" ht="15" customHeight="1">
      <c r="A31" s="792"/>
      <c r="B31" s="793"/>
      <c r="C31" s="789"/>
      <c r="D31" s="789"/>
      <c r="E31" s="790"/>
    </row>
    <row r="32" spans="1:5" ht="15" customHeight="1">
      <c r="A32" s="792"/>
      <c r="B32" s="793"/>
      <c r="C32" s="789"/>
      <c r="D32" s="789"/>
      <c r="E32" s="790"/>
    </row>
    <row r="33" spans="1:5" ht="15" customHeight="1">
      <c r="A33" s="802"/>
      <c r="B33" s="789"/>
      <c r="C33" s="789"/>
      <c r="D33" s="789"/>
      <c r="E33" s="790"/>
    </row>
    <row r="34" spans="1:5" ht="15" customHeight="1">
      <c r="A34" s="792"/>
      <c r="B34" s="793"/>
      <c r="C34" s="789"/>
      <c r="D34" s="789"/>
      <c r="E34" s="790"/>
    </row>
    <row r="35" spans="1:5" ht="15" customHeight="1">
      <c r="A35" s="792"/>
      <c r="B35" s="793"/>
      <c r="C35" s="789"/>
      <c r="D35" s="789"/>
      <c r="E35" s="790"/>
    </row>
    <row r="36" spans="1:5" ht="15" customHeight="1">
      <c r="A36" s="791" t="s">
        <v>774</v>
      </c>
      <c r="B36" s="789"/>
      <c r="C36" s="789"/>
      <c r="D36" s="789"/>
      <c r="E36" s="790"/>
    </row>
    <row r="37" spans="1:5" ht="15" customHeight="1">
      <c r="A37" s="791"/>
      <c r="B37" s="789"/>
      <c r="C37" s="789"/>
      <c r="D37" s="789"/>
      <c r="E37" s="790"/>
    </row>
    <row r="38" spans="1:5" ht="29.25" customHeight="1">
      <c r="A38" s="803" t="s">
        <v>775</v>
      </c>
      <c r="B38" s="804" t="s">
        <v>776</v>
      </c>
      <c r="C38" s="805" t="s">
        <v>777</v>
      </c>
      <c r="D38" s="789"/>
      <c r="E38" s="790"/>
    </row>
    <row r="39" spans="1:5" ht="16.5" customHeight="1">
      <c r="A39" s="792" t="s">
        <v>143</v>
      </c>
      <c r="B39" s="807" t="s">
        <v>778</v>
      </c>
      <c r="C39" s="808"/>
      <c r="D39" s="789"/>
      <c r="E39" s="790"/>
    </row>
    <row r="40" spans="1:5" ht="15" customHeight="1">
      <c r="A40" s="792" t="s">
        <v>144</v>
      </c>
      <c r="B40" s="793" t="s">
        <v>156</v>
      </c>
      <c r="C40" s="808"/>
      <c r="D40" s="789"/>
      <c r="E40" s="790"/>
    </row>
    <row r="41" spans="1:5" ht="15" customHeight="1">
      <c r="A41" s="792" t="s">
        <v>145</v>
      </c>
      <c r="B41" s="793" t="s">
        <v>157</v>
      </c>
      <c r="C41" s="808"/>
      <c r="D41" s="789"/>
      <c r="E41" s="790"/>
    </row>
    <row r="42" spans="1:5" ht="15" customHeight="1">
      <c r="A42" s="792" t="s">
        <v>147</v>
      </c>
      <c r="B42" s="793" t="s">
        <v>158</v>
      </c>
      <c r="C42" s="809"/>
      <c r="D42" s="789"/>
      <c r="E42" s="790"/>
    </row>
    <row r="43" spans="1:5" ht="15" customHeight="1">
      <c r="A43" s="792" t="s">
        <v>148</v>
      </c>
      <c r="B43" s="793" t="s">
        <v>158</v>
      </c>
      <c r="C43" s="808"/>
      <c r="D43" s="789"/>
      <c r="E43" s="790"/>
    </row>
    <row r="44" spans="1:5" ht="15" customHeight="1">
      <c r="A44" s="792" t="s">
        <v>149</v>
      </c>
      <c r="B44" s="793" t="s">
        <v>159</v>
      </c>
      <c r="C44" s="808"/>
      <c r="D44" s="789"/>
      <c r="E44" s="790"/>
    </row>
    <row r="45" spans="1:5" ht="15" customHeight="1">
      <c r="A45" s="792" t="s">
        <v>146</v>
      </c>
      <c r="B45" s="793" t="s">
        <v>158</v>
      </c>
      <c r="C45" s="808"/>
      <c r="D45" s="789"/>
      <c r="E45" s="790"/>
    </row>
    <row r="46" spans="1:5" ht="15" customHeight="1">
      <c r="A46" s="792" t="s">
        <v>150</v>
      </c>
      <c r="B46" s="793" t="s">
        <v>160</v>
      </c>
      <c r="C46" s="808"/>
      <c r="D46" s="789"/>
      <c r="E46" s="790"/>
    </row>
    <row r="47" spans="1:5" ht="15" customHeight="1">
      <c r="A47" s="792" t="s">
        <v>151</v>
      </c>
      <c r="B47" s="793" t="s">
        <v>158</v>
      </c>
      <c r="C47" s="808"/>
      <c r="D47" s="789"/>
      <c r="E47" s="790"/>
    </row>
    <row r="48" spans="1:5" ht="15" customHeight="1">
      <c r="A48" s="792" t="s">
        <v>152</v>
      </c>
      <c r="B48" s="793" t="s">
        <v>158</v>
      </c>
      <c r="C48" s="808"/>
      <c r="D48" s="789"/>
      <c r="E48" s="790"/>
    </row>
    <row r="49" spans="1:5" ht="15" customHeight="1">
      <c r="A49" s="792" t="s">
        <v>153</v>
      </c>
      <c r="B49" s="793" t="s">
        <v>158</v>
      </c>
      <c r="C49" s="808"/>
      <c r="D49" s="789"/>
      <c r="E49" s="790"/>
    </row>
    <row r="50" spans="1:5" ht="15" customHeight="1">
      <c r="A50" s="792" t="s">
        <v>154</v>
      </c>
      <c r="B50" s="793" t="s">
        <v>158</v>
      </c>
      <c r="C50" s="808"/>
      <c r="D50" s="789"/>
      <c r="E50" s="790"/>
    </row>
    <row r="51" spans="1:5" ht="15" customHeight="1">
      <c r="A51" s="792" t="s">
        <v>155</v>
      </c>
      <c r="B51" s="793" t="s">
        <v>779</v>
      </c>
      <c r="C51" s="810"/>
      <c r="D51" s="789"/>
      <c r="E51" s="790"/>
    </row>
    <row r="52" spans="1:5" ht="15" customHeight="1">
      <c r="A52" s="806"/>
      <c r="B52" s="807"/>
      <c r="C52" s="789"/>
      <c r="D52" s="789"/>
      <c r="E52" s="790"/>
    </row>
    <row r="53" spans="1:5" ht="15" customHeight="1">
      <c r="A53" s="802"/>
      <c r="B53" s="789"/>
      <c r="C53" s="789"/>
      <c r="D53" s="789"/>
      <c r="E53" s="790"/>
    </row>
    <row r="54" spans="1:5" ht="15" customHeight="1">
      <c r="A54" s="811" t="s">
        <v>780</v>
      </c>
      <c r="B54" s="812"/>
      <c r="C54" s="812"/>
      <c r="D54" s="789"/>
      <c r="E54" s="790"/>
    </row>
    <row r="55" spans="1:5" ht="15" customHeight="1">
      <c r="A55" s="802"/>
      <c r="B55" s="789"/>
      <c r="C55" s="789"/>
      <c r="D55" s="789"/>
      <c r="E55" s="790"/>
    </row>
    <row r="56" spans="1:5" ht="15" customHeight="1">
      <c r="A56" s="803" t="s">
        <v>775</v>
      </c>
      <c r="B56" s="807"/>
      <c r="C56" s="789"/>
      <c r="D56" s="789"/>
      <c r="E56" s="790"/>
    </row>
    <row r="57" spans="1:5" ht="15" customHeight="1">
      <c r="A57" s="848" t="s">
        <v>161</v>
      </c>
      <c r="B57" s="789"/>
      <c r="C57" s="789"/>
      <c r="D57" s="789"/>
      <c r="E57" s="790"/>
    </row>
    <row r="58" spans="1:5" ht="13.5" customHeight="1">
      <c r="A58" s="802"/>
      <c r="B58" s="789"/>
      <c r="C58" s="789"/>
      <c r="D58" s="789"/>
      <c r="E58" s="790"/>
    </row>
    <row r="59" spans="1:5" ht="13.5" customHeight="1" thickBot="1">
      <c r="A59" s="813"/>
      <c r="B59" s="814"/>
      <c r="C59" s="814"/>
      <c r="D59" s="814"/>
      <c r="E59" s="815"/>
    </row>
    <row r="60" ht="13.5" customHeight="1"/>
    <row r="61" ht="13.5" customHeight="1"/>
    <row r="62" ht="13.5" customHeight="1"/>
  </sheetData>
  <sheetProtection/>
  <mergeCells count="1">
    <mergeCell ref="A7:E7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92"/>
  <sheetViews>
    <sheetView zoomScalePageLayoutView="0" workbookViewId="0" topLeftCell="A1">
      <selection activeCell="D4" sqref="D4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13.7109375" style="133" customWidth="1"/>
    <col min="6" max="16384" width="11.57421875" style="133" customWidth="1"/>
  </cols>
  <sheetData>
    <row r="1" ht="12.75">
      <c r="C1" s="825" t="s">
        <v>674</v>
      </c>
    </row>
    <row r="2" ht="12.75">
      <c r="C2" s="826" t="s">
        <v>675</v>
      </c>
    </row>
    <row r="4" spans="2:4" ht="12.75">
      <c r="B4" s="822" t="s">
        <v>525</v>
      </c>
      <c r="D4" s="827">
        <v>42339</v>
      </c>
    </row>
    <row r="5" spans="2:4" ht="12.75">
      <c r="B5" s="822" t="s">
        <v>673</v>
      </c>
      <c r="D5" s="828" t="s">
        <v>676</v>
      </c>
    </row>
    <row r="7" spans="2:4" ht="12.75">
      <c r="B7" s="941" t="s">
        <v>781</v>
      </c>
      <c r="C7" s="941"/>
      <c r="D7" s="941"/>
    </row>
    <row r="8" spans="2:4" ht="12.75">
      <c r="B8" s="183"/>
      <c r="C8" s="183"/>
      <c r="D8" s="183"/>
    </row>
    <row r="9" spans="2:4" ht="16.5">
      <c r="B9" s="935" t="s">
        <v>56</v>
      </c>
      <c r="C9" s="936"/>
      <c r="D9" s="934"/>
    </row>
    <row r="10" spans="2:3" ht="13.5" thickBot="1">
      <c r="B10" s="184"/>
      <c r="C10" s="184"/>
    </row>
    <row r="11" spans="2:4" ht="15.75" thickBot="1">
      <c r="B11" s="933" t="s">
        <v>649</v>
      </c>
      <c r="C11" s="931"/>
      <c r="D11" s="932"/>
    </row>
    <row r="12" spans="2:3" ht="13.5" thickBot="1">
      <c r="B12" s="184"/>
      <c r="C12" s="184"/>
    </row>
    <row r="13" spans="2:4" ht="13.5" customHeight="1">
      <c r="B13" s="972" t="s">
        <v>834</v>
      </c>
      <c r="C13" s="973"/>
      <c r="D13" s="937"/>
    </row>
    <row r="14" spans="2:4" ht="12.75" customHeight="1" thickBot="1">
      <c r="B14" s="974"/>
      <c r="C14" s="975"/>
      <c r="D14" s="938"/>
    </row>
    <row r="15" spans="2:4" ht="12.75">
      <c r="B15" s="151"/>
      <c r="C15" s="152"/>
      <c r="D15" s="197"/>
    </row>
    <row r="16" spans="2:4" ht="12.75">
      <c r="B16" s="138" t="s">
        <v>836</v>
      </c>
      <c r="C16" s="139" t="s">
        <v>39</v>
      </c>
      <c r="D16" s="140">
        <v>0</v>
      </c>
    </row>
    <row r="17" spans="2:4" ht="12.75">
      <c r="B17" s="138" t="s">
        <v>837</v>
      </c>
      <c r="C17" s="139" t="s">
        <v>40</v>
      </c>
      <c r="D17" s="140">
        <v>0</v>
      </c>
    </row>
    <row r="18" spans="2:4" ht="12.75">
      <c r="B18" s="138" t="s">
        <v>838</v>
      </c>
      <c r="C18" s="139" t="s">
        <v>41</v>
      </c>
      <c r="D18" s="140">
        <f>3!D13</f>
        <v>1528419.2999999998</v>
      </c>
    </row>
    <row r="19" spans="2:4" ht="12.75">
      <c r="B19" s="138" t="s">
        <v>839</v>
      </c>
      <c r="C19" s="139" t="s">
        <v>42</v>
      </c>
      <c r="D19" s="140">
        <f>3!D14+'Transf. y subv.'!E66</f>
        <v>12388048.79</v>
      </c>
    </row>
    <row r="20" spans="2:4" ht="12.75">
      <c r="B20" s="138" t="s">
        <v>840</v>
      </c>
      <c r="C20" s="139" t="s">
        <v>43</v>
      </c>
      <c r="D20" s="140">
        <f>3!D15</f>
        <v>3000</v>
      </c>
    </row>
    <row r="21" spans="2:4" ht="12.75">
      <c r="B21" s="141"/>
      <c r="C21" s="142"/>
      <c r="D21" s="143"/>
    </row>
    <row r="22" spans="2:4" ht="12.75">
      <c r="B22" s="144" t="s">
        <v>841</v>
      </c>
      <c r="C22" s="145"/>
      <c r="D22" s="146">
        <f>SUM(D16:D20)</f>
        <v>13919468.09</v>
      </c>
    </row>
    <row r="23" spans="2:4" ht="12.75">
      <c r="B23" s="147"/>
      <c r="C23" s="148"/>
      <c r="D23" s="149"/>
    </row>
    <row r="24" spans="2:4" ht="12.75">
      <c r="B24" s="141"/>
      <c r="C24" s="142"/>
      <c r="D24" s="143"/>
    </row>
    <row r="25" spans="2:4" ht="12.75">
      <c r="B25" s="138" t="s">
        <v>842</v>
      </c>
      <c r="C25" s="139" t="s">
        <v>44</v>
      </c>
      <c r="D25" s="143">
        <f>-'Inv. NO FIN'!H27</f>
        <v>0</v>
      </c>
    </row>
    <row r="26" spans="2:4" ht="12.75">
      <c r="B26" s="138" t="s">
        <v>843</v>
      </c>
      <c r="C26" s="139" t="s">
        <v>45</v>
      </c>
      <c r="D26" s="143">
        <f>'Transf. y subv.'!E20</f>
        <v>0</v>
      </c>
    </row>
    <row r="27" spans="2:4" ht="12.75">
      <c r="B27" s="141"/>
      <c r="C27" s="142"/>
      <c r="D27" s="143"/>
    </row>
    <row r="28" spans="2:4" ht="12.75">
      <c r="B28" s="144" t="s">
        <v>844</v>
      </c>
      <c r="C28" s="145"/>
      <c r="D28" s="146">
        <f>SUM(D25:D26)</f>
        <v>0</v>
      </c>
    </row>
    <row r="29" spans="2:4" ht="12.75">
      <c r="B29" s="147"/>
      <c r="C29" s="148"/>
      <c r="D29" s="149"/>
    </row>
    <row r="30" spans="2:4" ht="12.75">
      <c r="B30" s="141"/>
      <c r="C30" s="142"/>
      <c r="D30" s="143"/>
    </row>
    <row r="31" spans="2:4" ht="12.75">
      <c r="B31" s="138" t="s">
        <v>845</v>
      </c>
      <c r="C31" s="139" t="s">
        <v>46</v>
      </c>
      <c r="D31" s="140">
        <v>3208000</v>
      </c>
    </row>
    <row r="32" spans="2:4" ht="12.75">
      <c r="B32" s="138" t="s">
        <v>846</v>
      </c>
      <c r="C32" s="139" t="s">
        <v>47</v>
      </c>
      <c r="D32" s="140">
        <f>'Deuda L.P.'!K29</f>
        <v>0</v>
      </c>
    </row>
    <row r="33" spans="2:4" ht="12.75">
      <c r="B33" s="141"/>
      <c r="C33" s="142"/>
      <c r="D33" s="143"/>
    </row>
    <row r="34" spans="2:4" ht="12.75">
      <c r="B34" s="144" t="s">
        <v>847</v>
      </c>
      <c r="C34" s="145"/>
      <c r="D34" s="150">
        <f>SUM(D31:D32)</f>
        <v>3208000</v>
      </c>
    </row>
    <row r="35" spans="2:4" ht="13.5" thickBot="1">
      <c r="B35" s="151"/>
      <c r="C35" s="152"/>
      <c r="D35" s="153"/>
    </row>
    <row r="36" spans="2:4" ht="12.75">
      <c r="B36" s="161"/>
      <c r="C36" s="162"/>
      <c r="D36" s="163"/>
    </row>
    <row r="37" spans="2:7" ht="12.75">
      <c r="B37" s="154"/>
      <c r="C37" s="156" t="s">
        <v>848</v>
      </c>
      <c r="D37" s="157">
        <f>D22+D28+D34</f>
        <v>17127468.09</v>
      </c>
      <c r="G37" s="718"/>
    </row>
    <row r="38" spans="2:4" ht="13.5" thickBot="1">
      <c r="B38" s="164"/>
      <c r="C38" s="198"/>
      <c r="D38" s="166"/>
    </row>
    <row r="39" spans="2:4" ht="24" customHeight="1" thickBot="1">
      <c r="B39" s="195"/>
      <c r="C39" s="196" t="s">
        <v>390</v>
      </c>
      <c r="D39" s="197">
        <f>3!D35</f>
        <v>5840.49</v>
      </c>
    </row>
    <row r="40" spans="2:4" ht="12.75">
      <c r="B40" s="161"/>
      <c r="C40" s="162"/>
      <c r="D40" s="163"/>
    </row>
    <row r="41" spans="2:4" ht="12.75">
      <c r="B41" s="154"/>
      <c r="C41" s="156" t="s">
        <v>848</v>
      </c>
      <c r="D41" s="157">
        <f>D37+D39</f>
        <v>17133308.58</v>
      </c>
    </row>
    <row r="42" spans="2:4" ht="13.5" thickBot="1">
      <c r="B42" s="164"/>
      <c r="C42" s="198"/>
      <c r="D42" s="166"/>
    </row>
    <row r="43" ht="13.5" thickBot="1"/>
    <row r="44" spans="2:4" ht="13.5" customHeight="1">
      <c r="B44" s="972" t="s">
        <v>834</v>
      </c>
      <c r="C44" s="973"/>
      <c r="D44" s="939"/>
    </row>
    <row r="45" spans="2:4" ht="12.75" customHeight="1" thickBot="1">
      <c r="B45" s="974"/>
      <c r="C45" s="975"/>
      <c r="D45" s="940"/>
    </row>
    <row r="46" spans="2:4" ht="12.75">
      <c r="B46" s="151"/>
      <c r="C46" s="152"/>
      <c r="D46" s="153"/>
    </row>
    <row r="47" spans="2:4" ht="12.75">
      <c r="B47" s="138" t="s">
        <v>836</v>
      </c>
      <c r="C47" s="167" t="s">
        <v>850</v>
      </c>
      <c r="D47" s="168">
        <f>3!D45</f>
        <v>1970039.24</v>
      </c>
    </row>
    <row r="48" spans="2:4" ht="12.75">
      <c r="B48" s="138" t="s">
        <v>837</v>
      </c>
      <c r="C48" s="167" t="s">
        <v>851</v>
      </c>
      <c r="D48" s="168">
        <f>3!D46</f>
        <v>11861299.719999999</v>
      </c>
    </row>
    <row r="49" spans="2:4" ht="12.75">
      <c r="B49" s="138" t="s">
        <v>838</v>
      </c>
      <c r="C49" s="167" t="s">
        <v>311</v>
      </c>
      <c r="D49" s="168">
        <f>3!D47</f>
        <v>3000</v>
      </c>
    </row>
    <row r="50" spans="2:4" ht="12.75">
      <c r="B50" s="138" t="s">
        <v>839</v>
      </c>
      <c r="C50" s="167" t="s">
        <v>852</v>
      </c>
      <c r="D50" s="168">
        <v>0</v>
      </c>
    </row>
    <row r="51" spans="2:4" ht="12.75">
      <c r="B51" s="151"/>
      <c r="C51" s="152"/>
      <c r="D51" s="168"/>
    </row>
    <row r="52" spans="2:4" ht="12.75">
      <c r="B52" s="144" t="s">
        <v>853</v>
      </c>
      <c r="C52" s="145"/>
      <c r="D52" s="150">
        <f>SUM(D47:D50)</f>
        <v>13834338.959999999</v>
      </c>
    </row>
    <row r="53" spans="2:4" ht="12.75">
      <c r="B53" s="147"/>
      <c r="C53" s="148"/>
      <c r="D53" s="170"/>
    </row>
    <row r="54" spans="2:4" ht="12.75">
      <c r="B54" s="151"/>
      <c r="C54" s="152"/>
      <c r="D54" s="153"/>
    </row>
    <row r="55" spans="2:4" ht="12.75">
      <c r="B55" s="138" t="s">
        <v>842</v>
      </c>
      <c r="C55" s="167" t="s">
        <v>855</v>
      </c>
      <c r="D55" s="168">
        <f>'Inv. NO FIN'!C27+'Inv. NO FIN'!E27</f>
        <v>0</v>
      </c>
    </row>
    <row r="56" spans="2:4" ht="12.75">
      <c r="B56" s="138" t="s">
        <v>843</v>
      </c>
      <c r="C56" s="167" t="s">
        <v>856</v>
      </c>
      <c r="D56" s="168">
        <v>0</v>
      </c>
    </row>
    <row r="57" spans="2:4" ht="12.75">
      <c r="B57" s="151"/>
      <c r="C57" s="152"/>
      <c r="D57" s="153"/>
    </row>
    <row r="58" spans="2:4" ht="12.75">
      <c r="B58" s="144" t="s">
        <v>857</v>
      </c>
      <c r="C58" s="145"/>
      <c r="D58" s="150">
        <f>SUM(D55:D56)</f>
        <v>0</v>
      </c>
    </row>
    <row r="59" spans="2:4" ht="12.75">
      <c r="B59" s="147"/>
      <c r="C59" s="148"/>
      <c r="D59" s="170"/>
    </row>
    <row r="60" spans="2:4" ht="12.75">
      <c r="B60" s="151"/>
      <c r="C60" s="152"/>
      <c r="D60" s="153"/>
    </row>
    <row r="61" spans="2:4" ht="12.75">
      <c r="B61" s="138" t="s">
        <v>845</v>
      </c>
      <c r="C61" s="167" t="s">
        <v>859</v>
      </c>
      <c r="D61" s="168">
        <f>'Inv. FIN'!E19+'Inv. FIN'!E26+'Inv. FIN'!E38+'Inv. FIN'!E45</f>
        <v>0</v>
      </c>
    </row>
    <row r="62" spans="2:4" ht="12.75">
      <c r="B62" s="138" t="s">
        <v>846</v>
      </c>
      <c r="C62" s="167" t="s">
        <v>860</v>
      </c>
      <c r="D62" s="168">
        <f>'Deuda L.P.'!L29</f>
        <v>22329.988335565282</v>
      </c>
    </row>
    <row r="63" spans="2:4" ht="12.75">
      <c r="B63" s="151"/>
      <c r="C63" s="152"/>
      <c r="D63" s="153"/>
    </row>
    <row r="64" spans="2:4" ht="12.75">
      <c r="B64" s="144" t="s">
        <v>861</v>
      </c>
      <c r="C64" s="145"/>
      <c r="D64" s="150">
        <f>SUM(D61:D62)</f>
        <v>22329.988335565282</v>
      </c>
    </row>
    <row r="65" spans="2:4" ht="13.5" thickBot="1">
      <c r="B65" s="171"/>
      <c r="C65" s="172"/>
      <c r="D65" s="173"/>
    </row>
    <row r="66" spans="2:4" ht="13.5" thickTop="1">
      <c r="B66" s="161"/>
      <c r="C66" s="162"/>
      <c r="D66" s="163"/>
    </row>
    <row r="67" spans="2:7" ht="12.75">
      <c r="B67" s="154"/>
      <c r="C67" s="156" t="s">
        <v>366</v>
      </c>
      <c r="D67" s="157">
        <f>D52+D58+D64</f>
        <v>13856668.948335564</v>
      </c>
      <c r="G67" s="718"/>
    </row>
    <row r="68" spans="2:4" ht="13.5" thickBot="1">
      <c r="B68" s="190"/>
      <c r="C68" s="191"/>
      <c r="D68" s="155"/>
    </row>
    <row r="69" spans="2:4" ht="22.5" customHeight="1" thickBot="1">
      <c r="B69" s="192"/>
      <c r="C69" s="193" t="s">
        <v>391</v>
      </c>
      <c r="D69" s="194">
        <f>3!D68</f>
        <v>90969.62</v>
      </c>
    </row>
    <row r="70" spans="2:4" ht="12.75">
      <c r="B70" s="161"/>
      <c r="C70" s="162"/>
      <c r="D70" s="163"/>
    </row>
    <row r="71" spans="2:4" ht="12.75">
      <c r="B71" s="154"/>
      <c r="C71" s="156" t="s">
        <v>366</v>
      </c>
      <c r="D71" s="157">
        <f>D67+D69</f>
        <v>13947638.568335563</v>
      </c>
    </row>
    <row r="72" spans="2:4" ht="13.5" thickBot="1">
      <c r="B72" s="164"/>
      <c r="C72" s="165"/>
      <c r="D72" s="166"/>
    </row>
    <row r="74" s="869" customFormat="1" ht="12.75" hidden="1">
      <c r="D74" s="870"/>
    </row>
    <row r="75" spans="2:5" s="869" customFormat="1" ht="17.25" customHeight="1" hidden="1">
      <c r="B75" s="869" t="s">
        <v>394</v>
      </c>
      <c r="C75" s="871" t="s">
        <v>257</v>
      </c>
      <c r="D75" s="872">
        <f>D41-D71</f>
        <v>3185670.0116644353</v>
      </c>
      <c r="E75" s="869" t="s">
        <v>398</v>
      </c>
    </row>
    <row r="76" s="869" customFormat="1" ht="12.75" hidden="1">
      <c r="D76" s="870"/>
    </row>
    <row r="77" spans="2:5" s="869" customFormat="1" ht="17.25" customHeight="1" hidden="1">
      <c r="B77" s="869" t="s">
        <v>395</v>
      </c>
      <c r="C77" s="869" t="s">
        <v>393</v>
      </c>
      <c r="D77" s="870">
        <f>D79+D84+D85+D86+D87</f>
        <v>-3185670.011664434</v>
      </c>
      <c r="E77" s="869" t="s">
        <v>665</v>
      </c>
    </row>
    <row r="78" s="869" customFormat="1" ht="12.75" hidden="1">
      <c r="D78" s="870"/>
    </row>
    <row r="79" spans="3:4" s="869" customFormat="1" ht="19.5" customHeight="1" hidden="1">
      <c r="C79" s="869" t="s">
        <v>392</v>
      </c>
      <c r="D79" s="870">
        <f>SUM(D80:D83)</f>
        <v>90969.62</v>
      </c>
    </row>
    <row r="80" spans="3:4" s="869" customFormat="1" ht="21.75" customHeight="1" hidden="1">
      <c r="C80" s="873" t="s">
        <v>667</v>
      </c>
      <c r="D80" s="874">
        <f>-'Inv. NO FIN'!D27</f>
        <v>0</v>
      </c>
    </row>
    <row r="81" spans="3:4" s="869" customFormat="1" ht="18.75" customHeight="1" hidden="1">
      <c r="C81" s="873" t="s">
        <v>823</v>
      </c>
      <c r="D81" s="874">
        <f>-'Inv. NO FIN'!F27</f>
        <v>90969.62</v>
      </c>
    </row>
    <row r="82" spans="3:4" s="869" customFormat="1" ht="21" customHeight="1" hidden="1">
      <c r="C82" s="873" t="s">
        <v>639</v>
      </c>
      <c r="D82" s="874">
        <f>-'Inv. NO FIN'!G27</f>
        <v>0</v>
      </c>
    </row>
    <row r="83" spans="3:4" s="869" customFormat="1" ht="25.5" hidden="1">
      <c r="C83" s="873" t="s">
        <v>641</v>
      </c>
      <c r="D83" s="874">
        <f>-'Inv. NO FIN'!I27</f>
        <v>0</v>
      </c>
    </row>
    <row r="84" spans="3:4" s="869" customFormat="1" ht="19.5" customHeight="1" hidden="1">
      <c r="C84" s="875" t="s">
        <v>396</v>
      </c>
      <c r="D84" s="874">
        <f>-ACTIVO!M25</f>
        <v>0</v>
      </c>
    </row>
    <row r="85" spans="3:4" s="869" customFormat="1" ht="30" customHeight="1" hidden="1">
      <c r="C85" s="876" t="s">
        <v>397</v>
      </c>
      <c r="D85" s="874">
        <f>-(ACTIVO!D28-ACTIVO!C28)+ACTIVO!D42-ACTIVO!C42+ACTIVO!D43-ACTIVO!C43</f>
        <v>277232.9500000011</v>
      </c>
    </row>
    <row r="86" spans="3:5" s="869" customFormat="1" ht="19.5" customHeight="1" hidden="1">
      <c r="C86" s="869" t="s">
        <v>666</v>
      </c>
      <c r="D86" s="870">
        <f>'Transf. y subv.'!E22</f>
        <v>-5840.49</v>
      </c>
      <c r="E86" s="877" t="s">
        <v>400</v>
      </c>
    </row>
    <row r="87" spans="3:4" s="869" customFormat="1" ht="19.5" customHeight="1" hidden="1">
      <c r="C87" s="878" t="s">
        <v>581</v>
      </c>
      <c r="D87" s="870">
        <f>PASIVO!D48-PASIVO!C48+PASIVO!D33-PASIVO!C33+D62-D32</f>
        <v>-3548032.091664435</v>
      </c>
    </row>
    <row r="88" s="869" customFormat="1" ht="12.75" hidden="1">
      <c r="D88" s="870"/>
    </row>
    <row r="89" spans="3:4" s="869" customFormat="1" ht="12.75" hidden="1">
      <c r="C89" s="869" t="s">
        <v>399</v>
      </c>
      <c r="D89" s="870">
        <f>D75+D77</f>
        <v>0</v>
      </c>
    </row>
    <row r="90" s="869" customFormat="1" ht="12.75" hidden="1">
      <c r="D90" s="870"/>
    </row>
    <row r="91" s="869" customFormat="1" ht="12.75" hidden="1">
      <c r="D91" s="870"/>
    </row>
    <row r="92" s="869" customFormat="1" ht="12.75" hidden="1">
      <c r="D92" s="870"/>
    </row>
  </sheetData>
  <sheetProtection formatCells="0" formatColumns="0" formatRows="0" insertColumns="0" insertRows="0" insertHyperlinks="0" deleteColumns="0" deleteRows="0" sort="0" autoFilter="0" pivotTables="0"/>
  <mergeCells count="7">
    <mergeCell ref="D13:D14"/>
    <mergeCell ref="D44:D45"/>
    <mergeCell ref="B7:D7"/>
    <mergeCell ref="B9:D9"/>
    <mergeCell ref="B11:D11"/>
    <mergeCell ref="B44:C45"/>
    <mergeCell ref="B13:C14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H272"/>
  <sheetViews>
    <sheetView zoomScale="85" zoomScaleNormal="85" zoomScalePageLayoutView="0" workbookViewId="0" topLeftCell="A1">
      <selection activeCell="B4" sqref="B4"/>
    </sheetView>
  </sheetViews>
  <sheetFormatPr defaultColWidth="11.57421875" defaultRowHeight="12.75"/>
  <cols>
    <col min="1" max="1" width="73.57421875" style="423" customWidth="1"/>
    <col min="2" max="2" width="19.8515625" style="423" customWidth="1"/>
    <col min="3" max="3" width="19.28125" style="423" customWidth="1"/>
    <col min="4" max="4" width="20.7109375" style="423" customWidth="1"/>
    <col min="5" max="5" width="1.57421875" style="423" customWidth="1"/>
    <col min="6" max="6" width="14.57421875" style="422" hidden="1" customWidth="1"/>
    <col min="7" max="7" width="15.28125" style="422" hidden="1" customWidth="1"/>
    <col min="8" max="16384" width="11.57421875" style="423" customWidth="1"/>
  </cols>
  <sheetData>
    <row r="1" ht="12.75">
      <c r="B1" s="825" t="s">
        <v>674</v>
      </c>
    </row>
    <row r="2" ht="12.75">
      <c r="B2" s="826" t="s">
        <v>675</v>
      </c>
    </row>
    <row r="4" spans="1:2" ht="12.75">
      <c r="A4" s="822" t="s">
        <v>525</v>
      </c>
      <c r="B4" s="827">
        <v>42339</v>
      </c>
    </row>
    <row r="5" spans="1:2" ht="12.75">
      <c r="A5" s="822" t="s">
        <v>673</v>
      </c>
      <c r="B5" s="828" t="s">
        <v>676</v>
      </c>
    </row>
    <row r="7" spans="1:6" ht="49.5" customHeight="1">
      <c r="A7" s="981" t="s">
        <v>305</v>
      </c>
      <c r="B7" s="982"/>
      <c r="C7" s="983"/>
      <c r="D7" s="419">
        <v>2016</v>
      </c>
      <c r="E7" s="420"/>
      <c r="F7" s="421"/>
    </row>
    <row r="8" spans="1:6" ht="25.5" customHeight="1">
      <c r="A8" s="978" t="s">
        <v>56</v>
      </c>
      <c r="B8" s="979"/>
      <c r="C8" s="980"/>
      <c r="D8" s="424" t="s">
        <v>822</v>
      </c>
      <c r="E8" s="425"/>
      <c r="F8" s="426"/>
    </row>
    <row r="9" spans="1:6" ht="25.5" customHeight="1">
      <c r="A9" s="976" t="s">
        <v>678</v>
      </c>
      <c r="B9" s="977"/>
      <c r="C9" s="977"/>
      <c r="D9" s="977"/>
      <c r="E9" s="427"/>
      <c r="F9" s="428"/>
    </row>
    <row r="10" spans="1:7" ht="31.5" customHeight="1">
      <c r="A10" s="429" t="s">
        <v>316</v>
      </c>
      <c r="B10" s="430" t="s">
        <v>782</v>
      </c>
      <c r="C10" s="431" t="s">
        <v>784</v>
      </c>
      <c r="D10" s="431" t="s">
        <v>783</v>
      </c>
      <c r="E10" s="432"/>
      <c r="F10" s="433" t="s">
        <v>255</v>
      </c>
      <c r="G10" s="433" t="s">
        <v>256</v>
      </c>
    </row>
    <row r="11" spans="1:5" s="436" customFormat="1" ht="19.5" customHeight="1">
      <c r="A11" s="434" t="s">
        <v>352</v>
      </c>
      <c r="B11" s="602"/>
      <c r="C11" s="602"/>
      <c r="D11" s="602"/>
      <c r="E11" s="435"/>
    </row>
    <row r="12" spans="1:7" s="436" customFormat="1" ht="19.5" customHeight="1">
      <c r="A12" s="437" t="s">
        <v>75</v>
      </c>
      <c r="B12" s="558">
        <f>B13+B19</f>
        <v>1253777.01</v>
      </c>
      <c r="C12" s="558">
        <f>C13+C19</f>
        <v>2079397.2999999998</v>
      </c>
      <c r="D12" s="558">
        <f>D13+D19</f>
        <v>1528419.2999999998</v>
      </c>
      <c r="E12" s="438"/>
      <c r="F12" s="439">
        <f>+C12-B12</f>
        <v>825620.2899999998</v>
      </c>
      <c r="G12" s="440">
        <f>+D12-C12</f>
        <v>-550978</v>
      </c>
    </row>
    <row r="13" spans="1:7" s="436" customFormat="1" ht="19.5" customHeight="1">
      <c r="A13" s="441" t="s">
        <v>317</v>
      </c>
      <c r="B13" s="559">
        <f>B14+B18</f>
        <v>0</v>
      </c>
      <c r="C13" s="559">
        <f>C14+C18</f>
        <v>0</v>
      </c>
      <c r="D13" s="559">
        <f>D14+D18</f>
        <v>0</v>
      </c>
      <c r="E13" s="442"/>
      <c r="F13" s="443"/>
      <c r="G13" s="444"/>
    </row>
    <row r="14" spans="1:7" s="436" customFormat="1" ht="19.5" customHeight="1">
      <c r="A14" s="441" t="s">
        <v>353</v>
      </c>
      <c r="B14" s="559">
        <f>SUM(B15:B17)</f>
        <v>0</v>
      </c>
      <c r="C14" s="559">
        <f>SUM(C15:C17)</f>
        <v>0</v>
      </c>
      <c r="D14" s="559">
        <f>SUM(D15:D17)</f>
        <v>0</v>
      </c>
      <c r="E14" s="442"/>
      <c r="F14" s="443"/>
      <c r="G14" s="444"/>
    </row>
    <row r="15" spans="1:7" s="436" customFormat="1" ht="19.5" customHeight="1">
      <c r="A15" s="441" t="s">
        <v>76</v>
      </c>
      <c r="B15" s="556"/>
      <c r="C15" s="556"/>
      <c r="D15" s="556"/>
      <c r="E15" s="442"/>
      <c r="F15" s="443"/>
      <c r="G15" s="444"/>
    </row>
    <row r="16" spans="1:7" s="436" customFormat="1" ht="19.5" customHeight="1">
      <c r="A16" s="441" t="s">
        <v>78</v>
      </c>
      <c r="B16" s="556"/>
      <c r="C16" s="556"/>
      <c r="D16" s="556"/>
      <c r="E16" s="442"/>
      <c r="F16" s="443"/>
      <c r="G16" s="444"/>
    </row>
    <row r="17" spans="1:8" s="436" customFormat="1" ht="19.5" customHeight="1">
      <c r="A17" s="441" t="s">
        <v>79</v>
      </c>
      <c r="B17" s="556"/>
      <c r="C17" s="556"/>
      <c r="D17" s="556"/>
      <c r="E17" s="442"/>
      <c r="F17" s="443"/>
      <c r="G17" s="444"/>
      <c r="H17" s="436" t="s">
        <v>77</v>
      </c>
    </row>
    <row r="18" spans="1:7" s="436" customFormat="1" ht="19.5" customHeight="1">
      <c r="A18" s="441" t="s">
        <v>355</v>
      </c>
      <c r="B18" s="556"/>
      <c r="C18" s="556"/>
      <c r="D18" s="556"/>
      <c r="E18" s="442"/>
      <c r="F18" s="443"/>
      <c r="G18" s="444"/>
    </row>
    <row r="19" spans="1:7" s="436" customFormat="1" ht="19.5" customHeight="1">
      <c r="A19" s="441" t="s">
        <v>80</v>
      </c>
      <c r="B19" s="559">
        <f>B20+B24</f>
        <v>1253777.01</v>
      </c>
      <c r="C19" s="559">
        <f>C20+C24</f>
        <v>2079397.2999999998</v>
      </c>
      <c r="D19" s="559">
        <f>D20+D24</f>
        <v>1528419.2999999998</v>
      </c>
      <c r="E19" s="442"/>
      <c r="F19" s="443">
        <f aca="true" t="shared" si="0" ref="F19:F24">+C19-B19</f>
        <v>825620.2899999998</v>
      </c>
      <c r="G19" s="444">
        <f aca="true" t="shared" si="1" ref="G19:G24">-D19-C19</f>
        <v>-3607816.5999999996</v>
      </c>
    </row>
    <row r="20" spans="1:7" s="436" customFormat="1" ht="19.5" customHeight="1">
      <c r="A20" s="441" t="s">
        <v>356</v>
      </c>
      <c r="B20" s="559">
        <f>SUM(B21:B23)</f>
        <v>371892.05</v>
      </c>
      <c r="C20" s="559">
        <f>SUM(C21:C23)</f>
        <v>1187998.5899999999</v>
      </c>
      <c r="D20" s="559">
        <f>SUM(D21:D23)</f>
        <v>719700.94</v>
      </c>
      <c r="E20" s="445"/>
      <c r="F20" s="443">
        <f t="shared" si="0"/>
        <v>816106.5399999998</v>
      </c>
      <c r="G20" s="444">
        <f t="shared" si="1"/>
        <v>-1907699.5299999998</v>
      </c>
    </row>
    <row r="21" spans="1:7" s="436" customFormat="1" ht="19.5" customHeight="1">
      <c r="A21" s="441" t="s">
        <v>81</v>
      </c>
      <c r="B21" s="556">
        <v>301892.05</v>
      </c>
      <c r="C21" s="556">
        <f>94000+185796.73+46728.97</f>
        <v>326525.69999999995</v>
      </c>
      <c r="D21" s="556">
        <f>94000+195000+16000-3299.06</f>
        <v>301700.94</v>
      </c>
      <c r="E21" s="445"/>
      <c r="F21" s="443">
        <f t="shared" si="0"/>
        <v>24633.649999999965</v>
      </c>
      <c r="G21" s="444">
        <f t="shared" si="1"/>
        <v>-628226.6399999999</v>
      </c>
    </row>
    <row r="22" spans="1:7" s="436" customFormat="1" ht="19.5" customHeight="1">
      <c r="A22" s="441" t="s">
        <v>82</v>
      </c>
      <c r="B22" s="556">
        <v>0</v>
      </c>
      <c r="C22" s="556">
        <v>18000</v>
      </c>
      <c r="D22" s="556">
        <v>18000</v>
      </c>
      <c r="E22" s="445"/>
      <c r="F22" s="443">
        <f t="shared" si="0"/>
        <v>18000</v>
      </c>
      <c r="G22" s="444">
        <f t="shared" si="1"/>
        <v>-36000</v>
      </c>
    </row>
    <row r="23" spans="1:7" s="436" customFormat="1" ht="19.5" customHeight="1">
      <c r="A23" s="441" t="s">
        <v>83</v>
      </c>
      <c r="B23" s="556">
        <v>70000</v>
      </c>
      <c r="C23" s="556">
        <f>375000+184236.45+284236.44</f>
        <v>843472.8899999999</v>
      </c>
      <c r="D23" s="556">
        <v>400000</v>
      </c>
      <c r="E23" s="445"/>
      <c r="F23" s="443">
        <f t="shared" si="0"/>
        <v>773472.8899999999</v>
      </c>
      <c r="G23" s="444">
        <f t="shared" si="1"/>
        <v>-1243472.89</v>
      </c>
    </row>
    <row r="24" spans="1:7" s="436" customFormat="1" ht="19.5" customHeight="1">
      <c r="A24" s="441" t="s">
        <v>357</v>
      </c>
      <c r="B24" s="556">
        <v>881884.96</v>
      </c>
      <c r="C24" s="556">
        <f>731398.71+100000+60000</f>
        <v>891398.71</v>
      </c>
      <c r="D24" s="556">
        <f>326043.48+130914+111093.72+78213.6+15883.56+20610+360+6600+19000+100000</f>
        <v>808718.36</v>
      </c>
      <c r="E24" s="445"/>
      <c r="F24" s="443">
        <f t="shared" si="0"/>
        <v>9513.75</v>
      </c>
      <c r="G24" s="444">
        <f t="shared" si="1"/>
        <v>-1700117.0699999998</v>
      </c>
    </row>
    <row r="25" spans="1:7" s="436" customFormat="1" ht="27.75" customHeight="1">
      <c r="A25" s="446" t="s">
        <v>619</v>
      </c>
      <c r="B25" s="558">
        <f>SUM(B26:B27)</f>
        <v>0</v>
      </c>
      <c r="C25" s="558">
        <f>SUM(C26:C27)</f>
        <v>0</v>
      </c>
      <c r="D25" s="558">
        <f>SUM(D26:D27)</f>
        <v>0</v>
      </c>
      <c r="E25" s="447"/>
      <c r="F25" s="448"/>
      <c r="G25" s="444"/>
    </row>
    <row r="26" spans="1:7" s="436" customFormat="1" ht="18" customHeight="1">
      <c r="A26" s="441" t="s">
        <v>817</v>
      </c>
      <c r="B26" s="556"/>
      <c r="C26" s="555"/>
      <c r="D26" s="555"/>
      <c r="E26" s="447"/>
      <c r="F26" s="448"/>
      <c r="G26" s="444"/>
    </row>
    <row r="27" spans="1:7" s="436" customFormat="1" ht="18" customHeight="1">
      <c r="A27" s="441" t="s">
        <v>818</v>
      </c>
      <c r="B27" s="556"/>
      <c r="C27" s="737"/>
      <c r="D27" s="738"/>
      <c r="E27" s="447"/>
      <c r="F27" s="448"/>
      <c r="G27" s="444"/>
    </row>
    <row r="28" spans="1:7" s="436" customFormat="1" ht="25.5" customHeight="1">
      <c r="A28" s="446" t="s">
        <v>84</v>
      </c>
      <c r="B28" s="555"/>
      <c r="C28" s="555"/>
      <c r="D28" s="555"/>
      <c r="E28" s="447"/>
      <c r="F28" s="448"/>
      <c r="G28" s="444"/>
    </row>
    <row r="29" spans="1:7" s="436" customFormat="1" ht="19.5" customHeight="1">
      <c r="A29" s="449" t="s">
        <v>85</v>
      </c>
      <c r="B29" s="558">
        <f>SUM(B30:B33)</f>
        <v>-35147.78</v>
      </c>
      <c r="C29" s="558">
        <f>SUM(C30:C33)</f>
        <v>0</v>
      </c>
      <c r="D29" s="558">
        <f>SUM(D30:D33)</f>
        <v>0</v>
      </c>
      <c r="E29" s="447"/>
      <c r="F29" s="439">
        <f>+C29-B29</f>
        <v>35147.78</v>
      </c>
      <c r="G29" s="440">
        <f>+D29-C29</f>
        <v>0</v>
      </c>
    </row>
    <row r="30" spans="1:7" s="436" customFormat="1" ht="19.5" customHeight="1">
      <c r="A30" s="441" t="s">
        <v>86</v>
      </c>
      <c r="B30" s="556"/>
      <c r="C30" s="556"/>
      <c r="D30" s="556"/>
      <c r="E30" s="445"/>
      <c r="F30" s="450"/>
      <c r="G30" s="444"/>
    </row>
    <row r="31" spans="1:7" s="436" customFormat="1" ht="19.5" customHeight="1">
      <c r="A31" s="441" t="s">
        <v>87</v>
      </c>
      <c r="B31" s="556">
        <v>-35147.78</v>
      </c>
      <c r="C31" s="556">
        <v>0</v>
      </c>
      <c r="D31" s="556">
        <v>0</v>
      </c>
      <c r="E31" s="445"/>
      <c r="F31" s="450"/>
      <c r="G31" s="444"/>
    </row>
    <row r="32" spans="1:7" s="436" customFormat="1" ht="19.5" customHeight="1">
      <c r="A32" s="441" t="s">
        <v>88</v>
      </c>
      <c r="B32" s="556"/>
      <c r="C32" s="556"/>
      <c r="D32" s="556"/>
      <c r="E32" s="445"/>
      <c r="F32" s="443">
        <f>+C32-B32</f>
        <v>0</v>
      </c>
      <c r="G32" s="444">
        <f>-D32-C32</f>
        <v>0</v>
      </c>
    </row>
    <row r="33" spans="1:7" s="436" customFormat="1" ht="19.5" customHeight="1">
      <c r="A33" s="441" t="s">
        <v>89</v>
      </c>
      <c r="B33" s="556"/>
      <c r="C33" s="555"/>
      <c r="D33" s="556"/>
      <c r="E33" s="445"/>
      <c r="F33" s="450"/>
      <c r="G33" s="444"/>
    </row>
    <row r="34" spans="1:7" s="436" customFormat="1" ht="19.5" customHeight="1">
      <c r="A34" s="446" t="s">
        <v>90</v>
      </c>
      <c r="B34" s="558">
        <f>B35+B39</f>
        <v>6672670</v>
      </c>
      <c r="C34" s="558">
        <f>C35+C39</f>
        <v>9681603.81</v>
      </c>
      <c r="D34" s="558">
        <f>D35+D39</f>
        <v>10484852.78</v>
      </c>
      <c r="E34" s="438"/>
      <c r="F34" s="439">
        <f>+C34-B34</f>
        <v>3008933.8100000005</v>
      </c>
      <c r="G34" s="440">
        <f>+D34-C34</f>
        <v>803248.9699999988</v>
      </c>
    </row>
    <row r="35" spans="1:7" s="436" customFormat="1" ht="19.5" customHeight="1">
      <c r="A35" s="441" t="s">
        <v>91</v>
      </c>
      <c r="B35" s="559">
        <f>SUM(B36:B38)</f>
        <v>0</v>
      </c>
      <c r="C35" s="559">
        <f>SUM(C36:C38)</f>
        <v>0</v>
      </c>
      <c r="D35" s="559">
        <f>SUM(D36:D38)</f>
        <v>0</v>
      </c>
      <c r="E35" s="442"/>
      <c r="F35" s="443"/>
      <c r="G35" s="444"/>
    </row>
    <row r="36" spans="1:7" s="436" customFormat="1" ht="19.5" customHeight="1">
      <c r="A36" s="441" t="s">
        <v>819</v>
      </c>
      <c r="B36" s="556"/>
      <c r="C36" s="556"/>
      <c r="D36" s="556"/>
      <c r="E36" s="442"/>
      <c r="F36" s="443"/>
      <c r="G36" s="444"/>
    </row>
    <row r="37" spans="1:7" s="436" customFormat="1" ht="19.5" customHeight="1">
      <c r="A37" s="441" t="s">
        <v>820</v>
      </c>
      <c r="B37" s="556"/>
      <c r="C37" s="556"/>
      <c r="D37" s="556"/>
      <c r="E37" s="442"/>
      <c r="F37" s="443"/>
      <c r="G37" s="444"/>
    </row>
    <row r="38" spans="1:7" s="436" customFormat="1" ht="19.5" customHeight="1">
      <c r="A38" s="441" t="s">
        <v>821</v>
      </c>
      <c r="B38" s="556"/>
      <c r="C38" s="556"/>
      <c r="D38" s="556"/>
      <c r="E38" s="442"/>
      <c r="F38" s="443"/>
      <c r="G38" s="444"/>
    </row>
    <row r="39" spans="1:7" s="436" customFormat="1" ht="19.5" customHeight="1">
      <c r="A39" s="441" t="s">
        <v>92</v>
      </c>
      <c r="B39" s="559">
        <f>SUM(B40:B45)</f>
        <v>6672670</v>
      </c>
      <c r="C39" s="559">
        <f>SUM(C40:C45)</f>
        <v>9681603.81</v>
      </c>
      <c r="D39" s="559">
        <f>SUM(D40:D45)</f>
        <v>10484852.78</v>
      </c>
      <c r="E39" s="442"/>
      <c r="F39" s="443">
        <f>+C39-B39</f>
        <v>3008933.8100000005</v>
      </c>
      <c r="G39" s="444">
        <f>-D39-C39</f>
        <v>-20166456.59</v>
      </c>
    </row>
    <row r="40" spans="1:7" s="436" customFormat="1" ht="19.5" customHeight="1">
      <c r="A40" s="441" t="s">
        <v>93</v>
      </c>
      <c r="B40" s="556"/>
      <c r="C40" s="555"/>
      <c r="D40" s="556"/>
      <c r="E40" s="442"/>
      <c r="F40" s="443"/>
      <c r="G40" s="444"/>
    </row>
    <row r="41" spans="1:7" s="436" customFormat="1" ht="19.5" customHeight="1">
      <c r="A41" s="441" t="s">
        <v>620</v>
      </c>
      <c r="B41" s="556"/>
      <c r="C41" s="556"/>
      <c r="D41" s="556"/>
      <c r="E41" s="445"/>
      <c r="F41" s="443">
        <f>+C41-B41</f>
        <v>0</v>
      </c>
      <c r="G41" s="444">
        <f>-D41-C41</f>
        <v>0</v>
      </c>
    </row>
    <row r="42" spans="1:7" s="436" customFormat="1" ht="19.5" customHeight="1">
      <c r="A42" s="441" t="s">
        <v>621</v>
      </c>
      <c r="B42" s="556">
        <v>399351</v>
      </c>
      <c r="C42" s="556">
        <f>150000+150000+7500+40000+6000+23351+3000+18000</f>
        <v>397851</v>
      </c>
      <c r="D42" s="556">
        <f>150000+150000+7500+40000+6000+23351+3000+18000</f>
        <v>397851</v>
      </c>
      <c r="E42" s="445"/>
      <c r="F42" s="450"/>
      <c r="G42" s="444"/>
    </row>
    <row r="43" spans="1:7" s="436" customFormat="1" ht="19.5" customHeight="1">
      <c r="A43" s="441" t="s">
        <v>94</v>
      </c>
      <c r="B43" s="556">
        <v>6226956.64</v>
      </c>
      <c r="C43" s="556">
        <f>3222914.48+3156000+1470000+171387.3+98000+5800+30000+185000+304134+165500+261000</f>
        <v>9069735.780000001</v>
      </c>
      <c r="D43" s="556">
        <f>10027001.78+60000</f>
        <v>10087001.78</v>
      </c>
      <c r="E43" s="445"/>
      <c r="F43" s="450"/>
      <c r="G43" s="444"/>
    </row>
    <row r="44" spans="1:7" s="436" customFormat="1" ht="19.5" customHeight="1">
      <c r="A44" s="441" t="s">
        <v>95</v>
      </c>
      <c r="B44" s="556">
        <v>46362.36</v>
      </c>
      <c r="C44" s="556">
        <f>20915.03+61333.17+43258.15+88510.68</f>
        <v>214017.03</v>
      </c>
      <c r="D44" s="556"/>
      <c r="E44" s="445"/>
      <c r="F44" s="443">
        <f>+C44-B44</f>
        <v>167654.66999999998</v>
      </c>
      <c r="G44" s="444">
        <f>-D44-C44</f>
        <v>-214017.03</v>
      </c>
    </row>
    <row r="45" spans="1:7" s="436" customFormat="1" ht="19.5" customHeight="1">
      <c r="A45" s="441" t="s">
        <v>96</v>
      </c>
      <c r="B45" s="556"/>
      <c r="C45" s="555"/>
      <c r="D45" s="556"/>
      <c r="E45" s="445"/>
      <c r="F45" s="450"/>
      <c r="G45" s="444"/>
    </row>
    <row r="46" spans="1:7" s="436" customFormat="1" ht="19.5" customHeight="1">
      <c r="A46" s="446" t="s">
        <v>97</v>
      </c>
      <c r="B46" s="558">
        <f>SUM(B47:B52)</f>
        <v>-1903669.73</v>
      </c>
      <c r="C46" s="558">
        <f>SUM(C47:C52)</f>
        <v>-1929313.0899999999</v>
      </c>
      <c r="D46" s="558">
        <f>SUM(D47:D52)</f>
        <v>-1970039.24</v>
      </c>
      <c r="E46" s="447"/>
      <c r="F46" s="439">
        <f>+C46-B46</f>
        <v>-25643.35999999987</v>
      </c>
      <c r="G46" s="440">
        <f>+D46-C46</f>
        <v>-40726.15000000014</v>
      </c>
    </row>
    <row r="47" spans="1:7" s="436" customFormat="1" ht="19.5" customHeight="1">
      <c r="A47" s="441" t="s">
        <v>98</v>
      </c>
      <c r="B47" s="556">
        <f>-1477339.02+1662.25</f>
        <v>-1475676.77</v>
      </c>
      <c r="C47" s="556">
        <v>-1490287.94</v>
      </c>
      <c r="D47" s="556">
        <v>-1510569.56</v>
      </c>
      <c r="E47" s="445"/>
      <c r="F47" s="443">
        <f>+C47-B47</f>
        <v>-14611.169999999925</v>
      </c>
      <c r="G47" s="444">
        <f>-D47-C47</f>
        <v>3000857.5</v>
      </c>
    </row>
    <row r="48" spans="1:7" s="436" customFormat="1" ht="19.5" customHeight="1">
      <c r="A48" s="441" t="s">
        <v>622</v>
      </c>
      <c r="B48" s="556">
        <v>-1662.25</v>
      </c>
      <c r="C48" s="556">
        <v>0</v>
      </c>
      <c r="D48" s="556">
        <v>0</v>
      </c>
      <c r="E48" s="445"/>
      <c r="F48" s="443">
        <f>+C48-B48</f>
        <v>1662.25</v>
      </c>
      <c r="G48" s="444">
        <f>-D48-C48</f>
        <v>0</v>
      </c>
    </row>
    <row r="49" spans="1:7" s="436" customFormat="1" ht="19.5" customHeight="1">
      <c r="A49" s="441" t="s">
        <v>623</v>
      </c>
      <c r="B49" s="556">
        <v>-426330.71</v>
      </c>
      <c r="C49" s="556">
        <v>-439025.15</v>
      </c>
      <c r="D49" s="556">
        <v>-459469.68</v>
      </c>
      <c r="E49" s="445"/>
      <c r="F49" s="443">
        <f>+C49-B49</f>
        <v>-12694.440000000002</v>
      </c>
      <c r="G49" s="444">
        <f>-D49-C49</f>
        <v>898494.8300000001</v>
      </c>
    </row>
    <row r="50" spans="1:7" s="436" customFormat="1" ht="19.5" customHeight="1">
      <c r="A50" s="441" t="s">
        <v>624</v>
      </c>
      <c r="B50" s="556"/>
      <c r="C50" s="556"/>
      <c r="D50" s="556"/>
      <c r="E50" s="445"/>
      <c r="F50" s="443">
        <f>+C50-B50</f>
        <v>0</v>
      </c>
      <c r="G50" s="444">
        <f>-D50-C50</f>
        <v>0</v>
      </c>
    </row>
    <row r="51" spans="1:7" s="436" customFormat="1" ht="19.5" customHeight="1">
      <c r="A51" s="441" t="s">
        <v>625</v>
      </c>
      <c r="B51" s="556"/>
      <c r="C51" s="556"/>
      <c r="D51" s="556"/>
      <c r="E51" s="445"/>
      <c r="F51" s="450"/>
      <c r="G51" s="444"/>
    </row>
    <row r="52" spans="1:7" s="436" customFormat="1" ht="19.5" customHeight="1">
      <c r="A52" s="441" t="s">
        <v>626</v>
      </c>
      <c r="B52" s="556"/>
      <c r="C52" s="555"/>
      <c r="D52" s="556"/>
      <c r="E52" s="445"/>
      <c r="F52" s="450"/>
      <c r="G52" s="451"/>
    </row>
    <row r="53" spans="1:7" s="436" customFormat="1" ht="19.5" customHeight="1" hidden="1">
      <c r="A53" s="441" t="s">
        <v>554</v>
      </c>
      <c r="B53" s="556"/>
      <c r="C53" s="555"/>
      <c r="D53" s="556"/>
      <c r="E53" s="445"/>
      <c r="F53" s="450"/>
      <c r="G53" s="451"/>
    </row>
    <row r="54" spans="1:7" s="436" customFormat="1" ht="19.5" customHeight="1">
      <c r="A54" s="437" t="s">
        <v>99</v>
      </c>
      <c r="B54" s="558">
        <f>+B55+B56+B57+B58</f>
        <v>-8298717.160000001</v>
      </c>
      <c r="C54" s="558">
        <f>+C55+C56+C57+C58</f>
        <v>-11638661.74</v>
      </c>
      <c r="D54" s="558">
        <f>+D55+D56+D57+D58</f>
        <v>-11861299.719999999</v>
      </c>
      <c r="E54" s="447"/>
      <c r="F54" s="439">
        <f>+C54-B54</f>
        <v>-3339944.579999999</v>
      </c>
      <c r="G54" s="440">
        <f>+D54-C54</f>
        <v>-222637.97999999858</v>
      </c>
    </row>
    <row r="55" spans="1:7" s="436" customFormat="1" ht="19.5" customHeight="1">
      <c r="A55" s="441" t="s">
        <v>627</v>
      </c>
      <c r="B55" s="556">
        <v>-8205757.94</v>
      </c>
      <c r="C55" s="556">
        <v>-11633261.74</v>
      </c>
      <c r="D55" s="556">
        <f>-10727898.78-785148-169450-116102+3299.06-60000</f>
        <v>-11855299.719999999</v>
      </c>
      <c r="E55" s="445"/>
      <c r="F55" s="443">
        <f>+C55-B55</f>
        <v>-3427503.8</v>
      </c>
      <c r="G55" s="444">
        <f>-D55-C55</f>
        <v>23488561.46</v>
      </c>
    </row>
    <row r="56" spans="1:7" s="436" customFormat="1" ht="19.5" customHeight="1">
      <c r="A56" s="441" t="s">
        <v>628</v>
      </c>
      <c r="B56" s="556">
        <v>-12714.49</v>
      </c>
      <c r="C56" s="556">
        <v>-5400</v>
      </c>
      <c r="D56" s="556">
        <v>-6000</v>
      </c>
      <c r="E56" s="445"/>
      <c r="F56" s="443">
        <f>+C56-B56</f>
        <v>7314.49</v>
      </c>
      <c r="G56" s="444">
        <f>-D56-C56</f>
        <v>11400</v>
      </c>
    </row>
    <row r="57" spans="1:7" s="436" customFormat="1" ht="19.5" customHeight="1">
      <c r="A57" s="441" t="s">
        <v>100</v>
      </c>
      <c r="B57" s="556">
        <v>-80244.73</v>
      </c>
      <c r="C57" s="556"/>
      <c r="D57" s="556"/>
      <c r="E57" s="442"/>
      <c r="F57" s="443">
        <f>+C57-B57</f>
        <v>80244.73</v>
      </c>
      <c r="G57" s="444">
        <f>-D57-C57</f>
        <v>0</v>
      </c>
    </row>
    <row r="58" spans="1:7" s="436" customFormat="1" ht="19.5" customHeight="1">
      <c r="A58" s="441" t="s">
        <v>101</v>
      </c>
      <c r="B58" s="555"/>
      <c r="C58" s="555"/>
      <c r="D58" s="555"/>
      <c r="E58" s="452"/>
      <c r="F58" s="453"/>
      <c r="G58" s="444"/>
    </row>
    <row r="59" spans="1:7" s="436" customFormat="1" ht="19.5" customHeight="1">
      <c r="A59" s="437" t="s">
        <v>102</v>
      </c>
      <c r="B59" s="558">
        <f>SUM(B60:B62)</f>
        <v>-104549.75</v>
      </c>
      <c r="C59" s="558">
        <f>SUM(C60:C62)</f>
        <v>-106186.93</v>
      </c>
      <c r="D59" s="558">
        <f>SUM(D60:D62)</f>
        <v>-90969.62</v>
      </c>
      <c r="E59" s="447"/>
      <c r="F59" s="439">
        <f>+C59-B59</f>
        <v>-1637.179999999993</v>
      </c>
      <c r="G59" s="440">
        <f>+D59-C59</f>
        <v>15217.309999999998</v>
      </c>
    </row>
    <row r="60" spans="1:7" s="436" customFormat="1" ht="19.5" customHeight="1">
      <c r="A60" s="441" t="s">
        <v>732</v>
      </c>
      <c r="B60" s="555">
        <v>-39081.21</v>
      </c>
      <c r="C60" s="555">
        <v>-39721.02</v>
      </c>
      <c r="D60" s="555">
        <v>-29484.23</v>
      </c>
      <c r="E60" s="447"/>
      <c r="F60" s="439"/>
      <c r="G60" s="440"/>
    </row>
    <row r="61" spans="1:7" s="436" customFormat="1" ht="19.5" customHeight="1">
      <c r="A61" s="441" t="s">
        <v>733</v>
      </c>
      <c r="B61" s="555">
        <v>-65468.54</v>
      </c>
      <c r="C61" s="555">
        <v>-66465.91</v>
      </c>
      <c r="D61" s="555">
        <v>-61485.39</v>
      </c>
      <c r="E61" s="447"/>
      <c r="F61" s="439"/>
      <c r="G61" s="440"/>
    </row>
    <row r="62" spans="1:7" s="436" customFormat="1" ht="19.5" customHeight="1">
      <c r="A62" s="441" t="s">
        <v>735</v>
      </c>
      <c r="B62" s="555"/>
      <c r="C62" s="555"/>
      <c r="D62" s="555"/>
      <c r="E62" s="447"/>
      <c r="F62" s="439"/>
      <c r="G62" s="440"/>
    </row>
    <row r="63" spans="1:7" s="436" customFormat="1" ht="25.5" customHeight="1">
      <c r="A63" s="446" t="s">
        <v>103</v>
      </c>
      <c r="B63" s="555">
        <v>5826.05</v>
      </c>
      <c r="C63" s="555">
        <v>5826.05</v>
      </c>
      <c r="D63" s="555">
        <v>5840.49</v>
      </c>
      <c r="E63" s="447"/>
      <c r="F63" s="439">
        <f>+C63-B63</f>
        <v>0</v>
      </c>
      <c r="G63" s="440">
        <f>+D63-C63</f>
        <v>14.4399999999996</v>
      </c>
    </row>
    <row r="64" spans="1:7" s="436" customFormat="1" ht="24.75" customHeight="1">
      <c r="A64" s="446" t="s">
        <v>104</v>
      </c>
      <c r="B64" s="555"/>
      <c r="C64" s="555"/>
      <c r="D64" s="555"/>
      <c r="E64" s="438"/>
      <c r="F64" s="439"/>
      <c r="G64" s="444"/>
    </row>
    <row r="65" spans="1:7" s="436" customFormat="1" ht="28.5" customHeight="1">
      <c r="A65" s="446" t="s">
        <v>105</v>
      </c>
      <c r="B65" s="558">
        <f>B66+B70</f>
        <v>0</v>
      </c>
      <c r="C65" s="558">
        <f>C66+C70</f>
        <v>0</v>
      </c>
      <c r="D65" s="558">
        <f>D66+D70</f>
        <v>0</v>
      </c>
      <c r="E65" s="447"/>
      <c r="F65" s="439">
        <f>+C65-B65</f>
        <v>0</v>
      </c>
      <c r="G65" s="440">
        <f>+D65-C65</f>
        <v>0</v>
      </c>
    </row>
    <row r="66" spans="1:7" s="436" customFormat="1" ht="19.5" customHeight="1">
      <c r="A66" s="441" t="s">
        <v>301</v>
      </c>
      <c r="B66" s="559">
        <f>SUM(B67:B69)</f>
        <v>0</v>
      </c>
      <c r="C66" s="559">
        <f>SUM(C67:C69)</f>
        <v>0</v>
      </c>
      <c r="D66" s="559">
        <f>SUM(D67:D69)</f>
        <v>0</v>
      </c>
      <c r="E66" s="442"/>
      <c r="F66" s="443"/>
      <c r="G66" s="444"/>
    </row>
    <row r="67" spans="1:7" s="436" customFormat="1" ht="19.5" customHeight="1">
      <c r="A67" s="441" t="s">
        <v>736</v>
      </c>
      <c r="B67" s="556"/>
      <c r="C67" s="555"/>
      <c r="D67" s="556"/>
      <c r="E67" s="442"/>
      <c r="F67" s="443"/>
      <c r="G67" s="444"/>
    </row>
    <row r="68" spans="1:7" s="436" customFormat="1" ht="19.5" customHeight="1">
      <c r="A68" s="441" t="s">
        <v>737</v>
      </c>
      <c r="B68" s="556"/>
      <c r="C68" s="555"/>
      <c r="D68" s="556"/>
      <c r="E68" s="442"/>
      <c r="F68" s="443"/>
      <c r="G68" s="444"/>
    </row>
    <row r="69" spans="1:7" s="436" customFormat="1" ht="19.5" customHeight="1">
      <c r="A69" s="441" t="s">
        <v>738</v>
      </c>
      <c r="B69" s="556"/>
      <c r="C69" s="555"/>
      <c r="D69" s="556"/>
      <c r="E69" s="442"/>
      <c r="F69" s="443"/>
      <c r="G69" s="444"/>
    </row>
    <row r="70" spans="1:7" s="436" customFormat="1" ht="19.5" customHeight="1">
      <c r="A70" s="441" t="s">
        <v>629</v>
      </c>
      <c r="B70" s="559">
        <f>SUM(B71:B73)</f>
        <v>0</v>
      </c>
      <c r="C70" s="559">
        <f>SUM(C71:C73)</f>
        <v>0</v>
      </c>
      <c r="D70" s="559">
        <f>SUM(D71:D73)</f>
        <v>0</v>
      </c>
      <c r="E70" s="445"/>
      <c r="F70" s="443">
        <f>+C70-B70</f>
        <v>0</v>
      </c>
      <c r="G70" s="444">
        <f>-D70-C70</f>
        <v>0</v>
      </c>
    </row>
    <row r="71" spans="1:7" s="436" customFormat="1" ht="19.5" customHeight="1">
      <c r="A71" s="441" t="s">
        <v>736</v>
      </c>
      <c r="B71" s="556"/>
      <c r="C71" s="556"/>
      <c r="D71" s="556"/>
      <c r="E71" s="445"/>
      <c r="F71" s="443"/>
      <c r="G71" s="444"/>
    </row>
    <row r="72" spans="1:7" s="436" customFormat="1" ht="19.5" customHeight="1">
      <c r="A72" s="441" t="s">
        <v>737</v>
      </c>
      <c r="B72" s="556"/>
      <c r="C72" s="556"/>
      <c r="D72" s="556"/>
      <c r="E72" s="445"/>
      <c r="F72" s="443"/>
      <c r="G72" s="444"/>
    </row>
    <row r="73" spans="1:7" s="436" customFormat="1" ht="19.5" customHeight="1">
      <c r="A73" s="441" t="s">
        <v>738</v>
      </c>
      <c r="B73" s="556"/>
      <c r="C73" s="556"/>
      <c r="D73" s="556"/>
      <c r="E73" s="445"/>
      <c r="F73" s="443"/>
      <c r="G73" s="444"/>
    </row>
    <row r="74" spans="1:7" s="436" customFormat="1" ht="27" customHeight="1">
      <c r="A74" s="446" t="s">
        <v>555</v>
      </c>
      <c r="B74" s="556"/>
      <c r="C74" s="556"/>
      <c r="D74" s="556"/>
      <c r="E74" s="445"/>
      <c r="F74" s="443"/>
      <c r="G74" s="444"/>
    </row>
    <row r="75" spans="1:7" s="436" customFormat="1" ht="27" customHeight="1">
      <c r="A75" s="446" t="s">
        <v>402</v>
      </c>
      <c r="B75" s="558">
        <f>SUM(B76:B78)</f>
        <v>0</v>
      </c>
      <c r="C75" s="558">
        <f>SUM(C76:C78)</f>
        <v>0</v>
      </c>
      <c r="D75" s="558">
        <f>SUM(D76:D78)</f>
        <v>0</v>
      </c>
      <c r="E75" s="445"/>
      <c r="F75" s="443"/>
      <c r="G75" s="444"/>
    </row>
    <row r="76" spans="1:7" s="436" customFormat="1" ht="19.5" customHeight="1">
      <c r="A76" s="441" t="s">
        <v>403</v>
      </c>
      <c r="B76" s="556"/>
      <c r="C76" s="556"/>
      <c r="D76" s="556"/>
      <c r="E76" s="445"/>
      <c r="F76" s="443"/>
      <c r="G76" s="444"/>
    </row>
    <row r="77" spans="1:7" s="436" customFormat="1" ht="19.5" customHeight="1">
      <c r="A77" s="441" t="s">
        <v>404</v>
      </c>
      <c r="B77" s="556"/>
      <c r="C77" s="556"/>
      <c r="D77" s="556"/>
      <c r="E77" s="445"/>
      <c r="F77" s="443"/>
      <c r="G77" s="444"/>
    </row>
    <row r="78" spans="1:7" s="436" customFormat="1" ht="19.5" customHeight="1">
      <c r="A78" s="441" t="s">
        <v>405</v>
      </c>
      <c r="B78" s="556"/>
      <c r="C78" s="556"/>
      <c r="D78" s="556"/>
      <c r="E78" s="445"/>
      <c r="F78" s="443"/>
      <c r="G78" s="444"/>
    </row>
    <row r="79" spans="1:7" s="436" customFormat="1" ht="29.25" customHeight="1">
      <c r="A79" s="446" t="s">
        <v>401</v>
      </c>
      <c r="B79" s="558">
        <f>SUM(B80:B81)</f>
        <v>67165.87000000001</v>
      </c>
      <c r="C79" s="558">
        <f>SUM(C80:C81)</f>
        <v>4468.66</v>
      </c>
      <c r="D79" s="558">
        <f>SUM(D80:D81)</f>
        <v>0</v>
      </c>
      <c r="E79" s="445"/>
      <c r="F79" s="443">
        <f>+C79-B79</f>
        <v>-62697.21000000001</v>
      </c>
      <c r="G79" s="444">
        <f>-D79-C79</f>
        <v>-4468.66</v>
      </c>
    </row>
    <row r="80" spans="1:7" s="436" customFormat="1" ht="21.75" customHeight="1">
      <c r="A80" s="441" t="s">
        <v>815</v>
      </c>
      <c r="B80" s="555">
        <v>-6593.4</v>
      </c>
      <c r="C80" s="555">
        <v>-1087.08</v>
      </c>
      <c r="D80" s="555">
        <v>0</v>
      </c>
      <c r="E80" s="445"/>
      <c r="F80" s="443"/>
      <c r="G80" s="444"/>
    </row>
    <row r="81" spans="1:7" s="436" customFormat="1" ht="21" customHeight="1">
      <c r="A81" s="441" t="s">
        <v>816</v>
      </c>
      <c r="B81" s="555">
        <v>73759.27</v>
      </c>
      <c r="C81" s="555">
        <v>5555.74</v>
      </c>
      <c r="D81" s="555">
        <v>0</v>
      </c>
      <c r="E81" s="445"/>
      <c r="F81" s="443"/>
      <c r="G81" s="444"/>
    </row>
    <row r="82" spans="1:7" s="436" customFormat="1" ht="33" customHeight="1">
      <c r="A82" s="446" t="s">
        <v>406</v>
      </c>
      <c r="B82" s="558">
        <f>B12+B25+B28+B29+B34+B46+B54+B59+B63+B64+B65+B79+B74+B75</f>
        <v>-2342645.490000001</v>
      </c>
      <c r="C82" s="558">
        <f>C12+C25+C28+C29+C34+C46+C54+C59+C63+C64+C65+C79+C74+C75</f>
        <v>-1902865.9400000006</v>
      </c>
      <c r="D82" s="558">
        <f>D12+D25+D28+D29+D34+D46+D54+D59+D63+D64+D65+D79+D74+D75</f>
        <v>-1903196.010000001</v>
      </c>
      <c r="E82" s="438"/>
      <c r="F82" s="439">
        <f>+C82-B82</f>
        <v>439779.5500000005</v>
      </c>
      <c r="G82" s="440">
        <f>+D82-C82</f>
        <v>-330.070000000298</v>
      </c>
    </row>
    <row r="83" spans="1:7" s="436" customFormat="1" ht="27.75" customHeight="1">
      <c r="A83" s="446" t="s">
        <v>407</v>
      </c>
      <c r="B83" s="558">
        <f>SUM(B84+B87+B90)</f>
        <v>6213.69</v>
      </c>
      <c r="C83" s="558">
        <f>SUM(C84+C87+C90)</f>
        <v>2520</v>
      </c>
      <c r="D83" s="558">
        <f>SUM(D84+D87+D90)</f>
        <v>3000</v>
      </c>
      <c r="E83" s="438"/>
      <c r="F83" s="439">
        <f>+C83-B83</f>
        <v>-3693.6899999999996</v>
      </c>
      <c r="G83" s="440">
        <f>+D83-C83</f>
        <v>480</v>
      </c>
    </row>
    <row r="84" spans="1:7" s="436" customFormat="1" ht="19.5" customHeight="1">
      <c r="A84" s="441" t="s">
        <v>106</v>
      </c>
      <c r="B84" s="559">
        <f>SUM(B85:B86)</f>
        <v>0</v>
      </c>
      <c r="C84" s="559">
        <f>SUM(C85:C86)</f>
        <v>0</v>
      </c>
      <c r="D84" s="559">
        <f>SUM(D85:D86)</f>
        <v>0</v>
      </c>
      <c r="E84" s="445"/>
      <c r="F84" s="450"/>
      <c r="G84" s="444"/>
    </row>
    <row r="85" spans="1:7" s="436" customFormat="1" ht="19.5" customHeight="1">
      <c r="A85" s="441" t="s">
        <v>107</v>
      </c>
      <c r="B85" s="556"/>
      <c r="C85" s="555"/>
      <c r="D85" s="556"/>
      <c r="E85" s="445"/>
      <c r="F85" s="450"/>
      <c r="G85" s="444"/>
    </row>
    <row r="86" spans="1:7" s="436" customFormat="1" ht="19.5" customHeight="1">
      <c r="A86" s="441" t="s">
        <v>108</v>
      </c>
      <c r="B86" s="556"/>
      <c r="C86" s="555"/>
      <c r="D86" s="556"/>
      <c r="E86" s="445"/>
      <c r="F86" s="450"/>
      <c r="G86" s="444"/>
    </row>
    <row r="87" spans="1:7" s="436" customFormat="1" ht="19.5" customHeight="1">
      <c r="A87" s="441" t="s">
        <v>630</v>
      </c>
      <c r="B87" s="559">
        <f>SUM(B88:B89)</f>
        <v>6213.69</v>
      </c>
      <c r="C87" s="559">
        <f>SUM(C88:C89)</f>
        <v>2520</v>
      </c>
      <c r="D87" s="559">
        <f>SUM(D88:D89)</f>
        <v>3000</v>
      </c>
      <c r="E87" s="445"/>
      <c r="F87" s="443">
        <f>+C87-B87</f>
        <v>-3693.6899999999996</v>
      </c>
      <c r="G87" s="444">
        <f>-D87-C87</f>
        <v>-5520</v>
      </c>
    </row>
    <row r="88" spans="1:7" s="436" customFormat="1" ht="19.5" customHeight="1">
      <c r="A88" s="441" t="s">
        <v>109</v>
      </c>
      <c r="B88" s="556"/>
      <c r="C88" s="556"/>
      <c r="D88" s="556"/>
      <c r="E88" s="445"/>
      <c r="F88" s="450"/>
      <c r="G88" s="444"/>
    </row>
    <row r="89" spans="1:7" s="436" customFormat="1" ht="19.5" customHeight="1">
      <c r="A89" s="441" t="s">
        <v>110</v>
      </c>
      <c r="B89" s="556">
        <v>6213.69</v>
      </c>
      <c r="C89" s="556">
        <v>2520</v>
      </c>
      <c r="D89" s="556">
        <v>3000</v>
      </c>
      <c r="E89" s="454"/>
      <c r="F89" s="443">
        <f>+C89-B89</f>
        <v>-3693.6899999999996</v>
      </c>
      <c r="G89" s="444">
        <f>-D89-C89</f>
        <v>-5520</v>
      </c>
    </row>
    <row r="90" spans="1:7" s="436" customFormat="1" ht="19.5" customHeight="1">
      <c r="A90" s="441" t="s">
        <v>556</v>
      </c>
      <c r="B90" s="556"/>
      <c r="C90" s="556"/>
      <c r="D90" s="556"/>
      <c r="E90" s="454"/>
      <c r="F90" s="443"/>
      <c r="G90" s="444"/>
    </row>
    <row r="91" spans="1:7" s="436" customFormat="1" ht="19.5" customHeight="1">
      <c r="A91" s="446" t="s">
        <v>408</v>
      </c>
      <c r="B91" s="558">
        <f>SUM(B92:B94)</f>
        <v>-3489.74</v>
      </c>
      <c r="C91" s="558">
        <f>SUM(C92:C94)</f>
        <v>-2850.07</v>
      </c>
      <c r="D91" s="558">
        <f>D92+D93+D94</f>
        <v>-3000</v>
      </c>
      <c r="E91" s="447"/>
      <c r="F91" s="439">
        <f>+C91-B91</f>
        <v>639.6699999999996</v>
      </c>
      <c r="G91" s="440">
        <f>+D91-C91</f>
        <v>-149.92999999999984</v>
      </c>
    </row>
    <row r="92" spans="1:7" s="436" customFormat="1" ht="19.5" customHeight="1">
      <c r="A92" s="441" t="s">
        <v>111</v>
      </c>
      <c r="B92" s="556"/>
      <c r="C92" s="555"/>
      <c r="D92" s="556"/>
      <c r="E92" s="445"/>
      <c r="F92" s="450"/>
      <c r="G92" s="444"/>
    </row>
    <row r="93" spans="1:7" s="436" customFormat="1" ht="19.5" customHeight="1">
      <c r="A93" s="441" t="s">
        <v>631</v>
      </c>
      <c r="B93" s="556">
        <v>-3489.74</v>
      </c>
      <c r="C93" s="556">
        <v>-2850.07</v>
      </c>
      <c r="D93" s="556">
        <v>-3000</v>
      </c>
      <c r="E93" s="454"/>
      <c r="F93" s="455"/>
      <c r="G93" s="444"/>
    </row>
    <row r="94" spans="1:7" s="436" customFormat="1" ht="19.5" customHeight="1">
      <c r="A94" s="441" t="s">
        <v>632</v>
      </c>
      <c r="B94" s="555"/>
      <c r="C94" s="555"/>
      <c r="D94" s="555"/>
      <c r="E94" s="456"/>
      <c r="F94" s="457"/>
      <c r="G94" s="444"/>
    </row>
    <row r="95" spans="1:7" s="436" customFormat="1" ht="24.75" customHeight="1">
      <c r="A95" s="446" t="s">
        <v>409</v>
      </c>
      <c r="B95" s="558">
        <f>B96+B97</f>
        <v>0</v>
      </c>
      <c r="C95" s="558">
        <f>C96+C97</f>
        <v>0</v>
      </c>
      <c r="D95" s="558">
        <f>D96+D97</f>
        <v>0</v>
      </c>
      <c r="E95" s="447"/>
      <c r="F95" s="439">
        <f>+C95-B95</f>
        <v>0</v>
      </c>
      <c r="G95" s="440">
        <f>+D95-C95</f>
        <v>0</v>
      </c>
    </row>
    <row r="96" spans="1:7" s="436" customFormat="1" ht="19.5" customHeight="1">
      <c r="A96" s="441" t="s">
        <v>112</v>
      </c>
      <c r="B96" s="555"/>
      <c r="C96" s="555"/>
      <c r="D96" s="555"/>
      <c r="E96" s="456"/>
      <c r="F96" s="457"/>
      <c r="G96" s="444"/>
    </row>
    <row r="97" spans="1:7" s="436" customFormat="1" ht="28.5" customHeight="1">
      <c r="A97" s="458" t="s">
        <v>633</v>
      </c>
      <c r="B97" s="555"/>
      <c r="C97" s="555"/>
      <c r="D97" s="555"/>
      <c r="E97" s="456"/>
      <c r="F97" s="457"/>
      <c r="G97" s="444"/>
    </row>
    <row r="98" spans="1:7" s="436" customFormat="1" ht="21.75" customHeight="1">
      <c r="A98" s="446" t="s">
        <v>410</v>
      </c>
      <c r="B98" s="555">
        <v>-149.98</v>
      </c>
      <c r="C98" s="555"/>
      <c r="D98" s="555"/>
      <c r="E98" s="447"/>
      <c r="F98" s="448"/>
      <c r="G98" s="444"/>
    </row>
    <row r="99" spans="1:7" s="436" customFormat="1" ht="28.5" customHeight="1">
      <c r="A99" s="446" t="s">
        <v>411</v>
      </c>
      <c r="B99" s="558">
        <f>SUM(B100:B101)</f>
        <v>0</v>
      </c>
      <c r="C99" s="558">
        <f>SUM(C100:C101)</f>
        <v>0</v>
      </c>
      <c r="D99" s="558">
        <f>SUM(D100:D101)</f>
        <v>0</v>
      </c>
      <c r="E99" s="438"/>
      <c r="F99" s="439"/>
      <c r="G99" s="444"/>
    </row>
    <row r="100" spans="1:7" s="436" customFormat="1" ht="20.25" customHeight="1">
      <c r="A100" s="441" t="s">
        <v>113</v>
      </c>
      <c r="B100" s="555"/>
      <c r="C100" s="555"/>
      <c r="D100" s="555"/>
      <c r="E100" s="452"/>
      <c r="F100" s="453"/>
      <c r="G100" s="444"/>
    </row>
    <row r="101" spans="1:7" s="436" customFormat="1" ht="17.25" customHeight="1">
      <c r="A101" s="458" t="s">
        <v>114</v>
      </c>
      <c r="B101" s="555"/>
      <c r="C101" s="555"/>
      <c r="D101" s="555"/>
      <c r="E101" s="452"/>
      <c r="F101" s="453"/>
      <c r="G101" s="444"/>
    </row>
    <row r="102" spans="1:7" s="436" customFormat="1" ht="17.25" customHeight="1">
      <c r="A102" s="446" t="s">
        <v>414</v>
      </c>
      <c r="B102" s="558">
        <f>SUM(B103:B104)</f>
        <v>0</v>
      </c>
      <c r="C102" s="558">
        <f>SUM(C103:C104)</f>
        <v>0</v>
      </c>
      <c r="D102" s="558">
        <f>SUM(D103:D104)</f>
        <v>0</v>
      </c>
      <c r="E102" s="452"/>
      <c r="F102" s="453"/>
      <c r="G102" s="444"/>
    </row>
    <row r="103" spans="1:7" s="436" customFormat="1" ht="17.25" customHeight="1">
      <c r="A103" s="446" t="s">
        <v>557</v>
      </c>
      <c r="B103" s="555"/>
      <c r="C103" s="555"/>
      <c r="D103" s="555"/>
      <c r="E103" s="452"/>
      <c r="F103" s="453"/>
      <c r="G103" s="444"/>
    </row>
    <row r="104" spans="1:7" s="436" customFormat="1" ht="17.25" customHeight="1">
      <c r="A104" s="446" t="s">
        <v>558</v>
      </c>
      <c r="B104" s="555"/>
      <c r="C104" s="555"/>
      <c r="D104" s="555"/>
      <c r="E104" s="452"/>
      <c r="F104" s="453"/>
      <c r="G104" s="444"/>
    </row>
    <row r="105" spans="1:7" s="436" customFormat="1" ht="19.5" customHeight="1">
      <c r="A105" s="459" t="s">
        <v>592</v>
      </c>
      <c r="B105" s="558">
        <f>B83+B91+B95+B98+B99+B102</f>
        <v>2573.97</v>
      </c>
      <c r="C105" s="558">
        <f>C83+C91+C95+C98+C99+C102</f>
        <v>-330.07000000000016</v>
      </c>
      <c r="D105" s="558">
        <f>D83+D91+D95+D98+D99+D102</f>
        <v>0</v>
      </c>
      <c r="E105" s="438"/>
      <c r="F105" s="439">
        <f aca="true" t="shared" si="2" ref="F105:G111">+C105-B105</f>
        <v>-2904.04</v>
      </c>
      <c r="G105" s="440">
        <f t="shared" si="2"/>
        <v>330.07000000000016</v>
      </c>
    </row>
    <row r="106" spans="1:7" s="436" customFormat="1" ht="19.5" customHeight="1">
      <c r="A106" s="459" t="s">
        <v>634</v>
      </c>
      <c r="B106" s="558">
        <f>B105+B82</f>
        <v>-2340071.520000001</v>
      </c>
      <c r="C106" s="560">
        <f>C105+C82</f>
        <v>-1903196.0100000007</v>
      </c>
      <c r="D106" s="560">
        <f>D105+D82</f>
        <v>-1903196.010000001</v>
      </c>
      <c r="E106" s="460"/>
      <c r="F106" s="439">
        <f t="shared" si="2"/>
        <v>436875.51000000024</v>
      </c>
      <c r="G106" s="440">
        <f t="shared" si="2"/>
        <v>0</v>
      </c>
    </row>
    <row r="107" spans="1:7" s="436" customFormat="1" ht="21.75" customHeight="1">
      <c r="A107" s="446" t="s">
        <v>412</v>
      </c>
      <c r="B107" s="557"/>
      <c r="C107" s="557"/>
      <c r="D107" s="557"/>
      <c r="E107" s="461"/>
      <c r="F107" s="439">
        <f t="shared" si="2"/>
        <v>0</v>
      </c>
      <c r="G107" s="440">
        <f t="shared" si="2"/>
        <v>0</v>
      </c>
    </row>
    <row r="108" spans="1:7" s="436" customFormat="1" ht="31.5" customHeight="1">
      <c r="A108" s="462" t="s">
        <v>115</v>
      </c>
      <c r="B108" s="558">
        <f>B106+B107</f>
        <v>-2340071.520000001</v>
      </c>
      <c r="C108" s="558">
        <f>C106+C107</f>
        <v>-1903196.0100000007</v>
      </c>
      <c r="D108" s="558">
        <f>D106+D107</f>
        <v>-1903196.010000001</v>
      </c>
      <c r="E108" s="438"/>
      <c r="F108" s="439">
        <f t="shared" si="2"/>
        <v>436875.51000000024</v>
      </c>
      <c r="G108" s="440">
        <f t="shared" si="2"/>
        <v>0</v>
      </c>
    </row>
    <row r="109" spans="1:7" s="436" customFormat="1" ht="19.5" customHeight="1">
      <c r="A109" s="459" t="s">
        <v>635</v>
      </c>
      <c r="B109" s="555"/>
      <c r="C109" s="555"/>
      <c r="D109" s="555"/>
      <c r="E109" s="452"/>
      <c r="F109" s="439">
        <f t="shared" si="2"/>
        <v>0</v>
      </c>
      <c r="G109" s="440">
        <f t="shared" si="2"/>
        <v>0</v>
      </c>
    </row>
    <row r="110" spans="1:7" s="436" customFormat="1" ht="29.25" customHeight="1">
      <c r="A110" s="446" t="s">
        <v>413</v>
      </c>
      <c r="B110" s="555"/>
      <c r="C110" s="555"/>
      <c r="D110" s="555"/>
      <c r="E110" s="452"/>
      <c r="F110" s="439">
        <f t="shared" si="2"/>
        <v>0</v>
      </c>
      <c r="G110" s="440">
        <f t="shared" si="2"/>
        <v>0</v>
      </c>
    </row>
    <row r="111" spans="1:7" s="436" customFormat="1" ht="39.75" customHeight="1">
      <c r="A111" s="463" t="s">
        <v>116</v>
      </c>
      <c r="B111" s="558">
        <f>B108+B110</f>
        <v>-2340071.520000001</v>
      </c>
      <c r="C111" s="558">
        <f>C108+C110</f>
        <v>-1903196.0100000007</v>
      </c>
      <c r="D111" s="558">
        <f>D108+D109+D110</f>
        <v>-1903196.010000001</v>
      </c>
      <c r="E111" s="456"/>
      <c r="F111" s="439">
        <f t="shared" si="2"/>
        <v>436875.51000000024</v>
      </c>
      <c r="G111" s="440">
        <f t="shared" si="2"/>
        <v>0</v>
      </c>
    </row>
    <row r="112" spans="2:7" ht="19.5" customHeight="1">
      <c r="B112" s="464"/>
      <c r="C112" s="464"/>
      <c r="D112" s="464"/>
      <c r="E112" s="464"/>
      <c r="F112" s="465"/>
      <c r="G112" s="466"/>
    </row>
    <row r="113" spans="1:6" ht="19.5" customHeight="1" hidden="1">
      <c r="A113" s="467" t="s">
        <v>706</v>
      </c>
      <c r="B113" s="468"/>
      <c r="C113" s="468"/>
      <c r="D113" s="468"/>
      <c r="E113" s="468"/>
      <c r="F113" s="469"/>
    </row>
    <row r="114" spans="1:6" ht="19.5" customHeight="1" hidden="1">
      <c r="A114" s="423" t="s">
        <v>117</v>
      </c>
      <c r="B114" s="464"/>
      <c r="C114" s="464"/>
      <c r="D114" s="464"/>
      <c r="E114" s="464"/>
      <c r="F114" s="465"/>
    </row>
    <row r="115" spans="2:6" ht="19.5" customHeight="1" hidden="1">
      <c r="B115" s="464"/>
      <c r="C115" s="464"/>
      <c r="D115" s="464"/>
      <c r="E115" s="464"/>
      <c r="F115" s="465"/>
    </row>
    <row r="116" spans="2:6" ht="19.5" customHeight="1" hidden="1">
      <c r="B116" s="464"/>
      <c r="C116" s="464"/>
      <c r="D116" s="464"/>
      <c r="E116" s="464"/>
      <c r="F116" s="465"/>
    </row>
    <row r="117" spans="2:6" ht="19.5" customHeight="1" hidden="1">
      <c r="B117" s="464"/>
      <c r="C117" s="464"/>
      <c r="D117" s="464"/>
      <c r="E117" s="464"/>
      <c r="F117" s="465"/>
    </row>
    <row r="118" spans="2:6" ht="19.5" customHeight="1" hidden="1">
      <c r="B118" s="464"/>
      <c r="C118" s="464"/>
      <c r="D118" s="464"/>
      <c r="E118" s="464"/>
      <c r="F118" s="465"/>
    </row>
    <row r="119" spans="2:6" ht="19.5" customHeight="1" hidden="1">
      <c r="B119" s="470">
        <f>+PASIVO!B25</f>
        <v>-2340071.520000001</v>
      </c>
      <c r="C119" s="470">
        <f>+PASIVO!C25</f>
        <v>-1903196.0100000007</v>
      </c>
      <c r="D119" s="470">
        <f>+PASIVO!D25</f>
        <v>-1903196.010000001</v>
      </c>
      <c r="E119" s="470"/>
      <c r="F119" s="471"/>
    </row>
    <row r="120" spans="2:6" ht="19.5" customHeight="1" hidden="1">
      <c r="B120" s="472">
        <f>B111-B119</f>
        <v>0</v>
      </c>
      <c r="C120" s="472">
        <f>C111-C119</f>
        <v>0</v>
      </c>
      <c r="D120" s="472">
        <f>D111-D119</f>
        <v>0</v>
      </c>
      <c r="E120" s="472"/>
      <c r="F120" s="473"/>
    </row>
    <row r="121" spans="2:7" s="474" customFormat="1" ht="19.5" customHeight="1" hidden="1">
      <c r="B121" s="475"/>
      <c r="C121" s="475"/>
      <c r="D121" s="475"/>
      <c r="E121" s="475"/>
      <c r="F121" s="476"/>
      <c r="G121" s="477"/>
    </row>
    <row r="122" spans="1:6" ht="19.5" customHeight="1" hidden="1">
      <c r="A122" s="423" t="s">
        <v>235</v>
      </c>
      <c r="B122" s="472">
        <f>+PASIVO!B24</f>
        <v>2342036.74</v>
      </c>
      <c r="C122" s="472">
        <f>+PASIVO!C24-PASIVO!B24</f>
        <v>-438840.7300000002</v>
      </c>
      <c r="D122" s="472">
        <f>+PASIVO!D24-PASIVO!C24</f>
        <v>0</v>
      </c>
      <c r="E122" s="472"/>
      <c r="F122" s="473"/>
    </row>
    <row r="123" spans="1:6" ht="19.5" customHeight="1" hidden="1">
      <c r="A123" s="423" t="s">
        <v>236</v>
      </c>
      <c r="B123" s="472">
        <f>+B111</f>
        <v>-2340071.520000001</v>
      </c>
      <c r="C123" s="472">
        <f>+C111</f>
        <v>-1903196.0100000007</v>
      </c>
      <c r="D123" s="472">
        <f>+D111</f>
        <v>-1903196.010000001</v>
      </c>
      <c r="E123" s="472"/>
      <c r="F123" s="473"/>
    </row>
    <row r="124" spans="1:6" ht="19.5" customHeight="1" hidden="1">
      <c r="A124" s="423" t="s">
        <v>237</v>
      </c>
      <c r="B124" s="470">
        <f>SUM(B122:B123)</f>
        <v>1965.2199999992736</v>
      </c>
      <c r="C124" s="470">
        <f>SUM(C122:C123)</f>
        <v>-2342036.740000001</v>
      </c>
      <c r="D124" s="470">
        <f>SUM(D122:D123)</f>
        <v>-1903196.010000001</v>
      </c>
      <c r="E124" s="470"/>
      <c r="F124" s="471"/>
    </row>
    <row r="125" spans="1:6" ht="19.5" customHeight="1" hidden="1">
      <c r="A125" s="478" t="s">
        <v>267</v>
      </c>
      <c r="B125" s="472">
        <f>+PASIVO!B24+B111</f>
        <v>1965.2199999992736</v>
      </c>
      <c r="C125" s="472">
        <f>+PASIVO!C24+C111-PASIVO!B24</f>
        <v>-2342036.740000001</v>
      </c>
      <c r="D125" s="472">
        <f>+PASIVO!D24+D111-PASIVO!C24</f>
        <v>-1903196.010000001</v>
      </c>
      <c r="E125" s="472"/>
      <c r="F125" s="473"/>
    </row>
    <row r="126" spans="1:6" ht="19.5" customHeight="1" hidden="1">
      <c r="A126" s="423" t="s">
        <v>268</v>
      </c>
      <c r="B126" s="464">
        <v>29502.85</v>
      </c>
      <c r="C126" s="464">
        <v>0</v>
      </c>
      <c r="D126" s="464">
        <v>0</v>
      </c>
      <c r="E126" s="464"/>
      <c r="F126" s="465"/>
    </row>
    <row r="127" spans="1:6" ht="19.5" customHeight="1" hidden="1">
      <c r="A127" s="423" t="s">
        <v>262</v>
      </c>
      <c r="B127" s="479">
        <f>+B125-B126</f>
        <v>-27537.630000000725</v>
      </c>
      <c r="C127" s="472">
        <f>+C125-C126</f>
        <v>-2342036.740000001</v>
      </c>
      <c r="D127" s="479">
        <f>+D125-D126</f>
        <v>-1903196.010000001</v>
      </c>
      <c r="E127" s="479"/>
      <c r="F127" s="480"/>
    </row>
    <row r="128" spans="2:6" ht="19.5" customHeight="1" hidden="1">
      <c r="B128" s="464"/>
      <c r="C128" s="464"/>
      <c r="D128" s="464"/>
      <c r="E128" s="464"/>
      <c r="F128" s="465"/>
    </row>
    <row r="129" spans="2:6" ht="19.5" customHeight="1" hidden="1">
      <c r="B129" s="464"/>
      <c r="C129" s="464"/>
      <c r="D129" s="464"/>
      <c r="E129" s="464"/>
      <c r="F129" s="465"/>
    </row>
    <row r="130" spans="2:6" ht="19.5" customHeight="1" hidden="1">
      <c r="B130" s="464"/>
      <c r="C130" s="464"/>
      <c r="D130" s="464"/>
      <c r="E130" s="464"/>
      <c r="F130" s="465"/>
    </row>
    <row r="131" spans="2:6" ht="19.5" customHeight="1" hidden="1">
      <c r="B131" s="464"/>
      <c r="C131" s="464"/>
      <c r="D131" s="464"/>
      <c r="E131" s="464"/>
      <c r="F131" s="465"/>
    </row>
    <row r="132" spans="2:6" ht="19.5" customHeight="1" hidden="1">
      <c r="B132" s="464"/>
      <c r="C132" s="464"/>
      <c r="D132" s="464"/>
      <c r="E132" s="464"/>
      <c r="F132" s="465"/>
    </row>
    <row r="133" spans="2:6" ht="19.5" customHeight="1" hidden="1">
      <c r="B133" s="464"/>
      <c r="C133" s="464"/>
      <c r="D133" s="464"/>
      <c r="E133" s="464"/>
      <c r="F133" s="465"/>
    </row>
    <row r="134" spans="2:6" ht="19.5" customHeight="1">
      <c r="B134" s="464"/>
      <c r="C134" s="464"/>
      <c r="D134" s="464"/>
      <c r="E134" s="464"/>
      <c r="F134" s="465"/>
    </row>
    <row r="135" spans="2:6" ht="19.5" customHeight="1">
      <c r="B135" s="464"/>
      <c r="C135" s="464"/>
      <c r="D135" s="464"/>
      <c r="E135" s="464"/>
      <c r="F135" s="465"/>
    </row>
    <row r="136" spans="2:6" ht="19.5" customHeight="1">
      <c r="B136" s="464"/>
      <c r="C136" s="464"/>
      <c r="D136" s="464"/>
      <c r="E136" s="464"/>
      <c r="F136" s="465"/>
    </row>
    <row r="137" spans="2:6" ht="19.5" customHeight="1">
      <c r="B137" s="464"/>
      <c r="C137" s="464"/>
      <c r="D137" s="464"/>
      <c r="E137" s="464"/>
      <c r="F137" s="465"/>
    </row>
    <row r="138" spans="2:6" ht="19.5" customHeight="1">
      <c r="B138" s="464"/>
      <c r="C138" s="464"/>
      <c r="D138" s="464"/>
      <c r="E138" s="464"/>
      <c r="F138" s="465"/>
    </row>
    <row r="139" spans="2:6" ht="19.5" customHeight="1">
      <c r="B139" s="464"/>
      <c r="C139" s="464"/>
      <c r="D139" s="464"/>
      <c r="E139" s="464"/>
      <c r="F139" s="465"/>
    </row>
    <row r="140" spans="2:6" ht="19.5" customHeight="1">
      <c r="B140" s="464"/>
      <c r="C140" s="464"/>
      <c r="D140" s="464"/>
      <c r="E140" s="464"/>
      <c r="F140" s="465"/>
    </row>
    <row r="141" spans="2:6" ht="19.5" customHeight="1">
      <c r="B141" s="464"/>
      <c r="C141" s="464"/>
      <c r="D141" s="464"/>
      <c r="E141" s="464"/>
      <c r="F141" s="465"/>
    </row>
    <row r="142" spans="2:6" ht="19.5" customHeight="1">
      <c r="B142" s="464"/>
      <c r="C142" s="464"/>
      <c r="D142" s="464"/>
      <c r="E142" s="464"/>
      <c r="F142" s="465"/>
    </row>
    <row r="143" spans="2:6" ht="19.5" customHeight="1">
      <c r="B143" s="464"/>
      <c r="C143" s="464"/>
      <c r="D143" s="464"/>
      <c r="E143" s="464"/>
      <c r="F143" s="465"/>
    </row>
    <row r="144" spans="2:6" ht="19.5" customHeight="1">
      <c r="B144" s="464"/>
      <c r="C144" s="464"/>
      <c r="D144" s="464"/>
      <c r="E144" s="464"/>
      <c r="F144" s="465"/>
    </row>
    <row r="145" spans="2:6" ht="19.5" customHeight="1">
      <c r="B145" s="464"/>
      <c r="C145" s="464"/>
      <c r="D145" s="464"/>
      <c r="E145" s="464"/>
      <c r="F145" s="465"/>
    </row>
    <row r="146" spans="2:6" ht="19.5" customHeight="1">
      <c r="B146" s="464"/>
      <c r="C146" s="464"/>
      <c r="D146" s="464"/>
      <c r="E146" s="464"/>
      <c r="F146" s="465"/>
    </row>
    <row r="147" spans="2:6" ht="19.5" customHeight="1">
      <c r="B147" s="464"/>
      <c r="C147" s="464"/>
      <c r="D147" s="464"/>
      <c r="E147" s="464"/>
      <c r="F147" s="465"/>
    </row>
    <row r="148" spans="2:6" ht="19.5" customHeight="1">
      <c r="B148" s="464"/>
      <c r="C148" s="464"/>
      <c r="D148" s="464"/>
      <c r="E148" s="464"/>
      <c r="F148" s="465"/>
    </row>
    <row r="149" spans="2:6" ht="19.5" customHeight="1">
      <c r="B149" s="464"/>
      <c r="C149" s="464"/>
      <c r="D149" s="464"/>
      <c r="E149" s="464"/>
      <c r="F149" s="465"/>
    </row>
    <row r="150" spans="2:6" ht="19.5" customHeight="1">
      <c r="B150" s="464"/>
      <c r="C150" s="464"/>
      <c r="D150" s="464"/>
      <c r="E150" s="464"/>
      <c r="F150" s="465"/>
    </row>
    <row r="151" spans="2:6" ht="19.5" customHeight="1">
      <c r="B151" s="464"/>
      <c r="C151" s="464"/>
      <c r="D151" s="464"/>
      <c r="E151" s="464"/>
      <c r="F151" s="465"/>
    </row>
    <row r="152" spans="2:6" ht="19.5" customHeight="1">
      <c r="B152" s="464"/>
      <c r="C152" s="464"/>
      <c r="D152" s="464"/>
      <c r="E152" s="464"/>
      <c r="F152" s="465"/>
    </row>
    <row r="153" spans="2:6" ht="19.5" customHeight="1">
      <c r="B153" s="464"/>
      <c r="C153" s="464"/>
      <c r="D153" s="464"/>
      <c r="E153" s="464"/>
      <c r="F153" s="465"/>
    </row>
    <row r="154" spans="2:6" ht="19.5" customHeight="1">
      <c r="B154" s="464"/>
      <c r="C154" s="464"/>
      <c r="D154" s="464"/>
      <c r="E154" s="464"/>
      <c r="F154" s="465"/>
    </row>
    <row r="155" spans="2:6" ht="19.5" customHeight="1">
      <c r="B155" s="464"/>
      <c r="C155" s="464"/>
      <c r="D155" s="464"/>
      <c r="E155" s="464"/>
      <c r="F155" s="465"/>
    </row>
    <row r="156" spans="2:6" ht="19.5" customHeight="1">
      <c r="B156" s="464"/>
      <c r="C156" s="464"/>
      <c r="D156" s="464"/>
      <c r="E156" s="464"/>
      <c r="F156" s="465"/>
    </row>
    <row r="157" spans="2:6" ht="19.5" customHeight="1">
      <c r="B157" s="464"/>
      <c r="C157" s="464"/>
      <c r="D157" s="464"/>
      <c r="E157" s="464"/>
      <c r="F157" s="465"/>
    </row>
    <row r="158" spans="2:6" ht="19.5" customHeight="1">
      <c r="B158" s="464"/>
      <c r="C158" s="464"/>
      <c r="D158" s="464"/>
      <c r="E158" s="464"/>
      <c r="F158" s="465"/>
    </row>
    <row r="159" spans="2:6" ht="19.5" customHeight="1">
      <c r="B159" s="464"/>
      <c r="C159" s="464"/>
      <c r="D159" s="464"/>
      <c r="E159" s="464"/>
      <c r="F159" s="465"/>
    </row>
    <row r="160" spans="2:6" ht="19.5" customHeight="1">
      <c r="B160" s="464"/>
      <c r="C160" s="464"/>
      <c r="D160" s="464"/>
      <c r="E160" s="464"/>
      <c r="F160" s="465"/>
    </row>
    <row r="161" spans="2:6" ht="19.5" customHeight="1">
      <c r="B161" s="464"/>
      <c r="C161" s="464"/>
      <c r="D161" s="464"/>
      <c r="E161" s="464"/>
      <c r="F161" s="465"/>
    </row>
    <row r="162" spans="2:6" ht="19.5" customHeight="1">
      <c r="B162" s="464"/>
      <c r="C162" s="464"/>
      <c r="D162" s="464"/>
      <c r="E162" s="464"/>
      <c r="F162" s="465"/>
    </row>
    <row r="163" spans="2:6" ht="19.5" customHeight="1">
      <c r="B163" s="464"/>
      <c r="C163" s="464"/>
      <c r="D163" s="464"/>
      <c r="E163" s="464"/>
      <c r="F163" s="465"/>
    </row>
    <row r="164" spans="2:6" ht="19.5" customHeight="1">
      <c r="B164" s="464"/>
      <c r="C164" s="464"/>
      <c r="D164" s="464"/>
      <c r="E164" s="464"/>
      <c r="F164" s="465"/>
    </row>
    <row r="165" spans="2:6" ht="19.5" customHeight="1">
      <c r="B165" s="464"/>
      <c r="C165" s="464"/>
      <c r="D165" s="464"/>
      <c r="E165" s="464"/>
      <c r="F165" s="465"/>
    </row>
    <row r="166" spans="2:6" ht="19.5" customHeight="1">
      <c r="B166" s="464"/>
      <c r="C166" s="464"/>
      <c r="D166" s="464"/>
      <c r="E166" s="464"/>
      <c r="F166" s="465"/>
    </row>
    <row r="167" spans="2:6" ht="19.5" customHeight="1">
      <c r="B167" s="464"/>
      <c r="C167" s="464"/>
      <c r="D167" s="464"/>
      <c r="E167" s="464"/>
      <c r="F167" s="465"/>
    </row>
    <row r="168" spans="2:6" ht="19.5" customHeight="1">
      <c r="B168" s="464"/>
      <c r="C168" s="464"/>
      <c r="D168" s="464"/>
      <c r="E168" s="464"/>
      <c r="F168" s="465"/>
    </row>
    <row r="169" spans="2:6" ht="19.5" customHeight="1">
      <c r="B169" s="464"/>
      <c r="C169" s="464"/>
      <c r="D169" s="464"/>
      <c r="E169" s="464"/>
      <c r="F169" s="465"/>
    </row>
    <row r="170" spans="2:6" ht="19.5" customHeight="1">
      <c r="B170" s="464"/>
      <c r="C170" s="464"/>
      <c r="D170" s="464"/>
      <c r="E170" s="464"/>
      <c r="F170" s="465"/>
    </row>
    <row r="171" spans="2:6" ht="19.5" customHeight="1">
      <c r="B171" s="464"/>
      <c r="C171" s="464"/>
      <c r="D171" s="464"/>
      <c r="E171" s="464"/>
      <c r="F171" s="465"/>
    </row>
    <row r="172" spans="2:6" ht="19.5" customHeight="1">
      <c r="B172" s="464"/>
      <c r="C172" s="464"/>
      <c r="D172" s="464"/>
      <c r="E172" s="464"/>
      <c r="F172" s="465"/>
    </row>
    <row r="173" spans="2:6" ht="19.5" customHeight="1">
      <c r="B173" s="464"/>
      <c r="C173" s="464"/>
      <c r="D173" s="464"/>
      <c r="E173" s="464"/>
      <c r="F173" s="465"/>
    </row>
    <row r="174" spans="2:6" ht="19.5" customHeight="1">
      <c r="B174" s="464"/>
      <c r="C174" s="464"/>
      <c r="D174" s="464"/>
      <c r="E174" s="464"/>
      <c r="F174" s="465"/>
    </row>
    <row r="175" spans="2:6" ht="19.5" customHeight="1">
      <c r="B175" s="464"/>
      <c r="C175" s="464"/>
      <c r="D175" s="464"/>
      <c r="E175" s="464"/>
      <c r="F175" s="465"/>
    </row>
    <row r="176" spans="2:6" ht="19.5" customHeight="1">
      <c r="B176" s="464"/>
      <c r="C176" s="464"/>
      <c r="D176" s="464"/>
      <c r="E176" s="464"/>
      <c r="F176" s="465"/>
    </row>
    <row r="177" spans="2:6" ht="19.5" customHeight="1">
      <c r="B177" s="464"/>
      <c r="C177" s="464"/>
      <c r="D177" s="464"/>
      <c r="E177" s="464"/>
      <c r="F177" s="465"/>
    </row>
    <row r="178" spans="2:6" ht="19.5" customHeight="1">
      <c r="B178" s="464"/>
      <c r="C178" s="464"/>
      <c r="D178" s="464"/>
      <c r="E178" s="464"/>
      <c r="F178" s="465"/>
    </row>
    <row r="179" spans="2:6" ht="19.5" customHeight="1">
      <c r="B179" s="464"/>
      <c r="C179" s="464"/>
      <c r="D179" s="464"/>
      <c r="E179" s="464"/>
      <c r="F179" s="465"/>
    </row>
    <row r="180" spans="2:6" ht="19.5" customHeight="1">
      <c r="B180" s="464"/>
      <c r="C180" s="464"/>
      <c r="D180" s="464"/>
      <c r="E180" s="464"/>
      <c r="F180" s="465"/>
    </row>
    <row r="181" spans="2:6" ht="19.5" customHeight="1">
      <c r="B181" s="464"/>
      <c r="C181" s="464"/>
      <c r="D181" s="464"/>
      <c r="E181" s="464"/>
      <c r="F181" s="465"/>
    </row>
    <row r="182" spans="2:6" ht="19.5" customHeight="1">
      <c r="B182" s="464"/>
      <c r="C182" s="464"/>
      <c r="D182" s="464"/>
      <c r="E182" s="464"/>
      <c r="F182" s="465"/>
    </row>
    <row r="183" spans="2:6" ht="19.5" customHeight="1">
      <c r="B183" s="464"/>
      <c r="C183" s="464"/>
      <c r="D183" s="464"/>
      <c r="E183" s="464"/>
      <c r="F183" s="465"/>
    </row>
    <row r="184" spans="2:6" ht="19.5" customHeight="1">
      <c r="B184" s="464"/>
      <c r="C184" s="464"/>
      <c r="D184" s="464"/>
      <c r="E184" s="464"/>
      <c r="F184" s="465"/>
    </row>
    <row r="185" spans="2:6" ht="19.5" customHeight="1">
      <c r="B185" s="464"/>
      <c r="C185" s="464"/>
      <c r="D185" s="464"/>
      <c r="E185" s="464"/>
      <c r="F185" s="465"/>
    </row>
    <row r="186" spans="2:6" ht="19.5" customHeight="1">
      <c r="B186" s="464"/>
      <c r="C186" s="464"/>
      <c r="D186" s="464"/>
      <c r="E186" s="464"/>
      <c r="F186" s="465"/>
    </row>
    <row r="187" spans="2:6" ht="19.5" customHeight="1">
      <c r="B187" s="464"/>
      <c r="C187" s="464"/>
      <c r="D187" s="464"/>
      <c r="E187" s="464"/>
      <c r="F187" s="465"/>
    </row>
    <row r="188" spans="2:6" ht="19.5" customHeight="1">
      <c r="B188" s="464"/>
      <c r="C188" s="464"/>
      <c r="D188" s="464"/>
      <c r="E188" s="464"/>
      <c r="F188" s="465"/>
    </row>
    <row r="189" spans="2:6" ht="19.5" customHeight="1">
      <c r="B189" s="464"/>
      <c r="C189" s="464"/>
      <c r="D189" s="464"/>
      <c r="E189" s="464"/>
      <c r="F189" s="465"/>
    </row>
    <row r="190" spans="2:6" ht="19.5" customHeight="1">
      <c r="B190" s="464"/>
      <c r="C190" s="464"/>
      <c r="D190" s="464"/>
      <c r="E190" s="464"/>
      <c r="F190" s="465"/>
    </row>
    <row r="191" spans="2:6" ht="19.5" customHeight="1">
      <c r="B191" s="464"/>
      <c r="C191" s="464"/>
      <c r="D191" s="464"/>
      <c r="E191" s="464"/>
      <c r="F191" s="465"/>
    </row>
    <row r="192" spans="2:6" ht="19.5" customHeight="1">
      <c r="B192" s="464"/>
      <c r="C192" s="464"/>
      <c r="D192" s="464"/>
      <c r="E192" s="464"/>
      <c r="F192" s="465"/>
    </row>
    <row r="193" spans="2:6" ht="19.5" customHeight="1">
      <c r="B193" s="464"/>
      <c r="C193" s="464"/>
      <c r="D193" s="464"/>
      <c r="E193" s="464"/>
      <c r="F193" s="465"/>
    </row>
    <row r="194" spans="2:6" ht="19.5" customHeight="1">
      <c r="B194" s="464"/>
      <c r="C194" s="464"/>
      <c r="D194" s="464"/>
      <c r="E194" s="464"/>
      <c r="F194" s="465"/>
    </row>
    <row r="195" spans="2:6" ht="19.5" customHeight="1">
      <c r="B195" s="464"/>
      <c r="C195" s="464"/>
      <c r="D195" s="464"/>
      <c r="E195" s="464"/>
      <c r="F195" s="465"/>
    </row>
    <row r="196" spans="2:6" ht="19.5" customHeight="1">
      <c r="B196" s="464"/>
      <c r="C196" s="464"/>
      <c r="D196" s="464"/>
      <c r="E196" s="464"/>
      <c r="F196" s="465"/>
    </row>
    <row r="197" spans="2:6" ht="19.5" customHeight="1">
      <c r="B197" s="464"/>
      <c r="C197" s="464"/>
      <c r="D197" s="464"/>
      <c r="E197" s="464"/>
      <c r="F197" s="465"/>
    </row>
    <row r="198" spans="2:6" ht="19.5" customHeight="1">
      <c r="B198" s="464"/>
      <c r="C198" s="464"/>
      <c r="D198" s="464"/>
      <c r="E198" s="464"/>
      <c r="F198" s="465"/>
    </row>
    <row r="199" spans="2:6" ht="19.5" customHeight="1">
      <c r="B199" s="464"/>
      <c r="C199" s="464"/>
      <c r="D199" s="464"/>
      <c r="E199" s="464"/>
      <c r="F199" s="465"/>
    </row>
    <row r="200" spans="2:6" ht="19.5" customHeight="1">
      <c r="B200" s="464"/>
      <c r="C200" s="464"/>
      <c r="D200" s="464"/>
      <c r="E200" s="464"/>
      <c r="F200" s="465"/>
    </row>
    <row r="201" spans="2:6" ht="19.5" customHeight="1">
      <c r="B201" s="464"/>
      <c r="C201" s="464"/>
      <c r="D201" s="464"/>
      <c r="E201" s="464"/>
      <c r="F201" s="465"/>
    </row>
    <row r="202" spans="2:6" ht="19.5" customHeight="1">
      <c r="B202" s="464"/>
      <c r="C202" s="464"/>
      <c r="D202" s="464"/>
      <c r="E202" s="464"/>
      <c r="F202" s="465"/>
    </row>
    <row r="203" spans="2:6" ht="19.5" customHeight="1">
      <c r="B203" s="464"/>
      <c r="C203" s="464"/>
      <c r="D203" s="464"/>
      <c r="E203" s="464"/>
      <c r="F203" s="465"/>
    </row>
    <row r="204" spans="2:6" ht="19.5" customHeight="1">
      <c r="B204" s="464"/>
      <c r="C204" s="464"/>
      <c r="D204" s="464"/>
      <c r="E204" s="464"/>
      <c r="F204" s="465"/>
    </row>
    <row r="205" spans="2:6" ht="19.5" customHeight="1">
      <c r="B205" s="464"/>
      <c r="C205" s="464"/>
      <c r="D205" s="464"/>
      <c r="E205" s="464"/>
      <c r="F205" s="465"/>
    </row>
    <row r="206" spans="2:6" ht="19.5" customHeight="1">
      <c r="B206" s="464"/>
      <c r="C206" s="464"/>
      <c r="D206" s="464"/>
      <c r="E206" s="464"/>
      <c r="F206" s="465"/>
    </row>
    <row r="207" spans="2:6" ht="19.5" customHeight="1">
      <c r="B207" s="464"/>
      <c r="C207" s="464"/>
      <c r="D207" s="464"/>
      <c r="E207" s="464"/>
      <c r="F207" s="465"/>
    </row>
    <row r="208" spans="2:6" ht="19.5" customHeight="1">
      <c r="B208" s="464"/>
      <c r="C208" s="464"/>
      <c r="D208" s="464"/>
      <c r="E208" s="464"/>
      <c r="F208" s="465"/>
    </row>
    <row r="209" spans="2:6" ht="19.5" customHeight="1">
      <c r="B209" s="464"/>
      <c r="C209" s="464"/>
      <c r="D209" s="464"/>
      <c r="E209" s="464"/>
      <c r="F209" s="465"/>
    </row>
    <row r="210" spans="2:6" ht="19.5" customHeight="1">
      <c r="B210" s="464"/>
      <c r="C210" s="464"/>
      <c r="D210" s="464"/>
      <c r="E210" s="464"/>
      <c r="F210" s="465"/>
    </row>
    <row r="211" spans="2:6" ht="19.5" customHeight="1">
      <c r="B211" s="464"/>
      <c r="C211" s="464"/>
      <c r="D211" s="464"/>
      <c r="E211" s="464"/>
      <c r="F211" s="465"/>
    </row>
    <row r="212" spans="2:6" ht="19.5" customHeight="1">
      <c r="B212" s="464"/>
      <c r="C212" s="464"/>
      <c r="D212" s="464"/>
      <c r="E212" s="464"/>
      <c r="F212" s="465"/>
    </row>
    <row r="213" spans="2:6" ht="19.5" customHeight="1">
      <c r="B213" s="464"/>
      <c r="C213" s="464"/>
      <c r="D213" s="464"/>
      <c r="E213" s="464"/>
      <c r="F213" s="465"/>
    </row>
    <row r="214" spans="2:6" ht="19.5" customHeight="1">
      <c r="B214" s="464"/>
      <c r="C214" s="464"/>
      <c r="D214" s="464"/>
      <c r="E214" s="464"/>
      <c r="F214" s="465"/>
    </row>
    <row r="215" spans="2:6" ht="19.5" customHeight="1">
      <c r="B215" s="464"/>
      <c r="C215" s="464"/>
      <c r="D215" s="464"/>
      <c r="E215" s="464"/>
      <c r="F215" s="465"/>
    </row>
    <row r="216" spans="2:6" ht="19.5" customHeight="1">
      <c r="B216" s="464"/>
      <c r="C216" s="464"/>
      <c r="D216" s="464"/>
      <c r="E216" s="464"/>
      <c r="F216" s="465"/>
    </row>
    <row r="217" spans="2:6" ht="19.5" customHeight="1">
      <c r="B217" s="464"/>
      <c r="C217" s="464"/>
      <c r="D217" s="464"/>
      <c r="E217" s="464"/>
      <c r="F217" s="465"/>
    </row>
    <row r="218" spans="2:6" ht="19.5" customHeight="1">
      <c r="B218" s="464"/>
      <c r="C218" s="464"/>
      <c r="D218" s="464"/>
      <c r="E218" s="464"/>
      <c r="F218" s="465"/>
    </row>
    <row r="219" spans="2:6" ht="19.5" customHeight="1">
      <c r="B219" s="464"/>
      <c r="C219" s="464"/>
      <c r="D219" s="464"/>
      <c r="E219" s="464"/>
      <c r="F219" s="465"/>
    </row>
    <row r="220" spans="2:6" ht="19.5" customHeight="1">
      <c r="B220" s="464"/>
      <c r="C220" s="464"/>
      <c r="D220" s="464"/>
      <c r="E220" s="464"/>
      <c r="F220" s="465"/>
    </row>
    <row r="221" spans="2:6" ht="19.5" customHeight="1">
      <c r="B221" s="464"/>
      <c r="C221" s="464"/>
      <c r="D221" s="464"/>
      <c r="E221" s="464"/>
      <c r="F221" s="465"/>
    </row>
    <row r="222" spans="2:6" ht="19.5" customHeight="1">
      <c r="B222" s="464"/>
      <c r="C222" s="464"/>
      <c r="D222" s="464"/>
      <c r="E222" s="464"/>
      <c r="F222" s="465"/>
    </row>
    <row r="223" spans="2:6" ht="19.5" customHeight="1">
      <c r="B223" s="464"/>
      <c r="C223" s="464"/>
      <c r="D223" s="464"/>
      <c r="E223" s="464"/>
      <c r="F223" s="465"/>
    </row>
    <row r="224" spans="2:6" ht="19.5" customHeight="1">
      <c r="B224" s="464"/>
      <c r="C224" s="464"/>
      <c r="D224" s="464"/>
      <c r="E224" s="464"/>
      <c r="F224" s="465"/>
    </row>
    <row r="225" spans="2:6" ht="19.5" customHeight="1">
      <c r="B225" s="464"/>
      <c r="C225" s="464"/>
      <c r="D225" s="464"/>
      <c r="E225" s="464"/>
      <c r="F225" s="465"/>
    </row>
    <row r="226" spans="2:6" ht="19.5" customHeight="1">
      <c r="B226" s="464"/>
      <c r="C226" s="464"/>
      <c r="D226" s="464"/>
      <c r="E226" s="464"/>
      <c r="F226" s="465"/>
    </row>
    <row r="227" spans="2:6" ht="19.5" customHeight="1">
      <c r="B227" s="464"/>
      <c r="C227" s="464"/>
      <c r="D227" s="464"/>
      <c r="E227" s="464"/>
      <c r="F227" s="465"/>
    </row>
    <row r="228" spans="2:6" ht="19.5" customHeight="1">
      <c r="B228" s="464"/>
      <c r="C228" s="464"/>
      <c r="D228" s="464"/>
      <c r="E228" s="464"/>
      <c r="F228" s="465"/>
    </row>
    <row r="229" spans="2:6" ht="19.5" customHeight="1">
      <c r="B229" s="464"/>
      <c r="C229" s="464"/>
      <c r="D229" s="464"/>
      <c r="E229" s="464"/>
      <c r="F229" s="465"/>
    </row>
    <row r="230" spans="2:6" ht="19.5" customHeight="1">
      <c r="B230" s="464"/>
      <c r="C230" s="464"/>
      <c r="D230" s="464"/>
      <c r="E230" s="464"/>
      <c r="F230" s="465"/>
    </row>
    <row r="231" spans="2:6" ht="19.5" customHeight="1">
      <c r="B231" s="464"/>
      <c r="C231" s="464"/>
      <c r="D231" s="464"/>
      <c r="E231" s="464"/>
      <c r="F231" s="465"/>
    </row>
    <row r="232" spans="2:6" ht="19.5" customHeight="1">
      <c r="B232" s="464"/>
      <c r="C232" s="464"/>
      <c r="D232" s="464"/>
      <c r="E232" s="464"/>
      <c r="F232" s="465"/>
    </row>
    <row r="233" spans="2:6" ht="19.5" customHeight="1">
      <c r="B233" s="464"/>
      <c r="C233" s="464"/>
      <c r="D233" s="464"/>
      <c r="E233" s="464"/>
      <c r="F233" s="465"/>
    </row>
    <row r="234" spans="2:6" ht="19.5" customHeight="1">
      <c r="B234" s="464"/>
      <c r="C234" s="464"/>
      <c r="D234" s="464"/>
      <c r="E234" s="464"/>
      <c r="F234" s="465"/>
    </row>
    <row r="235" spans="2:6" ht="19.5" customHeight="1">
      <c r="B235" s="464"/>
      <c r="C235" s="464"/>
      <c r="D235" s="464"/>
      <c r="E235" s="464"/>
      <c r="F235" s="465"/>
    </row>
    <row r="236" spans="2:6" ht="19.5" customHeight="1">
      <c r="B236" s="464"/>
      <c r="C236" s="464"/>
      <c r="D236" s="464"/>
      <c r="E236" s="464"/>
      <c r="F236" s="465"/>
    </row>
    <row r="237" spans="2:6" ht="19.5" customHeight="1">
      <c r="B237" s="464"/>
      <c r="C237" s="464"/>
      <c r="D237" s="464"/>
      <c r="E237" s="464"/>
      <c r="F237" s="465"/>
    </row>
    <row r="238" spans="2:6" ht="19.5" customHeight="1">
      <c r="B238" s="464"/>
      <c r="C238" s="464"/>
      <c r="D238" s="464"/>
      <c r="E238" s="464"/>
      <c r="F238" s="465"/>
    </row>
    <row r="239" spans="2:6" ht="19.5" customHeight="1">
      <c r="B239" s="464"/>
      <c r="C239" s="464"/>
      <c r="D239" s="464"/>
      <c r="E239" s="464"/>
      <c r="F239" s="465"/>
    </row>
    <row r="240" spans="2:6" ht="19.5" customHeight="1">
      <c r="B240" s="464"/>
      <c r="C240" s="464"/>
      <c r="D240" s="464"/>
      <c r="E240" s="464"/>
      <c r="F240" s="465"/>
    </row>
    <row r="241" spans="2:6" ht="19.5" customHeight="1">
      <c r="B241" s="464"/>
      <c r="C241" s="464"/>
      <c r="D241" s="464"/>
      <c r="E241" s="464"/>
      <c r="F241" s="465"/>
    </row>
    <row r="242" spans="2:6" ht="19.5" customHeight="1">
      <c r="B242" s="464"/>
      <c r="C242" s="464"/>
      <c r="D242" s="464"/>
      <c r="E242" s="464"/>
      <c r="F242" s="465"/>
    </row>
    <row r="243" spans="2:6" ht="19.5" customHeight="1">
      <c r="B243" s="464"/>
      <c r="C243" s="464"/>
      <c r="D243" s="464"/>
      <c r="E243" s="464"/>
      <c r="F243" s="465"/>
    </row>
    <row r="244" spans="2:6" ht="19.5" customHeight="1">
      <c r="B244" s="464"/>
      <c r="C244" s="464"/>
      <c r="D244" s="464"/>
      <c r="E244" s="464"/>
      <c r="F244" s="465"/>
    </row>
    <row r="245" spans="2:6" ht="19.5" customHeight="1">
      <c r="B245" s="464"/>
      <c r="C245" s="464"/>
      <c r="D245" s="464"/>
      <c r="E245" s="464"/>
      <c r="F245" s="465"/>
    </row>
    <row r="246" spans="2:6" ht="19.5" customHeight="1">
      <c r="B246" s="464"/>
      <c r="C246" s="464"/>
      <c r="D246" s="464"/>
      <c r="E246" s="464"/>
      <c r="F246" s="465"/>
    </row>
    <row r="247" spans="2:6" ht="19.5" customHeight="1">
      <c r="B247" s="464"/>
      <c r="C247" s="464"/>
      <c r="D247" s="464"/>
      <c r="E247" s="464"/>
      <c r="F247" s="465"/>
    </row>
    <row r="248" spans="2:6" ht="19.5" customHeight="1">
      <c r="B248" s="464"/>
      <c r="C248" s="464"/>
      <c r="D248" s="464"/>
      <c r="E248" s="464"/>
      <c r="F248" s="465"/>
    </row>
    <row r="249" spans="2:6" ht="19.5" customHeight="1">
      <c r="B249" s="464"/>
      <c r="C249" s="464"/>
      <c r="D249" s="464"/>
      <c r="E249" s="464"/>
      <c r="F249" s="465"/>
    </row>
    <row r="250" spans="2:6" ht="19.5" customHeight="1">
      <c r="B250" s="464"/>
      <c r="C250" s="464"/>
      <c r="D250" s="464"/>
      <c r="E250" s="464"/>
      <c r="F250" s="465"/>
    </row>
    <row r="251" spans="2:6" ht="19.5" customHeight="1">
      <c r="B251" s="464"/>
      <c r="C251" s="464"/>
      <c r="D251" s="464"/>
      <c r="E251" s="464"/>
      <c r="F251" s="465"/>
    </row>
    <row r="252" spans="2:6" ht="19.5" customHeight="1">
      <c r="B252" s="464"/>
      <c r="C252" s="464"/>
      <c r="D252" s="464"/>
      <c r="E252" s="464"/>
      <c r="F252" s="465"/>
    </row>
    <row r="253" spans="2:6" ht="19.5" customHeight="1">
      <c r="B253" s="464"/>
      <c r="C253" s="464"/>
      <c r="D253" s="464"/>
      <c r="E253" s="464"/>
      <c r="F253" s="465"/>
    </row>
    <row r="254" spans="2:6" ht="19.5" customHeight="1">
      <c r="B254" s="464"/>
      <c r="C254" s="464"/>
      <c r="D254" s="464"/>
      <c r="E254" s="464"/>
      <c r="F254" s="465"/>
    </row>
    <row r="255" spans="2:6" ht="19.5" customHeight="1">
      <c r="B255" s="464"/>
      <c r="C255" s="464"/>
      <c r="D255" s="464"/>
      <c r="E255" s="464"/>
      <c r="F255" s="465"/>
    </row>
    <row r="256" spans="2:6" ht="19.5" customHeight="1">
      <c r="B256" s="464"/>
      <c r="C256" s="464"/>
      <c r="D256" s="464"/>
      <c r="E256" s="464"/>
      <c r="F256" s="465"/>
    </row>
    <row r="257" spans="2:6" ht="19.5" customHeight="1">
      <c r="B257" s="464"/>
      <c r="C257" s="464"/>
      <c r="D257" s="464"/>
      <c r="E257" s="464"/>
      <c r="F257" s="465"/>
    </row>
    <row r="258" spans="2:6" ht="19.5" customHeight="1">
      <c r="B258" s="464"/>
      <c r="C258" s="464"/>
      <c r="D258" s="464"/>
      <c r="E258" s="464"/>
      <c r="F258" s="465"/>
    </row>
    <row r="259" spans="2:6" ht="19.5" customHeight="1">
      <c r="B259" s="464"/>
      <c r="C259" s="464"/>
      <c r="D259" s="464"/>
      <c r="E259" s="464"/>
      <c r="F259" s="465"/>
    </row>
    <row r="260" spans="2:6" ht="19.5" customHeight="1">
      <c r="B260" s="464"/>
      <c r="C260" s="464"/>
      <c r="D260" s="464"/>
      <c r="E260" s="464"/>
      <c r="F260" s="465"/>
    </row>
    <row r="261" spans="2:6" ht="19.5" customHeight="1">
      <c r="B261" s="464"/>
      <c r="C261" s="464"/>
      <c r="D261" s="464"/>
      <c r="E261" s="464"/>
      <c r="F261" s="465"/>
    </row>
    <row r="262" spans="2:6" ht="19.5" customHeight="1">
      <c r="B262" s="464"/>
      <c r="C262" s="464"/>
      <c r="D262" s="464"/>
      <c r="E262" s="464"/>
      <c r="F262" s="465"/>
    </row>
    <row r="263" spans="2:6" ht="19.5" customHeight="1">
      <c r="B263" s="464"/>
      <c r="C263" s="464"/>
      <c r="D263" s="464"/>
      <c r="E263" s="464"/>
      <c r="F263" s="465"/>
    </row>
    <row r="264" spans="2:6" ht="19.5" customHeight="1">
      <c r="B264" s="464"/>
      <c r="C264" s="464"/>
      <c r="D264" s="464"/>
      <c r="E264" s="464"/>
      <c r="F264" s="465"/>
    </row>
    <row r="265" spans="2:6" ht="19.5" customHeight="1">
      <c r="B265" s="464"/>
      <c r="C265" s="464"/>
      <c r="D265" s="464"/>
      <c r="E265" s="464"/>
      <c r="F265" s="465"/>
    </row>
    <row r="266" spans="2:6" ht="19.5" customHeight="1">
      <c r="B266" s="464"/>
      <c r="C266" s="464"/>
      <c r="D266" s="464"/>
      <c r="E266" s="464"/>
      <c r="F266" s="465"/>
    </row>
    <row r="267" spans="2:6" ht="19.5" customHeight="1">
      <c r="B267" s="464"/>
      <c r="C267" s="464"/>
      <c r="D267" s="464"/>
      <c r="E267" s="464"/>
      <c r="F267" s="465"/>
    </row>
    <row r="268" spans="2:6" ht="19.5" customHeight="1">
      <c r="B268" s="464"/>
      <c r="C268" s="464"/>
      <c r="D268" s="464"/>
      <c r="E268" s="464"/>
      <c r="F268" s="465"/>
    </row>
    <row r="269" spans="2:6" ht="19.5" customHeight="1">
      <c r="B269" s="464"/>
      <c r="C269" s="464"/>
      <c r="D269" s="464"/>
      <c r="E269" s="464"/>
      <c r="F269" s="465"/>
    </row>
    <row r="270" spans="2:6" ht="19.5" customHeight="1">
      <c r="B270" s="464"/>
      <c r="C270" s="464"/>
      <c r="D270" s="464"/>
      <c r="E270" s="464"/>
      <c r="F270" s="465"/>
    </row>
    <row r="271" spans="2:6" ht="19.5" customHeight="1">
      <c r="B271" s="464"/>
      <c r="C271" s="464"/>
      <c r="D271" s="464"/>
      <c r="E271" s="464"/>
      <c r="F271" s="465"/>
    </row>
    <row r="272" spans="2:6" ht="19.5" customHeight="1">
      <c r="B272" s="464"/>
      <c r="C272" s="464"/>
      <c r="D272" s="464"/>
      <c r="E272" s="464"/>
      <c r="F272" s="465"/>
    </row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9:D9"/>
    <mergeCell ref="A8:C8"/>
    <mergeCell ref="A7:C7"/>
  </mergeCells>
  <conditionalFormatting sqref="B46:E46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B59:E62"/>
    <dataValidation allowBlank="1" showInputMessage="1" showErrorMessage="1" promptTitle="FICHA EP-9" prompt="ESTE DATO DEBE COINCIDIR CON LA FICHA EP-9" sqref="B46:E46"/>
    <dataValidation allowBlank="1" showInputMessage="1" showErrorMessage="1" promptTitle="DIVIDENDOS" prompt="COMPROBAR QUE LOS INGRESOS POR REPARTO POR DIVIDENDOS COINCIDEN CON LA HOJA EP-4 INV ACT NO FIN" sqref="B35:F38"/>
  </dataValidations>
  <printOptions horizontalCentered="1" verticalCentered="1"/>
  <pageMargins left="0" right="0" top="0.3" bottom="0" header="0" footer="0"/>
  <pageSetup horizontalDpi="600" verticalDpi="600" orientation="portrait" paperSize="9" scale="35" r:id="rId2"/>
  <headerFooter alignWithMargins="0">
    <oddFooter>&amp;L&amp;7Plaza de España, 1
38003 Santa Cruz de Tenerife
Teléfono: 901 501 901
www.tenerife.es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Q552"/>
  <sheetViews>
    <sheetView showGridLines="0" zoomScale="70" zoomScaleNormal="70" zoomScalePageLayoutView="0" workbookViewId="0" topLeftCell="A1">
      <selection activeCell="B4" sqref="B4"/>
    </sheetView>
  </sheetViews>
  <sheetFormatPr defaultColWidth="10.7109375" defaultRowHeight="12.75"/>
  <cols>
    <col min="1" max="1" width="53.140625" style="510" bestFit="1" customWidth="1"/>
    <col min="2" max="2" width="17.421875" style="510" customWidth="1"/>
    <col min="3" max="3" width="19.8515625" style="510" customWidth="1"/>
    <col min="4" max="4" width="17.8515625" style="511" customWidth="1"/>
    <col min="5" max="5" width="1.7109375" style="512" customWidth="1"/>
    <col min="6" max="6" width="9.421875" style="510" hidden="1" customWidth="1"/>
    <col min="7" max="7" width="9.57421875" style="510" hidden="1" customWidth="1"/>
    <col min="8" max="8" width="10.140625" style="510" hidden="1" customWidth="1"/>
    <col min="9" max="9" width="6.57421875" style="510" hidden="1" customWidth="1"/>
    <col min="10" max="10" width="7.421875" style="510" hidden="1" customWidth="1"/>
    <col min="11" max="11" width="11.140625" style="510" hidden="1" customWidth="1"/>
    <col min="12" max="12" width="10.421875" style="510" hidden="1" customWidth="1"/>
    <col min="13" max="13" width="12.28125" style="879" hidden="1" customWidth="1"/>
    <col min="14" max="14" width="0" style="880" hidden="1" customWidth="1"/>
    <col min="15" max="16" width="11.7109375" style="880" hidden="1" customWidth="1"/>
    <col min="17" max="17" width="0" style="880" hidden="1" customWidth="1"/>
    <col min="18" max="16384" width="10.7109375" style="510" customWidth="1"/>
  </cols>
  <sheetData>
    <row r="1" spans="1:3" ht="12.75">
      <c r="A1" s="423"/>
      <c r="B1" s="825" t="s">
        <v>674</v>
      </c>
      <c r="C1" s="423"/>
    </row>
    <row r="2" spans="1:3" ht="12.75">
      <c r="A2" s="423"/>
      <c r="B2" s="826" t="s">
        <v>675</v>
      </c>
      <c r="C2" s="423"/>
    </row>
    <row r="3" spans="1:3" ht="12.75">
      <c r="A3" s="423"/>
      <c r="B3" s="423"/>
      <c r="C3" s="423"/>
    </row>
    <row r="4" spans="1:3" ht="12.75">
      <c r="A4" s="822" t="s">
        <v>525</v>
      </c>
      <c r="B4" s="827">
        <v>42339</v>
      </c>
      <c r="C4" s="423"/>
    </row>
    <row r="5" spans="1:3" ht="12.75">
      <c r="A5" s="822" t="s">
        <v>673</v>
      </c>
      <c r="B5" s="828" t="s">
        <v>676</v>
      </c>
      <c r="C5" s="423"/>
    </row>
    <row r="7" spans="1:17" s="482" customFormat="1" ht="49.5" customHeight="1">
      <c r="A7" s="984" t="s">
        <v>305</v>
      </c>
      <c r="B7" s="984"/>
      <c r="C7" s="984"/>
      <c r="D7" s="419">
        <f>CPYG!D7</f>
        <v>2016</v>
      </c>
      <c r="E7" s="420"/>
      <c r="M7" s="881"/>
      <c r="N7" s="882"/>
      <c r="O7" s="882"/>
      <c r="P7" s="882"/>
      <c r="Q7" s="882"/>
    </row>
    <row r="8" spans="1:17" s="482" customFormat="1" ht="37.5" customHeight="1">
      <c r="A8" s="985" t="str">
        <f>CPYG!A8</f>
        <v>SPET, TURISMO DE TENERIFE, S.A.</v>
      </c>
      <c r="B8" s="986"/>
      <c r="C8" s="987"/>
      <c r="D8" s="424" t="s">
        <v>306</v>
      </c>
      <c r="E8" s="425"/>
      <c r="M8" s="881"/>
      <c r="N8" s="882"/>
      <c r="O8" s="882"/>
      <c r="P8" s="882"/>
      <c r="Q8" s="882"/>
    </row>
    <row r="9" spans="1:17" s="482" customFormat="1" ht="24.75" customHeight="1">
      <c r="A9" s="988" t="s">
        <v>677</v>
      </c>
      <c r="B9" s="988"/>
      <c r="C9" s="988"/>
      <c r="D9" s="988"/>
      <c r="E9" s="483"/>
      <c r="M9" s="881"/>
      <c r="N9" s="882"/>
      <c r="O9" s="882"/>
      <c r="P9" s="882"/>
      <c r="Q9" s="882"/>
    </row>
    <row r="10" spans="1:17" s="482" customFormat="1" ht="40.5" customHeight="1">
      <c r="A10" s="484" t="s">
        <v>306</v>
      </c>
      <c r="B10" s="485" t="s">
        <v>782</v>
      </c>
      <c r="C10" s="486" t="s">
        <v>784</v>
      </c>
      <c r="D10" s="486" t="s">
        <v>785</v>
      </c>
      <c r="E10" s="487"/>
      <c r="M10" s="883" t="s">
        <v>196</v>
      </c>
      <c r="N10" s="882"/>
      <c r="O10" s="884"/>
      <c r="P10" s="882"/>
      <c r="Q10" s="882"/>
    </row>
    <row r="11" spans="1:17" s="482" customFormat="1" ht="19.5" customHeight="1">
      <c r="A11" s="488" t="s">
        <v>445</v>
      </c>
      <c r="B11" s="561">
        <f>B12+B17+B21+B24+B25+B26+B27</f>
        <v>6159168.609999999</v>
      </c>
      <c r="C11" s="561">
        <f>C12+C17+C21+C24+C25+C26+C27</f>
        <v>4216526.67</v>
      </c>
      <c r="D11" s="561">
        <f>D12+D17+D21+D24+D25+D26+D27</f>
        <v>917557.05</v>
      </c>
      <c r="E11" s="489"/>
      <c r="M11" s="885">
        <f>+D11-C11</f>
        <v>-3298969.62</v>
      </c>
      <c r="N11" s="882"/>
      <c r="O11" s="884"/>
      <c r="P11" s="882"/>
      <c r="Q11" s="882"/>
    </row>
    <row r="12" spans="1:17" s="482" customFormat="1" ht="19.5" customHeight="1">
      <c r="A12" s="488" t="s">
        <v>336</v>
      </c>
      <c r="B12" s="561">
        <f>SUM(B13:B16)</f>
        <v>82721.39</v>
      </c>
      <c r="C12" s="561">
        <f>SUM(C13:C16)</f>
        <v>63000.369999999995</v>
      </c>
      <c r="D12" s="561">
        <f>SUM(D13:D16)</f>
        <v>33516.14</v>
      </c>
      <c r="E12" s="490"/>
      <c r="M12" s="884">
        <f>+D12-C12</f>
        <v>-29484.229999999996</v>
      </c>
      <c r="N12" s="882"/>
      <c r="O12" s="884">
        <v>-29484.23</v>
      </c>
      <c r="P12" s="882"/>
      <c r="Q12" s="882"/>
    </row>
    <row r="13" spans="1:17" s="482" customFormat="1" ht="19.5" customHeight="1">
      <c r="A13" s="491" t="s">
        <v>448</v>
      </c>
      <c r="B13" s="604"/>
      <c r="C13" s="604"/>
      <c r="D13" s="604"/>
      <c r="E13" s="490"/>
      <c r="M13" s="881"/>
      <c r="N13" s="882"/>
      <c r="O13" s="882"/>
      <c r="P13" s="882"/>
      <c r="Q13" s="882"/>
    </row>
    <row r="14" spans="1:17" s="482" customFormat="1" ht="19.5" customHeight="1">
      <c r="A14" s="491" t="s">
        <v>447</v>
      </c>
      <c r="B14" s="604">
        <v>49081.8</v>
      </c>
      <c r="C14" s="604">
        <v>33869.49</v>
      </c>
      <c r="D14" s="604">
        <v>12806.89</v>
      </c>
      <c r="E14" s="490"/>
      <c r="M14" s="881"/>
      <c r="N14" s="882"/>
      <c r="O14" s="884"/>
      <c r="P14" s="882"/>
      <c r="Q14" s="882"/>
    </row>
    <row r="15" spans="1:17" s="482" customFormat="1" ht="19.5" customHeight="1">
      <c r="A15" s="491" t="s">
        <v>446</v>
      </c>
      <c r="B15" s="604"/>
      <c r="C15" s="604"/>
      <c r="D15" s="604"/>
      <c r="E15" s="490"/>
      <c r="M15" s="881"/>
      <c r="N15" s="882"/>
      <c r="O15" s="884"/>
      <c r="P15" s="882"/>
      <c r="Q15" s="882"/>
    </row>
    <row r="16" spans="1:17" s="482" customFormat="1" ht="19.5" customHeight="1">
      <c r="A16" s="491" t="s">
        <v>683</v>
      </c>
      <c r="B16" s="604">
        <v>33639.59</v>
      </c>
      <c r="C16" s="604">
        <v>29130.88</v>
      </c>
      <c r="D16" s="604">
        <v>20709.25</v>
      </c>
      <c r="E16" s="490"/>
      <c r="M16" s="881"/>
      <c r="N16" s="882"/>
      <c r="O16" s="882"/>
      <c r="P16" s="882"/>
      <c r="Q16" s="882"/>
    </row>
    <row r="17" spans="1:17" s="482" customFormat="1" ht="19.5" customHeight="1">
      <c r="A17" s="488" t="s">
        <v>337</v>
      </c>
      <c r="B17" s="561">
        <f>SUM(B18:B20)</f>
        <v>895215.16</v>
      </c>
      <c r="C17" s="561">
        <f>SUM(C18:C20)</f>
        <v>835526.3</v>
      </c>
      <c r="D17" s="561">
        <f>SUM(D18:D20)</f>
        <v>774040.91</v>
      </c>
      <c r="E17" s="490"/>
      <c r="M17" s="884">
        <f>+D17-C17</f>
        <v>-61485.390000000014</v>
      </c>
      <c r="N17" s="882"/>
      <c r="O17" s="884">
        <v>-61485.39</v>
      </c>
      <c r="P17" s="882"/>
      <c r="Q17" s="882"/>
    </row>
    <row r="18" spans="1:17" s="482" customFormat="1" ht="19.5" customHeight="1">
      <c r="A18" s="491" t="s">
        <v>595</v>
      </c>
      <c r="B18" s="604"/>
      <c r="C18" s="604"/>
      <c r="D18" s="604"/>
      <c r="E18" s="490"/>
      <c r="M18" s="881"/>
      <c r="N18" s="882"/>
      <c r="O18" s="882"/>
      <c r="P18" s="882"/>
      <c r="Q18" s="882"/>
    </row>
    <row r="19" spans="1:17" s="482" customFormat="1" ht="19.5" customHeight="1">
      <c r="A19" s="491" t="s">
        <v>594</v>
      </c>
      <c r="B19" s="604"/>
      <c r="C19" s="604"/>
      <c r="D19" s="604"/>
      <c r="E19" s="490"/>
      <c r="M19" s="881"/>
      <c r="N19" s="882"/>
      <c r="O19" s="882"/>
      <c r="P19" s="882"/>
      <c r="Q19" s="882"/>
    </row>
    <row r="20" spans="1:17" s="482" customFormat="1" ht="19.5" customHeight="1">
      <c r="A20" s="491" t="s">
        <v>593</v>
      </c>
      <c r="B20" s="604">
        <v>895215.16</v>
      </c>
      <c r="C20" s="604">
        <v>835526.3</v>
      </c>
      <c r="D20" s="604">
        <f>+C20+CPYG!D61</f>
        <v>774040.91</v>
      </c>
      <c r="E20" s="490"/>
      <c r="M20" s="881"/>
      <c r="N20" s="882"/>
      <c r="O20" s="882"/>
      <c r="P20" s="882"/>
      <c r="Q20" s="882"/>
    </row>
    <row r="21" spans="1:17" s="482" customFormat="1" ht="19.5" customHeight="1">
      <c r="A21" s="488" t="s">
        <v>338</v>
      </c>
      <c r="B21" s="561">
        <f>SUM(B22:B23)</f>
        <v>0</v>
      </c>
      <c r="C21" s="561">
        <f>SUM(C22:C23)</f>
        <v>0</v>
      </c>
      <c r="D21" s="561">
        <f>SUM(D22:D23)</f>
        <v>0</v>
      </c>
      <c r="E21" s="490"/>
      <c r="M21" s="884">
        <f>+D21-C21</f>
        <v>0</v>
      </c>
      <c r="N21" s="882"/>
      <c r="O21" s="882"/>
      <c r="P21" s="882"/>
      <c r="Q21" s="882"/>
    </row>
    <row r="22" spans="1:17" s="482" customFormat="1" ht="19.5" customHeight="1">
      <c r="A22" s="491" t="s">
        <v>339</v>
      </c>
      <c r="B22" s="604"/>
      <c r="C22" s="604"/>
      <c r="D22" s="604"/>
      <c r="E22" s="490"/>
      <c r="M22" s="881"/>
      <c r="N22" s="882"/>
      <c r="O22" s="882"/>
      <c r="P22" s="882"/>
      <c r="Q22" s="882"/>
    </row>
    <row r="23" spans="1:17" s="482" customFormat="1" ht="19.5" customHeight="1">
      <c r="A23" s="491" t="s">
        <v>246</v>
      </c>
      <c r="B23" s="604"/>
      <c r="C23" s="604"/>
      <c r="D23" s="604"/>
      <c r="E23" s="490"/>
      <c r="M23" s="881"/>
      <c r="N23" s="882"/>
      <c r="O23" s="882"/>
      <c r="P23" s="882"/>
      <c r="Q23" s="882"/>
    </row>
    <row r="24" spans="1:17" s="482" customFormat="1" ht="19.5" customHeight="1">
      <c r="A24" s="488" t="s">
        <v>340</v>
      </c>
      <c r="B24" s="603">
        <f>110000+5071232.06</f>
        <v>5181232.06</v>
      </c>
      <c r="C24" s="603">
        <f>110000+3208000</f>
        <v>3318000</v>
      </c>
      <c r="D24" s="603">
        <v>110000</v>
      </c>
      <c r="E24" s="490"/>
      <c r="M24" s="885">
        <f aca="true" t="shared" si="0" ref="M24:M29">+D24-C24</f>
        <v>-3208000</v>
      </c>
      <c r="N24" s="882"/>
      <c r="O24" s="882"/>
      <c r="P24" s="882"/>
      <c r="Q24" s="882"/>
    </row>
    <row r="25" spans="1:17" s="482" customFormat="1" ht="19.5" customHeight="1">
      <c r="A25" s="488" t="s">
        <v>341</v>
      </c>
      <c r="B25" s="603"/>
      <c r="C25" s="603"/>
      <c r="D25" s="603">
        <v>0</v>
      </c>
      <c r="E25" s="490"/>
      <c r="M25" s="886">
        <f t="shared" si="0"/>
        <v>0</v>
      </c>
      <c r="N25" s="882"/>
      <c r="O25" s="887">
        <f>+B25-C25</f>
        <v>0</v>
      </c>
      <c r="P25" s="887">
        <f>+C25-O25</f>
        <v>0</v>
      </c>
      <c r="Q25" s="882"/>
    </row>
    <row r="26" spans="1:17" s="482" customFormat="1" ht="19.5" customHeight="1">
      <c r="A26" s="488" t="s">
        <v>247</v>
      </c>
      <c r="B26" s="603"/>
      <c r="C26" s="604"/>
      <c r="D26" s="604"/>
      <c r="F26" s="767" t="s">
        <v>436</v>
      </c>
      <c r="G26" s="768"/>
      <c r="H26" s="768"/>
      <c r="I26" s="768"/>
      <c r="J26" s="768"/>
      <c r="K26" s="768"/>
      <c r="L26" s="768"/>
      <c r="M26" s="885">
        <f t="shared" si="0"/>
        <v>0</v>
      </c>
      <c r="N26" s="882"/>
      <c r="O26" s="882"/>
      <c r="P26" s="882"/>
      <c r="Q26" s="882"/>
    </row>
    <row r="27" spans="1:17" s="482" customFormat="1" ht="19.5" customHeight="1">
      <c r="A27" s="488" t="s">
        <v>596</v>
      </c>
      <c r="B27" s="603"/>
      <c r="C27" s="603"/>
      <c r="D27" s="603"/>
      <c r="F27" s="767" t="s">
        <v>437</v>
      </c>
      <c r="G27" s="768"/>
      <c r="H27" s="768"/>
      <c r="I27" s="768"/>
      <c r="J27" s="768"/>
      <c r="K27" s="768"/>
      <c r="L27" s="768"/>
      <c r="M27" s="885">
        <f t="shared" si="0"/>
        <v>0</v>
      </c>
      <c r="N27" s="882"/>
      <c r="O27" s="882"/>
      <c r="P27" s="882"/>
      <c r="Q27" s="882"/>
    </row>
    <row r="28" spans="1:17" s="482" customFormat="1" ht="19.5" customHeight="1">
      <c r="A28" s="488" t="s">
        <v>449</v>
      </c>
      <c r="B28" s="561">
        <f>B29+B35+B38+B42+B43+B44+B45</f>
        <v>7039712.459999999</v>
      </c>
      <c r="C28" s="561">
        <f>C29+C35+C38+C42+C43+C44+C45</f>
        <v>6497936.73</v>
      </c>
      <c r="D28" s="561">
        <f>D29+D35+D38+D42+D43+D44+D45</f>
        <v>6220703.779999999</v>
      </c>
      <c r="E28" s="489"/>
      <c r="M28" s="885">
        <f t="shared" si="0"/>
        <v>-277232.9500000011</v>
      </c>
      <c r="N28" s="882"/>
      <c r="O28" s="882"/>
      <c r="P28" s="882"/>
      <c r="Q28" s="882"/>
    </row>
    <row r="29" spans="1:17" s="482" customFormat="1" ht="23.25" customHeight="1">
      <c r="A29" s="488" t="s">
        <v>342</v>
      </c>
      <c r="B29" s="561">
        <f>B30+B33+B34</f>
        <v>0</v>
      </c>
      <c r="C29" s="561">
        <f>C30+C33+C34</f>
        <v>0</v>
      </c>
      <c r="D29" s="561">
        <f>D30+D33+D34</f>
        <v>0</v>
      </c>
      <c r="E29" s="490"/>
      <c r="M29" s="884">
        <f t="shared" si="0"/>
        <v>0</v>
      </c>
      <c r="N29" s="882"/>
      <c r="O29" s="882"/>
      <c r="P29" s="882"/>
      <c r="Q29" s="882"/>
    </row>
    <row r="30" spans="1:17" s="482" customFormat="1" ht="23.25" customHeight="1">
      <c r="A30" s="491" t="s">
        <v>599</v>
      </c>
      <c r="B30" s="605">
        <f>SUM(B31:B32)</f>
        <v>0</v>
      </c>
      <c r="C30" s="605">
        <f>SUM(C31:C32)</f>
        <v>0</v>
      </c>
      <c r="D30" s="605">
        <f>SUM(D31:D32)</f>
        <v>0</v>
      </c>
      <c r="E30" s="490"/>
      <c r="M30" s="881"/>
      <c r="N30" s="882"/>
      <c r="O30" s="882"/>
      <c r="P30" s="882"/>
      <c r="Q30" s="882"/>
    </row>
    <row r="31" spans="1:17" s="482" customFormat="1" ht="23.25" customHeight="1">
      <c r="A31" s="491" t="s">
        <v>600</v>
      </c>
      <c r="B31" s="604"/>
      <c r="C31" s="604"/>
      <c r="D31" s="604"/>
      <c r="E31" s="490"/>
      <c r="M31" s="881"/>
      <c r="N31" s="882"/>
      <c r="O31" s="882"/>
      <c r="P31" s="882"/>
      <c r="Q31" s="882"/>
    </row>
    <row r="32" spans="1:17" s="482" customFormat="1" ht="23.25" customHeight="1">
      <c r="A32" s="491" t="s">
        <v>601</v>
      </c>
      <c r="B32" s="604"/>
      <c r="C32" s="604"/>
      <c r="D32" s="604"/>
      <c r="E32" s="490"/>
      <c r="M32" s="881"/>
      <c r="N32" s="882"/>
      <c r="O32" s="882"/>
      <c r="P32" s="882"/>
      <c r="Q32" s="882"/>
    </row>
    <row r="33" spans="1:17" s="482" customFormat="1" ht="23.25" customHeight="1">
      <c r="A33" s="491" t="s">
        <v>603</v>
      </c>
      <c r="B33" s="604"/>
      <c r="C33" s="604"/>
      <c r="D33" s="604"/>
      <c r="E33" s="490"/>
      <c r="M33" s="881"/>
      <c r="N33" s="882"/>
      <c r="O33" s="882"/>
      <c r="P33" s="882"/>
      <c r="Q33" s="882"/>
    </row>
    <row r="34" spans="1:17" s="482" customFormat="1" ht="23.25" customHeight="1">
      <c r="A34" s="491" t="s">
        <v>602</v>
      </c>
      <c r="B34" s="604"/>
      <c r="C34" s="604"/>
      <c r="D34" s="604"/>
      <c r="E34" s="490"/>
      <c r="M34" s="881"/>
      <c r="N34" s="882"/>
      <c r="O34" s="882"/>
      <c r="P34" s="882"/>
      <c r="Q34" s="882"/>
    </row>
    <row r="35" spans="1:17" s="482" customFormat="1" ht="19.5" customHeight="1">
      <c r="A35" s="488" t="s">
        <v>310</v>
      </c>
      <c r="B35" s="561">
        <f>SUM(B36:B37)</f>
        <v>56669.03</v>
      </c>
      <c r="C35" s="561">
        <f>SUM(C36:C37)</f>
        <v>56669.03</v>
      </c>
      <c r="D35" s="561">
        <f>SUM(D36:D37)</f>
        <v>56669.03</v>
      </c>
      <c r="E35" s="490"/>
      <c r="M35" s="884">
        <f>+D35-C35</f>
        <v>0</v>
      </c>
      <c r="N35" s="882"/>
      <c r="O35" s="882"/>
      <c r="P35" s="882"/>
      <c r="Q35" s="882"/>
    </row>
    <row r="36" spans="1:17" s="482" customFormat="1" ht="19.5" customHeight="1">
      <c r="A36" s="491" t="s">
        <v>597</v>
      </c>
      <c r="B36" s="604">
        <v>56669.03</v>
      </c>
      <c r="C36" s="604">
        <v>56669.03</v>
      </c>
      <c r="D36" s="604">
        <v>56669.03</v>
      </c>
      <c r="E36" s="490"/>
      <c r="M36" s="881"/>
      <c r="N36" s="882"/>
      <c r="O36" s="882"/>
      <c r="P36" s="882"/>
      <c r="Q36" s="882"/>
    </row>
    <row r="37" spans="1:17" s="482" customFormat="1" ht="19.5" customHeight="1">
      <c r="A37" s="491" t="s">
        <v>598</v>
      </c>
      <c r="B37" s="604"/>
      <c r="C37" s="604"/>
      <c r="D37" s="604"/>
      <c r="E37" s="490"/>
      <c r="M37" s="881"/>
      <c r="N37" s="882"/>
      <c r="O37" s="882"/>
      <c r="P37" s="882"/>
      <c r="Q37" s="882"/>
    </row>
    <row r="38" spans="1:17" s="482" customFormat="1" ht="19.5" customHeight="1">
      <c r="A38" s="488" t="s">
        <v>343</v>
      </c>
      <c r="B38" s="561">
        <f>SUM(B39:B41)</f>
        <v>1404305.3</v>
      </c>
      <c r="C38" s="561">
        <f>SUM(C39:C41)</f>
        <v>2433267.7</v>
      </c>
      <c r="D38" s="561">
        <f>SUM(D39:D41)</f>
        <v>2153034.75</v>
      </c>
      <c r="E38" s="490"/>
      <c r="M38" s="885">
        <f>+D38-C38</f>
        <v>-280232.9500000002</v>
      </c>
      <c r="N38" s="882"/>
      <c r="O38" s="882"/>
      <c r="P38" s="882"/>
      <c r="Q38" s="882"/>
    </row>
    <row r="39" spans="1:17" s="482" customFormat="1" ht="19.5" customHeight="1">
      <c r="A39" s="491" t="s">
        <v>248</v>
      </c>
      <c r="B39" s="604">
        <v>1404305.3</v>
      </c>
      <c r="C39" s="604">
        <v>2433267.7</v>
      </c>
      <c r="D39" s="604">
        <f>1921082.72+231952.03</f>
        <v>2153034.75</v>
      </c>
      <c r="E39" s="490"/>
      <c r="M39" s="884">
        <f>+D39-C39</f>
        <v>-280232.9500000002</v>
      </c>
      <c r="N39" s="882"/>
      <c r="O39" s="882"/>
      <c r="P39" s="882"/>
      <c r="Q39" s="882"/>
    </row>
    <row r="40" spans="1:17" s="482" customFormat="1" ht="19.5" customHeight="1">
      <c r="A40" s="491" t="s">
        <v>450</v>
      </c>
      <c r="B40" s="604"/>
      <c r="C40" s="604"/>
      <c r="D40" s="604"/>
      <c r="E40" s="490"/>
      <c r="M40" s="881"/>
      <c r="N40" s="882"/>
      <c r="O40" s="882"/>
      <c r="P40" s="882"/>
      <c r="Q40" s="882"/>
    </row>
    <row r="41" spans="1:17" s="482" customFormat="1" ht="19.5" customHeight="1">
      <c r="A41" s="491" t="s">
        <v>451</v>
      </c>
      <c r="B41" s="604"/>
      <c r="C41" s="604"/>
      <c r="D41" s="604"/>
      <c r="E41" s="490"/>
      <c r="M41" s="884">
        <f>+D41-C41</f>
        <v>0</v>
      </c>
      <c r="N41" s="882"/>
      <c r="O41" s="882"/>
      <c r="P41" s="882"/>
      <c r="Q41" s="882"/>
    </row>
    <row r="42" spans="1:17" s="482" customFormat="1" ht="19.5" customHeight="1">
      <c r="A42" s="488" t="s">
        <v>344</v>
      </c>
      <c r="B42" s="603"/>
      <c r="C42" s="603"/>
      <c r="D42" s="603"/>
      <c r="E42" s="490"/>
      <c r="M42" s="885">
        <f>+D42-C42</f>
        <v>0</v>
      </c>
      <c r="N42" s="882"/>
      <c r="O42" s="882"/>
      <c r="P42" s="882"/>
      <c r="Q42" s="882"/>
    </row>
    <row r="43" spans="1:17" s="482" customFormat="1" ht="19.5" customHeight="1">
      <c r="A43" s="488" t="s">
        <v>345</v>
      </c>
      <c r="B43" s="603">
        <v>4719094.97</v>
      </c>
      <c r="C43" s="603">
        <v>3208000</v>
      </c>
      <c r="D43" s="603">
        <v>3208000</v>
      </c>
      <c r="E43" s="490"/>
      <c r="M43" s="885">
        <f>+D43-C43</f>
        <v>0</v>
      </c>
      <c r="N43" s="882"/>
      <c r="O43" s="882"/>
      <c r="P43" s="882"/>
      <c r="Q43" s="882"/>
    </row>
    <row r="44" spans="1:17" s="482" customFormat="1" ht="19.5" customHeight="1">
      <c r="A44" s="488" t="s">
        <v>249</v>
      </c>
      <c r="B44" s="603">
        <v>230344.27</v>
      </c>
      <c r="C44" s="603">
        <v>250000</v>
      </c>
      <c r="D44" s="603">
        <v>225000</v>
      </c>
      <c r="E44" s="490"/>
      <c r="M44" s="885">
        <f>+D44-C44</f>
        <v>-25000</v>
      </c>
      <c r="N44" s="882"/>
      <c r="O44" s="882"/>
      <c r="P44" s="882"/>
      <c r="Q44" s="882"/>
    </row>
    <row r="45" spans="1:17" s="482" customFormat="1" ht="19.5" customHeight="1">
      <c r="A45" s="488" t="s">
        <v>250</v>
      </c>
      <c r="B45" s="561">
        <f>SUM(B46:B47)</f>
        <v>629298.89</v>
      </c>
      <c r="C45" s="561">
        <f>SUM(C46:C47)</f>
        <v>550000</v>
      </c>
      <c r="D45" s="561">
        <f>SUM(D46:D47)</f>
        <v>578000</v>
      </c>
      <c r="E45" s="490"/>
      <c r="M45" s="885">
        <f>+D45-C45</f>
        <v>28000</v>
      </c>
      <c r="N45" s="882"/>
      <c r="O45" s="882"/>
      <c r="P45" s="882"/>
      <c r="Q45" s="882"/>
    </row>
    <row r="46" spans="1:17" s="482" customFormat="1" ht="19.5" customHeight="1">
      <c r="A46" s="491" t="s">
        <v>251</v>
      </c>
      <c r="B46" s="604">
        <v>629298.89</v>
      </c>
      <c r="C46" s="604">
        <v>550000</v>
      </c>
      <c r="D46" s="604">
        <v>578000</v>
      </c>
      <c r="E46" s="490"/>
      <c r="M46" s="881"/>
      <c r="N46" s="882"/>
      <c r="O46" s="882"/>
      <c r="P46" s="882"/>
      <c r="Q46" s="882"/>
    </row>
    <row r="47" spans="1:17" s="482" customFormat="1" ht="19.5" customHeight="1">
      <c r="A47" s="491" t="s">
        <v>269</v>
      </c>
      <c r="B47" s="604"/>
      <c r="C47" s="604"/>
      <c r="D47" s="604"/>
      <c r="E47" s="490"/>
      <c r="M47" s="881"/>
      <c r="N47" s="882"/>
      <c r="O47" s="882"/>
      <c r="P47" s="882"/>
      <c r="Q47" s="882"/>
    </row>
    <row r="48" spans="1:17" s="482" customFormat="1" ht="21.75" customHeight="1">
      <c r="A48" s="494" t="s">
        <v>302</v>
      </c>
      <c r="B48" s="561">
        <f>B28+B11</f>
        <v>13198881.069999998</v>
      </c>
      <c r="C48" s="561">
        <f>C28+C11</f>
        <v>10714463.4</v>
      </c>
      <c r="D48" s="561">
        <f>D28+D11</f>
        <v>7138260.829999999</v>
      </c>
      <c r="E48" s="489"/>
      <c r="M48" s="885">
        <f>+D48-C48</f>
        <v>-3576202.570000001</v>
      </c>
      <c r="N48" s="882"/>
      <c r="O48" s="882"/>
      <c r="P48" s="882"/>
      <c r="Q48" s="882"/>
    </row>
    <row r="49" spans="1:17" s="482" customFormat="1" ht="9.75" customHeight="1">
      <c r="A49" s="495"/>
      <c r="B49" s="496"/>
      <c r="C49" s="496"/>
      <c r="D49" s="496"/>
      <c r="E49" s="489"/>
      <c r="M49" s="881"/>
      <c r="N49" s="882"/>
      <c r="O49" s="882"/>
      <c r="P49" s="882"/>
      <c r="Q49" s="882"/>
    </row>
    <row r="50" spans="1:17" s="482" customFormat="1" ht="12.75" hidden="1">
      <c r="A50" s="497" t="s">
        <v>270</v>
      </c>
      <c r="C50" s="492"/>
      <c r="D50" s="498"/>
      <c r="E50" s="499"/>
      <c r="M50" s="881"/>
      <c r="N50" s="882"/>
      <c r="O50" s="882"/>
      <c r="P50" s="882"/>
      <c r="Q50" s="882"/>
    </row>
    <row r="51" spans="1:13" s="890" customFormat="1" ht="12.75" hidden="1">
      <c r="A51" s="889" t="s">
        <v>880</v>
      </c>
      <c r="B51" s="888">
        <f>B48-PASIVO!B65</f>
        <v>0</v>
      </c>
      <c r="C51" s="888">
        <f>C48-PASIVO!C65</f>
        <v>0</v>
      </c>
      <c r="D51" s="888">
        <f>D48-PASIVO!D65</f>
        <v>0</v>
      </c>
      <c r="E51" s="888"/>
      <c r="M51" s="891"/>
    </row>
    <row r="52" spans="1:17" s="482" customFormat="1" ht="12.75" hidden="1">
      <c r="A52" s="493"/>
      <c r="B52" s="501"/>
      <c r="C52" s="501"/>
      <c r="D52" s="501"/>
      <c r="E52" s="501"/>
      <c r="M52" s="881"/>
      <c r="N52" s="882"/>
      <c r="O52" s="882"/>
      <c r="P52" s="882"/>
      <c r="Q52" s="882"/>
    </row>
    <row r="53" spans="1:17" s="482" customFormat="1" ht="12.75" hidden="1">
      <c r="A53" s="493"/>
      <c r="B53" s="502"/>
      <c r="C53" s="502"/>
      <c r="D53" s="501"/>
      <c r="E53" s="501"/>
      <c r="M53" s="881"/>
      <c r="N53" s="882"/>
      <c r="O53" s="882"/>
      <c r="P53" s="882"/>
      <c r="Q53" s="882"/>
    </row>
    <row r="54" spans="1:17" s="482" customFormat="1" ht="12.75" hidden="1">
      <c r="A54" s="493" t="s">
        <v>264</v>
      </c>
      <c r="B54" s="503">
        <f>+B48-PASIVO!B65</f>
        <v>0</v>
      </c>
      <c r="C54" s="503">
        <f>+C48-PASIVO!C65</f>
        <v>0</v>
      </c>
      <c r="D54" s="503">
        <f>+D48-PASIVO!D65</f>
        <v>0</v>
      </c>
      <c r="E54" s="501"/>
      <c r="M54" s="881"/>
      <c r="N54" s="882"/>
      <c r="O54" s="882"/>
      <c r="P54" s="882"/>
      <c r="Q54" s="882"/>
    </row>
    <row r="55" spans="1:17" s="482" customFormat="1" ht="12.75" hidden="1">
      <c r="A55" s="493"/>
      <c r="B55" s="502"/>
      <c r="C55" s="502"/>
      <c r="D55" s="501"/>
      <c r="E55" s="501"/>
      <c r="M55" s="881"/>
      <c r="N55" s="882"/>
      <c r="O55" s="882"/>
      <c r="P55" s="882"/>
      <c r="Q55" s="882"/>
    </row>
    <row r="56" spans="1:17" s="482" customFormat="1" ht="12.75" hidden="1">
      <c r="A56" s="504" t="s">
        <v>263</v>
      </c>
      <c r="B56" s="500">
        <f>+B28-PASIVO!B48</f>
        <v>99804.50999999885</v>
      </c>
      <c r="C56" s="500">
        <f>+C28-PASIVO!C48</f>
        <v>152119.16000000015</v>
      </c>
      <c r="D56" s="500">
        <f>+D28-PASIVO!D48</f>
        <v>212779.11999999918</v>
      </c>
      <c r="E56" s="501"/>
      <c r="M56" s="881"/>
      <c r="N56" s="882"/>
      <c r="O56" s="882"/>
      <c r="P56" s="882"/>
      <c r="Q56" s="882"/>
    </row>
    <row r="57" spans="1:17" s="482" customFormat="1" ht="12.75" hidden="1">
      <c r="A57" s="505" t="s">
        <v>731</v>
      </c>
      <c r="B57" s="491"/>
      <c r="C57" s="500">
        <f>+C56-B56</f>
        <v>52314.650000001304</v>
      </c>
      <c r="D57" s="506">
        <f>+D56-C56</f>
        <v>60659.95999999903</v>
      </c>
      <c r="E57" s="501"/>
      <c r="M57" s="881"/>
      <c r="N57" s="882"/>
      <c r="O57" s="882"/>
      <c r="P57" s="882"/>
      <c r="Q57" s="882"/>
    </row>
    <row r="58" spans="2:17" s="482" customFormat="1" ht="12.75" hidden="1">
      <c r="B58" s="507"/>
      <c r="C58" s="507"/>
      <c r="D58" s="508"/>
      <c r="E58" s="508"/>
      <c r="M58" s="881"/>
      <c r="N58" s="882"/>
      <c r="O58" s="882"/>
      <c r="P58" s="882"/>
      <c r="Q58" s="882"/>
    </row>
    <row r="59" spans="2:17" s="482" customFormat="1" ht="12.75" hidden="1">
      <c r="B59" s="502"/>
      <c r="C59" s="502"/>
      <c r="D59" s="509"/>
      <c r="E59" s="509"/>
      <c r="M59" s="881"/>
      <c r="N59" s="882"/>
      <c r="O59" s="882"/>
      <c r="P59" s="882"/>
      <c r="Q59" s="882"/>
    </row>
    <row r="60" spans="2:17" s="482" customFormat="1" ht="12.75" hidden="1">
      <c r="B60" s="502"/>
      <c r="C60" s="502"/>
      <c r="D60" s="501"/>
      <c r="E60" s="501"/>
      <c r="M60" s="881"/>
      <c r="N60" s="882"/>
      <c r="O60" s="882"/>
      <c r="P60" s="882"/>
      <c r="Q60" s="882"/>
    </row>
    <row r="61" spans="2:17" s="482" customFormat="1" ht="12.75">
      <c r="B61" s="501"/>
      <c r="C61" s="501"/>
      <c r="D61" s="501"/>
      <c r="E61" s="501"/>
      <c r="M61" s="881"/>
      <c r="N61" s="882"/>
      <c r="O61" s="882"/>
      <c r="P61" s="882"/>
      <c r="Q61" s="882"/>
    </row>
    <row r="62" spans="2:17" s="482" customFormat="1" ht="12.75">
      <c r="B62" s="501"/>
      <c r="C62" s="501"/>
      <c r="D62" s="501"/>
      <c r="E62" s="501">
        <f>+E48-E61</f>
        <v>0</v>
      </c>
      <c r="M62" s="881"/>
      <c r="N62" s="882"/>
      <c r="O62" s="882"/>
      <c r="P62" s="882"/>
      <c r="Q62" s="882"/>
    </row>
    <row r="63" spans="2:17" s="482" customFormat="1" ht="12.75">
      <c r="B63" s="502"/>
      <c r="C63" s="502"/>
      <c r="D63" s="501"/>
      <c r="E63" s="501"/>
      <c r="M63" s="881"/>
      <c r="N63" s="882"/>
      <c r="O63" s="882"/>
      <c r="P63" s="882"/>
      <c r="Q63" s="882"/>
    </row>
    <row r="64" spans="2:17" s="482" customFormat="1" ht="12.75">
      <c r="B64" s="502"/>
      <c r="C64" s="502"/>
      <c r="D64" s="501"/>
      <c r="E64" s="501"/>
      <c r="M64" s="881"/>
      <c r="N64" s="882"/>
      <c r="O64" s="882"/>
      <c r="P64" s="882"/>
      <c r="Q64" s="882"/>
    </row>
    <row r="65" spans="2:17" s="482" customFormat="1" ht="12.75">
      <c r="B65" s="502"/>
      <c r="C65" s="502"/>
      <c r="D65" s="501"/>
      <c r="E65" s="501"/>
      <c r="M65" s="881"/>
      <c r="N65" s="882"/>
      <c r="O65" s="882"/>
      <c r="P65" s="882"/>
      <c r="Q65" s="882"/>
    </row>
    <row r="66" spans="2:17" s="482" customFormat="1" ht="12.75">
      <c r="B66" s="507"/>
      <c r="C66" s="507"/>
      <c r="D66" s="508"/>
      <c r="E66" s="508"/>
      <c r="M66" s="881"/>
      <c r="N66" s="882"/>
      <c r="O66" s="882"/>
      <c r="P66" s="882"/>
      <c r="Q66" s="882"/>
    </row>
    <row r="67" spans="2:17" s="482" customFormat="1" ht="12.75">
      <c r="B67" s="502"/>
      <c r="C67" s="502"/>
      <c r="D67" s="509"/>
      <c r="E67" s="509"/>
      <c r="M67" s="881"/>
      <c r="N67" s="882"/>
      <c r="O67" s="882"/>
      <c r="P67" s="882"/>
      <c r="Q67" s="882"/>
    </row>
    <row r="68" spans="2:17" s="482" customFormat="1" ht="12.75">
      <c r="B68" s="502"/>
      <c r="C68" s="502"/>
      <c r="D68" s="509"/>
      <c r="E68" s="509"/>
      <c r="M68" s="881"/>
      <c r="N68" s="882"/>
      <c r="O68" s="882"/>
      <c r="P68" s="882"/>
      <c r="Q68" s="882"/>
    </row>
    <row r="69" spans="2:17" s="482" customFormat="1" ht="12.75">
      <c r="B69" s="502"/>
      <c r="C69" s="502"/>
      <c r="D69" s="509"/>
      <c r="E69" s="509"/>
      <c r="M69" s="881"/>
      <c r="N69" s="882"/>
      <c r="O69" s="882"/>
      <c r="P69" s="882"/>
      <c r="Q69" s="882"/>
    </row>
    <row r="70" spans="4:17" s="482" customFormat="1" ht="12.75">
      <c r="D70" s="498"/>
      <c r="E70" s="499"/>
      <c r="M70" s="881"/>
      <c r="N70" s="882"/>
      <c r="O70" s="882"/>
      <c r="P70" s="882"/>
      <c r="Q70" s="882"/>
    </row>
    <row r="71" spans="4:17" s="482" customFormat="1" ht="12.75">
      <c r="D71" s="498"/>
      <c r="E71" s="499"/>
      <c r="M71" s="881"/>
      <c r="N71" s="882"/>
      <c r="O71" s="882"/>
      <c r="P71" s="882"/>
      <c r="Q71" s="882"/>
    </row>
    <row r="72" spans="4:17" s="482" customFormat="1" ht="12.75">
      <c r="D72" s="498"/>
      <c r="E72" s="499"/>
      <c r="M72" s="881"/>
      <c r="N72" s="882"/>
      <c r="O72" s="882"/>
      <c r="P72" s="882"/>
      <c r="Q72" s="882"/>
    </row>
    <row r="73" spans="4:17" s="482" customFormat="1" ht="12.75">
      <c r="D73" s="498"/>
      <c r="E73" s="499"/>
      <c r="M73" s="881"/>
      <c r="N73" s="882"/>
      <c r="O73" s="882"/>
      <c r="P73" s="882"/>
      <c r="Q73" s="882"/>
    </row>
    <row r="74" spans="4:17" s="482" customFormat="1" ht="12.75">
      <c r="D74" s="498"/>
      <c r="E74" s="499"/>
      <c r="M74" s="881"/>
      <c r="N74" s="882"/>
      <c r="O74" s="882"/>
      <c r="P74" s="882"/>
      <c r="Q74" s="882"/>
    </row>
    <row r="75" spans="4:17" s="482" customFormat="1" ht="12.75">
      <c r="D75" s="498"/>
      <c r="E75" s="499"/>
      <c r="M75" s="881"/>
      <c r="N75" s="882"/>
      <c r="O75" s="882"/>
      <c r="P75" s="882"/>
      <c r="Q75" s="882"/>
    </row>
    <row r="76" spans="4:17" s="482" customFormat="1" ht="12.75">
      <c r="D76" s="498"/>
      <c r="E76" s="499"/>
      <c r="M76" s="881"/>
      <c r="N76" s="882"/>
      <c r="O76" s="882"/>
      <c r="P76" s="882"/>
      <c r="Q76" s="882"/>
    </row>
    <row r="77" spans="4:17" s="482" customFormat="1" ht="12.75">
      <c r="D77" s="498"/>
      <c r="E77" s="499"/>
      <c r="M77" s="881"/>
      <c r="N77" s="882"/>
      <c r="O77" s="882"/>
      <c r="P77" s="882"/>
      <c r="Q77" s="882"/>
    </row>
    <row r="78" spans="4:17" s="482" customFormat="1" ht="12.75">
      <c r="D78" s="498"/>
      <c r="E78" s="499"/>
      <c r="M78" s="881"/>
      <c r="N78" s="882"/>
      <c r="O78" s="882"/>
      <c r="P78" s="882"/>
      <c r="Q78" s="882"/>
    </row>
    <row r="79" spans="4:17" s="482" customFormat="1" ht="12.75">
      <c r="D79" s="498"/>
      <c r="E79" s="499"/>
      <c r="M79" s="881"/>
      <c r="N79" s="882"/>
      <c r="O79" s="882"/>
      <c r="P79" s="882"/>
      <c r="Q79" s="882"/>
    </row>
    <row r="80" spans="4:17" s="482" customFormat="1" ht="12.75">
      <c r="D80" s="498"/>
      <c r="E80" s="499"/>
      <c r="M80" s="881"/>
      <c r="N80" s="882"/>
      <c r="O80" s="882"/>
      <c r="P80" s="882"/>
      <c r="Q80" s="882"/>
    </row>
    <row r="81" spans="4:17" s="482" customFormat="1" ht="12.75">
      <c r="D81" s="498"/>
      <c r="E81" s="499"/>
      <c r="M81" s="881"/>
      <c r="N81" s="882"/>
      <c r="O81" s="882"/>
      <c r="P81" s="882"/>
      <c r="Q81" s="882"/>
    </row>
    <row r="82" spans="4:17" s="482" customFormat="1" ht="12.75">
      <c r="D82" s="498"/>
      <c r="E82" s="499"/>
      <c r="M82" s="881"/>
      <c r="N82" s="882"/>
      <c r="O82" s="882"/>
      <c r="P82" s="882"/>
      <c r="Q82" s="882"/>
    </row>
    <row r="83" spans="4:17" s="482" customFormat="1" ht="12.75">
      <c r="D83" s="498"/>
      <c r="E83" s="499"/>
      <c r="M83" s="881"/>
      <c r="N83" s="882"/>
      <c r="O83" s="882"/>
      <c r="P83" s="882"/>
      <c r="Q83" s="882"/>
    </row>
    <row r="84" spans="4:17" s="482" customFormat="1" ht="12.75">
      <c r="D84" s="498"/>
      <c r="E84" s="499"/>
      <c r="M84" s="881"/>
      <c r="N84" s="882"/>
      <c r="O84" s="882"/>
      <c r="P84" s="882"/>
      <c r="Q84" s="882"/>
    </row>
    <row r="85" spans="4:17" s="482" customFormat="1" ht="12.75">
      <c r="D85" s="498"/>
      <c r="E85" s="499"/>
      <c r="M85" s="881"/>
      <c r="N85" s="882"/>
      <c r="O85" s="882"/>
      <c r="P85" s="882"/>
      <c r="Q85" s="882"/>
    </row>
    <row r="86" spans="4:17" s="482" customFormat="1" ht="12.75">
      <c r="D86" s="498"/>
      <c r="E86" s="499"/>
      <c r="M86" s="881"/>
      <c r="N86" s="882"/>
      <c r="O86" s="882"/>
      <c r="P86" s="882"/>
      <c r="Q86" s="882"/>
    </row>
    <row r="87" spans="4:17" s="482" customFormat="1" ht="12.75">
      <c r="D87" s="498"/>
      <c r="E87" s="499"/>
      <c r="M87" s="881"/>
      <c r="N87" s="882"/>
      <c r="O87" s="882"/>
      <c r="P87" s="882"/>
      <c r="Q87" s="882"/>
    </row>
    <row r="88" spans="4:17" s="482" customFormat="1" ht="12.75">
      <c r="D88" s="498"/>
      <c r="E88" s="499"/>
      <c r="M88" s="881"/>
      <c r="N88" s="882"/>
      <c r="O88" s="882"/>
      <c r="P88" s="882"/>
      <c r="Q88" s="882"/>
    </row>
    <row r="89" spans="4:17" s="482" customFormat="1" ht="12.75">
      <c r="D89" s="498"/>
      <c r="E89" s="499"/>
      <c r="M89" s="881"/>
      <c r="N89" s="882"/>
      <c r="O89" s="882"/>
      <c r="P89" s="882"/>
      <c r="Q89" s="882"/>
    </row>
    <row r="90" spans="4:17" s="482" customFormat="1" ht="12.75">
      <c r="D90" s="498"/>
      <c r="E90" s="499"/>
      <c r="M90" s="881"/>
      <c r="N90" s="882"/>
      <c r="O90" s="882"/>
      <c r="P90" s="882"/>
      <c r="Q90" s="882"/>
    </row>
    <row r="91" spans="4:17" s="482" customFormat="1" ht="12.75">
      <c r="D91" s="498"/>
      <c r="E91" s="499"/>
      <c r="M91" s="881"/>
      <c r="N91" s="882"/>
      <c r="O91" s="882"/>
      <c r="P91" s="882"/>
      <c r="Q91" s="882"/>
    </row>
    <row r="92" spans="4:17" s="482" customFormat="1" ht="12.75">
      <c r="D92" s="498"/>
      <c r="E92" s="499"/>
      <c r="M92" s="881"/>
      <c r="N92" s="882"/>
      <c r="O92" s="882"/>
      <c r="P92" s="882"/>
      <c r="Q92" s="882"/>
    </row>
    <row r="93" spans="4:17" s="482" customFormat="1" ht="12.75">
      <c r="D93" s="498"/>
      <c r="E93" s="499"/>
      <c r="M93" s="881"/>
      <c r="N93" s="882"/>
      <c r="O93" s="882"/>
      <c r="P93" s="882"/>
      <c r="Q93" s="882"/>
    </row>
    <row r="94" spans="4:17" s="482" customFormat="1" ht="12.75">
      <c r="D94" s="498"/>
      <c r="E94" s="499"/>
      <c r="M94" s="881"/>
      <c r="N94" s="882"/>
      <c r="O94" s="882"/>
      <c r="P94" s="882"/>
      <c r="Q94" s="882"/>
    </row>
    <row r="95" spans="4:17" s="482" customFormat="1" ht="12.75">
      <c r="D95" s="498"/>
      <c r="E95" s="499"/>
      <c r="M95" s="881"/>
      <c r="N95" s="882"/>
      <c r="O95" s="882"/>
      <c r="P95" s="882"/>
      <c r="Q95" s="882"/>
    </row>
    <row r="96" spans="4:17" s="482" customFormat="1" ht="12.75">
      <c r="D96" s="498"/>
      <c r="E96" s="499"/>
      <c r="M96" s="881"/>
      <c r="N96" s="882"/>
      <c r="O96" s="882"/>
      <c r="P96" s="882"/>
      <c r="Q96" s="882"/>
    </row>
    <row r="97" spans="4:17" s="482" customFormat="1" ht="12.75">
      <c r="D97" s="498"/>
      <c r="E97" s="499"/>
      <c r="M97" s="881"/>
      <c r="N97" s="882"/>
      <c r="O97" s="882"/>
      <c r="P97" s="882"/>
      <c r="Q97" s="882"/>
    </row>
    <row r="98" spans="4:17" s="482" customFormat="1" ht="12.75">
      <c r="D98" s="498"/>
      <c r="E98" s="499"/>
      <c r="M98" s="881"/>
      <c r="N98" s="882"/>
      <c r="O98" s="882"/>
      <c r="P98" s="882"/>
      <c r="Q98" s="882"/>
    </row>
    <row r="99" spans="4:17" s="482" customFormat="1" ht="12.75">
      <c r="D99" s="498"/>
      <c r="E99" s="499"/>
      <c r="M99" s="881"/>
      <c r="N99" s="882"/>
      <c r="O99" s="882"/>
      <c r="P99" s="882"/>
      <c r="Q99" s="882"/>
    </row>
    <row r="100" spans="4:17" s="482" customFormat="1" ht="12.75">
      <c r="D100" s="498"/>
      <c r="E100" s="499"/>
      <c r="M100" s="881"/>
      <c r="N100" s="882"/>
      <c r="O100" s="882"/>
      <c r="P100" s="882"/>
      <c r="Q100" s="882"/>
    </row>
    <row r="101" spans="4:17" s="482" customFormat="1" ht="12.75">
      <c r="D101" s="498"/>
      <c r="E101" s="499"/>
      <c r="M101" s="881"/>
      <c r="N101" s="882"/>
      <c r="O101" s="882"/>
      <c r="P101" s="882"/>
      <c r="Q101" s="882"/>
    </row>
    <row r="102" spans="4:17" s="482" customFormat="1" ht="12.75">
      <c r="D102" s="498"/>
      <c r="E102" s="499"/>
      <c r="M102" s="881"/>
      <c r="N102" s="882"/>
      <c r="O102" s="882"/>
      <c r="P102" s="882"/>
      <c r="Q102" s="882"/>
    </row>
    <row r="103" spans="4:17" s="482" customFormat="1" ht="12.75">
      <c r="D103" s="498"/>
      <c r="E103" s="499"/>
      <c r="M103" s="881"/>
      <c r="N103" s="882"/>
      <c r="O103" s="882"/>
      <c r="P103" s="882"/>
      <c r="Q103" s="882"/>
    </row>
    <row r="104" spans="4:17" s="482" customFormat="1" ht="12.75">
      <c r="D104" s="498"/>
      <c r="E104" s="499"/>
      <c r="M104" s="881"/>
      <c r="N104" s="882"/>
      <c r="O104" s="882"/>
      <c r="P104" s="882"/>
      <c r="Q104" s="882"/>
    </row>
    <row r="105" spans="4:17" s="482" customFormat="1" ht="12.75">
      <c r="D105" s="498"/>
      <c r="E105" s="499"/>
      <c r="M105" s="881"/>
      <c r="N105" s="882"/>
      <c r="O105" s="882"/>
      <c r="P105" s="882"/>
      <c r="Q105" s="882"/>
    </row>
    <row r="106" spans="4:17" s="482" customFormat="1" ht="12.75">
      <c r="D106" s="498"/>
      <c r="E106" s="499"/>
      <c r="M106" s="881"/>
      <c r="N106" s="882"/>
      <c r="O106" s="882"/>
      <c r="P106" s="882"/>
      <c r="Q106" s="882"/>
    </row>
    <row r="107" spans="4:17" s="482" customFormat="1" ht="12.75">
      <c r="D107" s="498"/>
      <c r="E107" s="499"/>
      <c r="M107" s="881"/>
      <c r="N107" s="882"/>
      <c r="O107" s="882"/>
      <c r="P107" s="882"/>
      <c r="Q107" s="882"/>
    </row>
    <row r="108" spans="4:17" s="482" customFormat="1" ht="12.75">
      <c r="D108" s="498"/>
      <c r="E108" s="499"/>
      <c r="M108" s="881"/>
      <c r="N108" s="882"/>
      <c r="O108" s="882"/>
      <c r="P108" s="882"/>
      <c r="Q108" s="882"/>
    </row>
    <row r="109" spans="4:17" s="482" customFormat="1" ht="12.75">
      <c r="D109" s="498"/>
      <c r="E109" s="499"/>
      <c r="M109" s="881"/>
      <c r="N109" s="882"/>
      <c r="O109" s="882"/>
      <c r="P109" s="882"/>
      <c r="Q109" s="882"/>
    </row>
    <row r="110" spans="4:17" s="482" customFormat="1" ht="12.75">
      <c r="D110" s="498"/>
      <c r="E110" s="499"/>
      <c r="M110" s="881"/>
      <c r="N110" s="882"/>
      <c r="O110" s="882"/>
      <c r="P110" s="882"/>
      <c r="Q110" s="882"/>
    </row>
    <row r="111" spans="4:17" s="482" customFormat="1" ht="12.75">
      <c r="D111" s="498"/>
      <c r="E111" s="499"/>
      <c r="M111" s="881"/>
      <c r="N111" s="882"/>
      <c r="O111" s="882"/>
      <c r="P111" s="882"/>
      <c r="Q111" s="882"/>
    </row>
    <row r="112" spans="4:17" s="482" customFormat="1" ht="12.75">
      <c r="D112" s="498"/>
      <c r="E112" s="499"/>
      <c r="M112" s="881"/>
      <c r="N112" s="882"/>
      <c r="O112" s="882"/>
      <c r="P112" s="882"/>
      <c r="Q112" s="882"/>
    </row>
    <row r="113" spans="4:17" s="482" customFormat="1" ht="12.75">
      <c r="D113" s="498"/>
      <c r="E113" s="499"/>
      <c r="M113" s="881"/>
      <c r="N113" s="882"/>
      <c r="O113" s="882"/>
      <c r="P113" s="882"/>
      <c r="Q113" s="882"/>
    </row>
    <row r="114" spans="4:17" s="482" customFormat="1" ht="12.75">
      <c r="D114" s="498"/>
      <c r="E114" s="499"/>
      <c r="M114" s="881"/>
      <c r="N114" s="882"/>
      <c r="O114" s="882"/>
      <c r="P114" s="882"/>
      <c r="Q114" s="882"/>
    </row>
    <row r="115" spans="4:17" s="482" customFormat="1" ht="12.75">
      <c r="D115" s="498"/>
      <c r="E115" s="499"/>
      <c r="M115" s="881"/>
      <c r="N115" s="882"/>
      <c r="O115" s="882"/>
      <c r="P115" s="882"/>
      <c r="Q115" s="882"/>
    </row>
    <row r="116" spans="4:17" s="482" customFormat="1" ht="12.75">
      <c r="D116" s="498"/>
      <c r="E116" s="499"/>
      <c r="M116" s="881"/>
      <c r="N116" s="882"/>
      <c r="O116" s="882"/>
      <c r="P116" s="882"/>
      <c r="Q116" s="882"/>
    </row>
    <row r="117" spans="4:17" s="482" customFormat="1" ht="12.75">
      <c r="D117" s="498"/>
      <c r="E117" s="499"/>
      <c r="M117" s="881"/>
      <c r="N117" s="882"/>
      <c r="O117" s="882"/>
      <c r="P117" s="882"/>
      <c r="Q117" s="882"/>
    </row>
    <row r="118" spans="4:17" s="482" customFormat="1" ht="12.75">
      <c r="D118" s="498"/>
      <c r="E118" s="499"/>
      <c r="M118" s="881"/>
      <c r="N118" s="882"/>
      <c r="O118" s="882"/>
      <c r="P118" s="882"/>
      <c r="Q118" s="882"/>
    </row>
    <row r="119" spans="4:17" s="482" customFormat="1" ht="12.75">
      <c r="D119" s="498"/>
      <c r="E119" s="499"/>
      <c r="M119" s="881"/>
      <c r="N119" s="882"/>
      <c r="O119" s="882"/>
      <c r="P119" s="882"/>
      <c r="Q119" s="882"/>
    </row>
    <row r="120" spans="4:17" s="482" customFormat="1" ht="12.75">
      <c r="D120" s="498"/>
      <c r="E120" s="499"/>
      <c r="M120" s="881"/>
      <c r="N120" s="882"/>
      <c r="O120" s="882"/>
      <c r="P120" s="882"/>
      <c r="Q120" s="882"/>
    </row>
    <row r="121" spans="4:17" s="482" customFormat="1" ht="12.75">
      <c r="D121" s="498"/>
      <c r="E121" s="499"/>
      <c r="M121" s="881"/>
      <c r="N121" s="882"/>
      <c r="O121" s="882"/>
      <c r="P121" s="882"/>
      <c r="Q121" s="882"/>
    </row>
    <row r="122" spans="4:17" s="482" customFormat="1" ht="12.75">
      <c r="D122" s="498"/>
      <c r="E122" s="499"/>
      <c r="M122" s="881"/>
      <c r="N122" s="882"/>
      <c r="O122" s="882"/>
      <c r="P122" s="882"/>
      <c r="Q122" s="882"/>
    </row>
    <row r="123" spans="4:17" s="482" customFormat="1" ht="12.75">
      <c r="D123" s="498"/>
      <c r="E123" s="499"/>
      <c r="M123" s="881"/>
      <c r="N123" s="882"/>
      <c r="O123" s="882"/>
      <c r="P123" s="882"/>
      <c r="Q123" s="882"/>
    </row>
    <row r="124" spans="4:17" s="482" customFormat="1" ht="12.75">
      <c r="D124" s="498"/>
      <c r="E124" s="499"/>
      <c r="M124" s="881"/>
      <c r="N124" s="882"/>
      <c r="O124" s="882"/>
      <c r="P124" s="882"/>
      <c r="Q124" s="882"/>
    </row>
    <row r="125" spans="4:17" s="482" customFormat="1" ht="12.75">
      <c r="D125" s="498"/>
      <c r="E125" s="499"/>
      <c r="M125" s="881"/>
      <c r="N125" s="882"/>
      <c r="O125" s="882"/>
      <c r="P125" s="882"/>
      <c r="Q125" s="882"/>
    </row>
    <row r="126" spans="4:17" s="482" customFormat="1" ht="12.75">
      <c r="D126" s="498"/>
      <c r="E126" s="499"/>
      <c r="M126" s="881"/>
      <c r="N126" s="882"/>
      <c r="O126" s="882"/>
      <c r="P126" s="882"/>
      <c r="Q126" s="882"/>
    </row>
    <row r="127" spans="4:17" s="482" customFormat="1" ht="12.75">
      <c r="D127" s="498"/>
      <c r="E127" s="499"/>
      <c r="M127" s="881"/>
      <c r="N127" s="882"/>
      <c r="O127" s="882"/>
      <c r="P127" s="882"/>
      <c r="Q127" s="882"/>
    </row>
    <row r="128" spans="4:17" s="482" customFormat="1" ht="12.75">
      <c r="D128" s="498"/>
      <c r="E128" s="499"/>
      <c r="M128" s="881"/>
      <c r="N128" s="882"/>
      <c r="O128" s="882"/>
      <c r="P128" s="882"/>
      <c r="Q128" s="882"/>
    </row>
    <row r="129" spans="4:17" s="482" customFormat="1" ht="12.75">
      <c r="D129" s="498"/>
      <c r="E129" s="499"/>
      <c r="M129" s="881"/>
      <c r="N129" s="882"/>
      <c r="O129" s="882"/>
      <c r="P129" s="882"/>
      <c r="Q129" s="882"/>
    </row>
    <row r="130" spans="4:17" s="482" customFormat="1" ht="12.75">
      <c r="D130" s="498"/>
      <c r="E130" s="499"/>
      <c r="M130" s="881"/>
      <c r="N130" s="882"/>
      <c r="O130" s="882"/>
      <c r="P130" s="882"/>
      <c r="Q130" s="882"/>
    </row>
    <row r="131" spans="4:17" s="482" customFormat="1" ht="12.75">
      <c r="D131" s="498"/>
      <c r="E131" s="499"/>
      <c r="M131" s="881"/>
      <c r="N131" s="882"/>
      <c r="O131" s="882"/>
      <c r="P131" s="882"/>
      <c r="Q131" s="882"/>
    </row>
    <row r="132" spans="4:17" s="482" customFormat="1" ht="12.75">
      <c r="D132" s="498"/>
      <c r="E132" s="499"/>
      <c r="M132" s="881"/>
      <c r="N132" s="882"/>
      <c r="O132" s="882"/>
      <c r="P132" s="882"/>
      <c r="Q132" s="882"/>
    </row>
    <row r="133" spans="4:17" s="482" customFormat="1" ht="12.75">
      <c r="D133" s="498"/>
      <c r="E133" s="499"/>
      <c r="M133" s="881"/>
      <c r="N133" s="882"/>
      <c r="O133" s="882"/>
      <c r="P133" s="882"/>
      <c r="Q133" s="882"/>
    </row>
    <row r="134" spans="4:17" s="482" customFormat="1" ht="12.75">
      <c r="D134" s="498"/>
      <c r="E134" s="499"/>
      <c r="M134" s="881"/>
      <c r="N134" s="882"/>
      <c r="O134" s="882"/>
      <c r="P134" s="882"/>
      <c r="Q134" s="882"/>
    </row>
    <row r="135" spans="4:17" s="482" customFormat="1" ht="12.75">
      <c r="D135" s="498"/>
      <c r="E135" s="499"/>
      <c r="M135" s="881"/>
      <c r="N135" s="882"/>
      <c r="O135" s="882"/>
      <c r="P135" s="882"/>
      <c r="Q135" s="882"/>
    </row>
    <row r="136" spans="4:17" s="482" customFormat="1" ht="12.75">
      <c r="D136" s="498"/>
      <c r="E136" s="499"/>
      <c r="M136" s="881"/>
      <c r="N136" s="882"/>
      <c r="O136" s="882"/>
      <c r="P136" s="882"/>
      <c r="Q136" s="882"/>
    </row>
    <row r="137" spans="4:17" s="482" customFormat="1" ht="12.75">
      <c r="D137" s="498"/>
      <c r="E137" s="499"/>
      <c r="M137" s="881"/>
      <c r="N137" s="882"/>
      <c r="O137" s="882"/>
      <c r="P137" s="882"/>
      <c r="Q137" s="882"/>
    </row>
    <row r="138" spans="4:17" s="482" customFormat="1" ht="12.75">
      <c r="D138" s="498"/>
      <c r="E138" s="499"/>
      <c r="M138" s="881"/>
      <c r="N138" s="882"/>
      <c r="O138" s="882"/>
      <c r="P138" s="882"/>
      <c r="Q138" s="882"/>
    </row>
    <row r="139" spans="4:17" s="482" customFormat="1" ht="12.75">
      <c r="D139" s="498"/>
      <c r="E139" s="499"/>
      <c r="M139" s="881"/>
      <c r="N139" s="882"/>
      <c r="O139" s="882"/>
      <c r="P139" s="882"/>
      <c r="Q139" s="882"/>
    </row>
    <row r="140" spans="4:17" s="482" customFormat="1" ht="12.75">
      <c r="D140" s="498"/>
      <c r="E140" s="499"/>
      <c r="M140" s="881"/>
      <c r="N140" s="882"/>
      <c r="O140" s="882"/>
      <c r="P140" s="882"/>
      <c r="Q140" s="882"/>
    </row>
    <row r="141" spans="4:17" s="482" customFormat="1" ht="12.75">
      <c r="D141" s="498"/>
      <c r="E141" s="499"/>
      <c r="M141" s="881"/>
      <c r="N141" s="882"/>
      <c r="O141" s="882"/>
      <c r="P141" s="882"/>
      <c r="Q141" s="882"/>
    </row>
    <row r="142" spans="4:17" s="482" customFormat="1" ht="12.75">
      <c r="D142" s="498"/>
      <c r="E142" s="499"/>
      <c r="M142" s="881"/>
      <c r="N142" s="882"/>
      <c r="O142" s="882"/>
      <c r="P142" s="882"/>
      <c r="Q142" s="882"/>
    </row>
    <row r="143" spans="4:17" s="482" customFormat="1" ht="12.75">
      <c r="D143" s="498"/>
      <c r="E143" s="499"/>
      <c r="M143" s="881"/>
      <c r="N143" s="882"/>
      <c r="O143" s="882"/>
      <c r="P143" s="882"/>
      <c r="Q143" s="882"/>
    </row>
    <row r="144" spans="4:17" s="482" customFormat="1" ht="12.75">
      <c r="D144" s="498"/>
      <c r="E144" s="499"/>
      <c r="M144" s="881"/>
      <c r="N144" s="882"/>
      <c r="O144" s="882"/>
      <c r="P144" s="882"/>
      <c r="Q144" s="882"/>
    </row>
    <row r="145" spans="4:17" s="482" customFormat="1" ht="12.75">
      <c r="D145" s="498"/>
      <c r="E145" s="499"/>
      <c r="M145" s="881"/>
      <c r="N145" s="882"/>
      <c r="O145" s="882"/>
      <c r="P145" s="882"/>
      <c r="Q145" s="882"/>
    </row>
    <row r="146" spans="4:17" s="482" customFormat="1" ht="12.75">
      <c r="D146" s="498"/>
      <c r="E146" s="499"/>
      <c r="M146" s="881"/>
      <c r="N146" s="882"/>
      <c r="O146" s="882"/>
      <c r="P146" s="882"/>
      <c r="Q146" s="882"/>
    </row>
    <row r="147" spans="4:17" s="482" customFormat="1" ht="12.75">
      <c r="D147" s="498"/>
      <c r="E147" s="499"/>
      <c r="M147" s="881"/>
      <c r="N147" s="882"/>
      <c r="O147" s="882"/>
      <c r="P147" s="882"/>
      <c r="Q147" s="882"/>
    </row>
    <row r="148" spans="4:17" s="482" customFormat="1" ht="12.75">
      <c r="D148" s="498"/>
      <c r="E148" s="499"/>
      <c r="M148" s="881"/>
      <c r="N148" s="882"/>
      <c r="O148" s="882"/>
      <c r="P148" s="882"/>
      <c r="Q148" s="882"/>
    </row>
    <row r="149" spans="4:17" s="482" customFormat="1" ht="12.75">
      <c r="D149" s="498"/>
      <c r="E149" s="499"/>
      <c r="M149" s="881"/>
      <c r="N149" s="882"/>
      <c r="O149" s="882"/>
      <c r="P149" s="882"/>
      <c r="Q149" s="882"/>
    </row>
    <row r="150" spans="4:17" s="482" customFormat="1" ht="12.75">
      <c r="D150" s="498"/>
      <c r="E150" s="499"/>
      <c r="M150" s="881"/>
      <c r="N150" s="882"/>
      <c r="O150" s="882"/>
      <c r="P150" s="882"/>
      <c r="Q150" s="882"/>
    </row>
    <row r="151" spans="4:17" s="482" customFormat="1" ht="12.75">
      <c r="D151" s="498"/>
      <c r="E151" s="499"/>
      <c r="M151" s="881"/>
      <c r="N151" s="882"/>
      <c r="O151" s="882"/>
      <c r="P151" s="882"/>
      <c r="Q151" s="882"/>
    </row>
    <row r="152" spans="4:17" s="482" customFormat="1" ht="12.75">
      <c r="D152" s="498"/>
      <c r="E152" s="499"/>
      <c r="M152" s="881"/>
      <c r="N152" s="882"/>
      <c r="O152" s="882"/>
      <c r="P152" s="882"/>
      <c r="Q152" s="882"/>
    </row>
    <row r="153" spans="4:17" s="482" customFormat="1" ht="12.75">
      <c r="D153" s="498"/>
      <c r="E153" s="499"/>
      <c r="M153" s="881"/>
      <c r="N153" s="882"/>
      <c r="O153" s="882"/>
      <c r="P153" s="882"/>
      <c r="Q153" s="882"/>
    </row>
    <row r="154" spans="4:17" s="482" customFormat="1" ht="12.75">
      <c r="D154" s="498"/>
      <c r="E154" s="499"/>
      <c r="M154" s="881"/>
      <c r="N154" s="882"/>
      <c r="O154" s="882"/>
      <c r="P154" s="882"/>
      <c r="Q154" s="882"/>
    </row>
    <row r="155" spans="4:17" s="482" customFormat="1" ht="12.75">
      <c r="D155" s="498"/>
      <c r="E155" s="499"/>
      <c r="M155" s="881"/>
      <c r="N155" s="882"/>
      <c r="O155" s="882"/>
      <c r="P155" s="882"/>
      <c r="Q155" s="882"/>
    </row>
    <row r="156" spans="4:17" s="482" customFormat="1" ht="12.75">
      <c r="D156" s="498"/>
      <c r="E156" s="499"/>
      <c r="M156" s="881"/>
      <c r="N156" s="882"/>
      <c r="O156" s="882"/>
      <c r="P156" s="882"/>
      <c r="Q156" s="882"/>
    </row>
    <row r="157" spans="4:17" s="482" customFormat="1" ht="12.75">
      <c r="D157" s="498"/>
      <c r="E157" s="499"/>
      <c r="M157" s="881"/>
      <c r="N157" s="882"/>
      <c r="O157" s="882"/>
      <c r="P157" s="882"/>
      <c r="Q157" s="882"/>
    </row>
    <row r="158" spans="4:17" s="482" customFormat="1" ht="12.75">
      <c r="D158" s="498"/>
      <c r="E158" s="499"/>
      <c r="M158" s="881"/>
      <c r="N158" s="882"/>
      <c r="O158" s="882"/>
      <c r="P158" s="882"/>
      <c r="Q158" s="882"/>
    </row>
    <row r="159" spans="4:17" s="482" customFormat="1" ht="12.75">
      <c r="D159" s="498"/>
      <c r="E159" s="499"/>
      <c r="M159" s="881"/>
      <c r="N159" s="882"/>
      <c r="O159" s="882"/>
      <c r="P159" s="882"/>
      <c r="Q159" s="882"/>
    </row>
    <row r="160" spans="4:17" s="482" customFormat="1" ht="12.75">
      <c r="D160" s="498"/>
      <c r="E160" s="499"/>
      <c r="M160" s="881"/>
      <c r="N160" s="882"/>
      <c r="O160" s="882"/>
      <c r="P160" s="882"/>
      <c r="Q160" s="882"/>
    </row>
    <row r="161" spans="4:17" s="482" customFormat="1" ht="12.75">
      <c r="D161" s="498"/>
      <c r="E161" s="499"/>
      <c r="M161" s="881"/>
      <c r="N161" s="882"/>
      <c r="O161" s="882"/>
      <c r="P161" s="882"/>
      <c r="Q161" s="882"/>
    </row>
    <row r="162" spans="4:17" s="482" customFormat="1" ht="12.75">
      <c r="D162" s="498"/>
      <c r="E162" s="499"/>
      <c r="M162" s="881"/>
      <c r="N162" s="882"/>
      <c r="O162" s="882"/>
      <c r="P162" s="882"/>
      <c r="Q162" s="882"/>
    </row>
    <row r="163" spans="4:17" s="482" customFormat="1" ht="12.75">
      <c r="D163" s="498"/>
      <c r="E163" s="499"/>
      <c r="M163" s="881"/>
      <c r="N163" s="882"/>
      <c r="O163" s="882"/>
      <c r="P163" s="882"/>
      <c r="Q163" s="882"/>
    </row>
    <row r="164" spans="4:17" s="482" customFormat="1" ht="12.75">
      <c r="D164" s="498"/>
      <c r="E164" s="499"/>
      <c r="M164" s="881"/>
      <c r="N164" s="882"/>
      <c r="O164" s="882"/>
      <c r="P164" s="882"/>
      <c r="Q164" s="882"/>
    </row>
    <row r="165" spans="4:17" s="482" customFormat="1" ht="12.75">
      <c r="D165" s="498"/>
      <c r="E165" s="499"/>
      <c r="M165" s="881"/>
      <c r="N165" s="882"/>
      <c r="O165" s="882"/>
      <c r="P165" s="882"/>
      <c r="Q165" s="882"/>
    </row>
    <row r="166" spans="4:17" s="482" customFormat="1" ht="12.75">
      <c r="D166" s="498"/>
      <c r="E166" s="499"/>
      <c r="M166" s="881"/>
      <c r="N166" s="882"/>
      <c r="O166" s="882"/>
      <c r="P166" s="882"/>
      <c r="Q166" s="882"/>
    </row>
    <row r="167" spans="4:17" s="482" customFormat="1" ht="12.75">
      <c r="D167" s="498"/>
      <c r="E167" s="499"/>
      <c r="M167" s="881"/>
      <c r="N167" s="882"/>
      <c r="O167" s="882"/>
      <c r="P167" s="882"/>
      <c r="Q167" s="882"/>
    </row>
    <row r="168" spans="4:17" s="482" customFormat="1" ht="12.75">
      <c r="D168" s="498"/>
      <c r="E168" s="499"/>
      <c r="M168" s="881"/>
      <c r="N168" s="882"/>
      <c r="O168" s="882"/>
      <c r="P168" s="882"/>
      <c r="Q168" s="882"/>
    </row>
    <row r="169" spans="4:17" s="482" customFormat="1" ht="12.75">
      <c r="D169" s="498"/>
      <c r="E169" s="499"/>
      <c r="M169" s="881"/>
      <c r="N169" s="882"/>
      <c r="O169" s="882"/>
      <c r="P169" s="882"/>
      <c r="Q169" s="882"/>
    </row>
    <row r="170" spans="4:17" s="482" customFormat="1" ht="12.75">
      <c r="D170" s="498"/>
      <c r="E170" s="499"/>
      <c r="M170" s="881"/>
      <c r="N170" s="882"/>
      <c r="O170" s="882"/>
      <c r="P170" s="882"/>
      <c r="Q170" s="882"/>
    </row>
    <row r="171" spans="4:17" s="482" customFormat="1" ht="12.75">
      <c r="D171" s="498"/>
      <c r="E171" s="499"/>
      <c r="M171" s="881"/>
      <c r="N171" s="882"/>
      <c r="O171" s="882"/>
      <c r="P171" s="882"/>
      <c r="Q171" s="882"/>
    </row>
    <row r="172" spans="4:17" s="482" customFormat="1" ht="12.75">
      <c r="D172" s="498"/>
      <c r="E172" s="499"/>
      <c r="M172" s="881"/>
      <c r="N172" s="882"/>
      <c r="O172" s="882"/>
      <c r="P172" s="882"/>
      <c r="Q172" s="882"/>
    </row>
    <row r="173" spans="4:17" s="482" customFormat="1" ht="12.75">
      <c r="D173" s="498"/>
      <c r="E173" s="499"/>
      <c r="M173" s="881"/>
      <c r="N173" s="882"/>
      <c r="O173" s="882"/>
      <c r="P173" s="882"/>
      <c r="Q173" s="882"/>
    </row>
    <row r="174" spans="4:17" s="482" customFormat="1" ht="12.75">
      <c r="D174" s="498"/>
      <c r="E174" s="499"/>
      <c r="M174" s="881"/>
      <c r="N174" s="882"/>
      <c r="O174" s="882"/>
      <c r="P174" s="882"/>
      <c r="Q174" s="882"/>
    </row>
    <row r="175" spans="4:17" s="482" customFormat="1" ht="12.75">
      <c r="D175" s="498"/>
      <c r="E175" s="499"/>
      <c r="M175" s="881"/>
      <c r="N175" s="882"/>
      <c r="O175" s="882"/>
      <c r="P175" s="882"/>
      <c r="Q175" s="882"/>
    </row>
    <row r="176" spans="4:17" s="482" customFormat="1" ht="12.75">
      <c r="D176" s="498"/>
      <c r="E176" s="499"/>
      <c r="M176" s="881"/>
      <c r="N176" s="882"/>
      <c r="O176" s="882"/>
      <c r="P176" s="882"/>
      <c r="Q176" s="882"/>
    </row>
    <row r="177" spans="4:17" s="482" customFormat="1" ht="12.75">
      <c r="D177" s="498"/>
      <c r="E177" s="499"/>
      <c r="M177" s="881"/>
      <c r="N177" s="882"/>
      <c r="O177" s="882"/>
      <c r="P177" s="882"/>
      <c r="Q177" s="882"/>
    </row>
    <row r="178" spans="4:17" s="482" customFormat="1" ht="12.75">
      <c r="D178" s="498"/>
      <c r="E178" s="499"/>
      <c r="M178" s="881"/>
      <c r="N178" s="882"/>
      <c r="O178" s="882"/>
      <c r="P178" s="882"/>
      <c r="Q178" s="882"/>
    </row>
    <row r="179" spans="4:17" s="482" customFormat="1" ht="12.75">
      <c r="D179" s="498"/>
      <c r="E179" s="499"/>
      <c r="M179" s="881"/>
      <c r="N179" s="882"/>
      <c r="O179" s="882"/>
      <c r="P179" s="882"/>
      <c r="Q179" s="882"/>
    </row>
    <row r="180" spans="4:17" s="482" customFormat="1" ht="12.75">
      <c r="D180" s="498"/>
      <c r="E180" s="499"/>
      <c r="M180" s="881"/>
      <c r="N180" s="882"/>
      <c r="O180" s="882"/>
      <c r="P180" s="882"/>
      <c r="Q180" s="882"/>
    </row>
    <row r="181" spans="4:17" s="482" customFormat="1" ht="12.75">
      <c r="D181" s="498"/>
      <c r="E181" s="499"/>
      <c r="M181" s="881"/>
      <c r="N181" s="882"/>
      <c r="O181" s="882"/>
      <c r="P181" s="882"/>
      <c r="Q181" s="882"/>
    </row>
    <row r="182" spans="4:17" s="482" customFormat="1" ht="12.75">
      <c r="D182" s="498"/>
      <c r="E182" s="499"/>
      <c r="M182" s="881"/>
      <c r="N182" s="882"/>
      <c r="O182" s="882"/>
      <c r="P182" s="882"/>
      <c r="Q182" s="882"/>
    </row>
    <row r="183" spans="4:17" s="482" customFormat="1" ht="12.75">
      <c r="D183" s="498"/>
      <c r="E183" s="499"/>
      <c r="M183" s="881"/>
      <c r="N183" s="882"/>
      <c r="O183" s="882"/>
      <c r="P183" s="882"/>
      <c r="Q183" s="882"/>
    </row>
    <row r="184" spans="4:17" s="482" customFormat="1" ht="12.75">
      <c r="D184" s="498"/>
      <c r="E184" s="499"/>
      <c r="M184" s="881"/>
      <c r="N184" s="882"/>
      <c r="O184" s="882"/>
      <c r="P184" s="882"/>
      <c r="Q184" s="882"/>
    </row>
    <row r="185" spans="4:17" s="482" customFormat="1" ht="12.75">
      <c r="D185" s="498"/>
      <c r="E185" s="499"/>
      <c r="M185" s="881"/>
      <c r="N185" s="882"/>
      <c r="O185" s="882"/>
      <c r="P185" s="882"/>
      <c r="Q185" s="882"/>
    </row>
    <row r="186" spans="4:17" s="482" customFormat="1" ht="12.75">
      <c r="D186" s="498"/>
      <c r="E186" s="499"/>
      <c r="M186" s="881"/>
      <c r="N186" s="882"/>
      <c r="O186" s="882"/>
      <c r="P186" s="882"/>
      <c r="Q186" s="882"/>
    </row>
    <row r="187" spans="4:17" s="482" customFormat="1" ht="12.75">
      <c r="D187" s="498"/>
      <c r="E187" s="499"/>
      <c r="M187" s="881"/>
      <c r="N187" s="882"/>
      <c r="O187" s="882"/>
      <c r="P187" s="882"/>
      <c r="Q187" s="882"/>
    </row>
    <row r="188" spans="4:17" s="482" customFormat="1" ht="12.75">
      <c r="D188" s="498"/>
      <c r="E188" s="499"/>
      <c r="M188" s="881"/>
      <c r="N188" s="882"/>
      <c r="O188" s="882"/>
      <c r="P188" s="882"/>
      <c r="Q188" s="882"/>
    </row>
    <row r="189" spans="4:17" s="482" customFormat="1" ht="12.75">
      <c r="D189" s="498"/>
      <c r="E189" s="499"/>
      <c r="M189" s="881"/>
      <c r="N189" s="882"/>
      <c r="O189" s="882"/>
      <c r="P189" s="882"/>
      <c r="Q189" s="882"/>
    </row>
    <row r="190" spans="4:17" s="482" customFormat="1" ht="12.75">
      <c r="D190" s="498"/>
      <c r="E190" s="499"/>
      <c r="M190" s="881"/>
      <c r="N190" s="882"/>
      <c r="O190" s="882"/>
      <c r="P190" s="882"/>
      <c r="Q190" s="882"/>
    </row>
    <row r="191" spans="4:17" s="482" customFormat="1" ht="12.75">
      <c r="D191" s="498"/>
      <c r="E191" s="499"/>
      <c r="M191" s="881"/>
      <c r="N191" s="882"/>
      <c r="O191" s="882"/>
      <c r="P191" s="882"/>
      <c r="Q191" s="882"/>
    </row>
    <row r="192" spans="4:17" s="482" customFormat="1" ht="12.75">
      <c r="D192" s="498"/>
      <c r="E192" s="499"/>
      <c r="M192" s="881"/>
      <c r="N192" s="882"/>
      <c r="O192" s="882"/>
      <c r="P192" s="882"/>
      <c r="Q192" s="882"/>
    </row>
    <row r="193" spans="4:17" s="482" customFormat="1" ht="12.75">
      <c r="D193" s="498"/>
      <c r="E193" s="499"/>
      <c r="M193" s="881"/>
      <c r="N193" s="882"/>
      <c r="O193" s="882"/>
      <c r="P193" s="882"/>
      <c r="Q193" s="882"/>
    </row>
    <row r="194" spans="4:17" s="482" customFormat="1" ht="12.75">
      <c r="D194" s="498"/>
      <c r="E194" s="499"/>
      <c r="M194" s="881"/>
      <c r="N194" s="882"/>
      <c r="O194" s="882"/>
      <c r="P194" s="882"/>
      <c r="Q194" s="882"/>
    </row>
    <row r="195" spans="4:17" s="482" customFormat="1" ht="12.75">
      <c r="D195" s="498"/>
      <c r="E195" s="499"/>
      <c r="M195" s="881"/>
      <c r="N195" s="882"/>
      <c r="O195" s="882"/>
      <c r="P195" s="882"/>
      <c r="Q195" s="882"/>
    </row>
    <row r="196" spans="4:17" s="482" customFormat="1" ht="12.75">
      <c r="D196" s="498"/>
      <c r="E196" s="499"/>
      <c r="M196" s="881"/>
      <c r="N196" s="882"/>
      <c r="O196" s="882"/>
      <c r="P196" s="882"/>
      <c r="Q196" s="882"/>
    </row>
    <row r="197" spans="4:17" s="482" customFormat="1" ht="12.75">
      <c r="D197" s="498"/>
      <c r="E197" s="499"/>
      <c r="M197" s="881"/>
      <c r="N197" s="882"/>
      <c r="O197" s="882"/>
      <c r="P197" s="882"/>
      <c r="Q197" s="882"/>
    </row>
    <row r="198" spans="4:17" s="482" customFormat="1" ht="12.75">
      <c r="D198" s="498"/>
      <c r="E198" s="499"/>
      <c r="M198" s="881"/>
      <c r="N198" s="882"/>
      <c r="O198" s="882"/>
      <c r="P198" s="882"/>
      <c r="Q198" s="882"/>
    </row>
    <row r="199" spans="4:17" s="482" customFormat="1" ht="12.75">
      <c r="D199" s="498"/>
      <c r="E199" s="499"/>
      <c r="M199" s="881"/>
      <c r="N199" s="882"/>
      <c r="O199" s="882"/>
      <c r="P199" s="882"/>
      <c r="Q199" s="882"/>
    </row>
    <row r="200" spans="4:17" s="482" customFormat="1" ht="12.75">
      <c r="D200" s="498"/>
      <c r="E200" s="499"/>
      <c r="M200" s="881"/>
      <c r="N200" s="882"/>
      <c r="O200" s="882"/>
      <c r="P200" s="882"/>
      <c r="Q200" s="882"/>
    </row>
    <row r="201" spans="4:17" s="482" customFormat="1" ht="12.75">
      <c r="D201" s="498"/>
      <c r="E201" s="499"/>
      <c r="M201" s="881"/>
      <c r="N201" s="882"/>
      <c r="O201" s="882"/>
      <c r="P201" s="882"/>
      <c r="Q201" s="882"/>
    </row>
    <row r="202" spans="4:17" s="482" customFormat="1" ht="12.75">
      <c r="D202" s="498"/>
      <c r="E202" s="499"/>
      <c r="M202" s="881"/>
      <c r="N202" s="882"/>
      <c r="O202" s="882"/>
      <c r="P202" s="882"/>
      <c r="Q202" s="882"/>
    </row>
    <row r="203" spans="4:17" s="482" customFormat="1" ht="12.75">
      <c r="D203" s="498"/>
      <c r="E203" s="499"/>
      <c r="M203" s="881"/>
      <c r="N203" s="882"/>
      <c r="O203" s="882"/>
      <c r="P203" s="882"/>
      <c r="Q203" s="882"/>
    </row>
    <row r="204" spans="4:17" s="482" customFormat="1" ht="12.75">
      <c r="D204" s="498"/>
      <c r="E204" s="499"/>
      <c r="M204" s="881"/>
      <c r="N204" s="882"/>
      <c r="O204" s="882"/>
      <c r="P204" s="882"/>
      <c r="Q204" s="882"/>
    </row>
    <row r="205" spans="4:17" s="482" customFormat="1" ht="12.75">
      <c r="D205" s="498"/>
      <c r="E205" s="499"/>
      <c r="M205" s="881"/>
      <c r="N205" s="882"/>
      <c r="O205" s="882"/>
      <c r="P205" s="882"/>
      <c r="Q205" s="882"/>
    </row>
    <row r="206" spans="4:17" s="482" customFormat="1" ht="12.75">
      <c r="D206" s="498"/>
      <c r="E206" s="499"/>
      <c r="M206" s="881"/>
      <c r="N206" s="882"/>
      <c r="O206" s="882"/>
      <c r="P206" s="882"/>
      <c r="Q206" s="882"/>
    </row>
    <row r="207" spans="4:17" s="482" customFormat="1" ht="12.75">
      <c r="D207" s="498"/>
      <c r="E207" s="499"/>
      <c r="M207" s="881"/>
      <c r="N207" s="882"/>
      <c r="O207" s="882"/>
      <c r="P207" s="882"/>
      <c r="Q207" s="882"/>
    </row>
    <row r="208" spans="4:17" s="482" customFormat="1" ht="12.75">
      <c r="D208" s="498"/>
      <c r="E208" s="499"/>
      <c r="M208" s="881"/>
      <c r="N208" s="882"/>
      <c r="O208" s="882"/>
      <c r="P208" s="882"/>
      <c r="Q208" s="882"/>
    </row>
    <row r="209" spans="4:17" s="482" customFormat="1" ht="12.75">
      <c r="D209" s="498"/>
      <c r="E209" s="499"/>
      <c r="M209" s="881"/>
      <c r="N209" s="882"/>
      <c r="O209" s="882"/>
      <c r="P209" s="882"/>
      <c r="Q209" s="882"/>
    </row>
    <row r="210" spans="4:17" s="482" customFormat="1" ht="12.75">
      <c r="D210" s="498"/>
      <c r="E210" s="499"/>
      <c r="M210" s="881"/>
      <c r="N210" s="882"/>
      <c r="O210" s="882"/>
      <c r="P210" s="882"/>
      <c r="Q210" s="882"/>
    </row>
    <row r="211" spans="4:17" s="482" customFormat="1" ht="12.75">
      <c r="D211" s="498"/>
      <c r="E211" s="499"/>
      <c r="M211" s="881"/>
      <c r="N211" s="882"/>
      <c r="O211" s="882"/>
      <c r="P211" s="882"/>
      <c r="Q211" s="882"/>
    </row>
    <row r="212" spans="4:17" s="482" customFormat="1" ht="12.75">
      <c r="D212" s="498"/>
      <c r="E212" s="499"/>
      <c r="M212" s="881"/>
      <c r="N212" s="882"/>
      <c r="O212" s="882"/>
      <c r="P212" s="882"/>
      <c r="Q212" s="882"/>
    </row>
    <row r="213" spans="4:17" s="482" customFormat="1" ht="12.75">
      <c r="D213" s="498"/>
      <c r="E213" s="499"/>
      <c r="M213" s="881"/>
      <c r="N213" s="882"/>
      <c r="O213" s="882"/>
      <c r="P213" s="882"/>
      <c r="Q213" s="882"/>
    </row>
    <row r="214" spans="4:17" s="482" customFormat="1" ht="12.75">
      <c r="D214" s="498"/>
      <c r="E214" s="499"/>
      <c r="M214" s="881"/>
      <c r="N214" s="882"/>
      <c r="O214" s="882"/>
      <c r="P214" s="882"/>
      <c r="Q214" s="882"/>
    </row>
    <row r="215" spans="4:17" s="482" customFormat="1" ht="12.75">
      <c r="D215" s="498"/>
      <c r="E215" s="499"/>
      <c r="M215" s="881"/>
      <c r="N215" s="882"/>
      <c r="O215" s="882"/>
      <c r="P215" s="882"/>
      <c r="Q215" s="882"/>
    </row>
    <row r="216" spans="4:17" s="482" customFormat="1" ht="12.75">
      <c r="D216" s="498"/>
      <c r="E216" s="499"/>
      <c r="M216" s="881"/>
      <c r="N216" s="882"/>
      <c r="O216" s="882"/>
      <c r="P216" s="882"/>
      <c r="Q216" s="882"/>
    </row>
    <row r="217" spans="4:17" s="482" customFormat="1" ht="12.75">
      <c r="D217" s="498"/>
      <c r="E217" s="499"/>
      <c r="M217" s="881"/>
      <c r="N217" s="882"/>
      <c r="O217" s="882"/>
      <c r="P217" s="882"/>
      <c r="Q217" s="882"/>
    </row>
    <row r="218" spans="4:17" s="482" customFormat="1" ht="12.75">
      <c r="D218" s="498"/>
      <c r="E218" s="499"/>
      <c r="M218" s="881"/>
      <c r="N218" s="882"/>
      <c r="O218" s="882"/>
      <c r="P218" s="882"/>
      <c r="Q218" s="882"/>
    </row>
    <row r="219" spans="4:17" s="482" customFormat="1" ht="12.75">
      <c r="D219" s="498"/>
      <c r="E219" s="499"/>
      <c r="M219" s="881"/>
      <c r="N219" s="882"/>
      <c r="O219" s="882"/>
      <c r="P219" s="882"/>
      <c r="Q219" s="882"/>
    </row>
    <row r="220" spans="4:17" s="482" customFormat="1" ht="12.75">
      <c r="D220" s="498"/>
      <c r="E220" s="499"/>
      <c r="M220" s="881"/>
      <c r="N220" s="882"/>
      <c r="O220" s="882"/>
      <c r="P220" s="882"/>
      <c r="Q220" s="882"/>
    </row>
    <row r="221" spans="4:17" s="482" customFormat="1" ht="12.75">
      <c r="D221" s="498"/>
      <c r="E221" s="499"/>
      <c r="M221" s="881"/>
      <c r="N221" s="882"/>
      <c r="O221" s="882"/>
      <c r="P221" s="882"/>
      <c r="Q221" s="882"/>
    </row>
    <row r="222" spans="4:17" s="482" customFormat="1" ht="12.75">
      <c r="D222" s="498"/>
      <c r="E222" s="499"/>
      <c r="M222" s="881"/>
      <c r="N222" s="882"/>
      <c r="O222" s="882"/>
      <c r="P222" s="882"/>
      <c r="Q222" s="882"/>
    </row>
    <row r="223" spans="4:17" s="482" customFormat="1" ht="12.75">
      <c r="D223" s="498"/>
      <c r="E223" s="499"/>
      <c r="M223" s="881"/>
      <c r="N223" s="882"/>
      <c r="O223" s="882"/>
      <c r="P223" s="882"/>
      <c r="Q223" s="882"/>
    </row>
    <row r="224" spans="4:17" s="482" customFormat="1" ht="12.75">
      <c r="D224" s="498"/>
      <c r="E224" s="499"/>
      <c r="M224" s="881"/>
      <c r="N224" s="882"/>
      <c r="O224" s="882"/>
      <c r="P224" s="882"/>
      <c r="Q224" s="882"/>
    </row>
    <row r="225" spans="4:17" s="482" customFormat="1" ht="12.75">
      <c r="D225" s="498"/>
      <c r="E225" s="499"/>
      <c r="M225" s="881"/>
      <c r="N225" s="882"/>
      <c r="O225" s="882"/>
      <c r="P225" s="882"/>
      <c r="Q225" s="882"/>
    </row>
    <row r="226" spans="4:17" s="482" customFormat="1" ht="12.75">
      <c r="D226" s="498"/>
      <c r="E226" s="499"/>
      <c r="M226" s="881"/>
      <c r="N226" s="882"/>
      <c r="O226" s="882"/>
      <c r="P226" s="882"/>
      <c r="Q226" s="882"/>
    </row>
    <row r="227" spans="4:17" s="482" customFormat="1" ht="12.75">
      <c r="D227" s="498"/>
      <c r="E227" s="499"/>
      <c r="M227" s="881"/>
      <c r="N227" s="882"/>
      <c r="O227" s="882"/>
      <c r="P227" s="882"/>
      <c r="Q227" s="882"/>
    </row>
    <row r="228" spans="4:17" s="482" customFormat="1" ht="12.75">
      <c r="D228" s="498"/>
      <c r="E228" s="499"/>
      <c r="M228" s="881"/>
      <c r="N228" s="882"/>
      <c r="O228" s="882"/>
      <c r="P228" s="882"/>
      <c r="Q228" s="882"/>
    </row>
    <row r="229" spans="4:17" s="482" customFormat="1" ht="12.75">
      <c r="D229" s="498"/>
      <c r="E229" s="499"/>
      <c r="M229" s="881"/>
      <c r="N229" s="882"/>
      <c r="O229" s="882"/>
      <c r="P229" s="882"/>
      <c r="Q229" s="882"/>
    </row>
    <row r="230" spans="4:17" s="482" customFormat="1" ht="12.75">
      <c r="D230" s="498"/>
      <c r="E230" s="499"/>
      <c r="M230" s="881"/>
      <c r="N230" s="882"/>
      <c r="O230" s="882"/>
      <c r="P230" s="882"/>
      <c r="Q230" s="882"/>
    </row>
    <row r="231" spans="4:17" s="482" customFormat="1" ht="12.75">
      <c r="D231" s="498"/>
      <c r="E231" s="499"/>
      <c r="M231" s="881"/>
      <c r="N231" s="882"/>
      <c r="O231" s="882"/>
      <c r="P231" s="882"/>
      <c r="Q231" s="882"/>
    </row>
    <row r="232" spans="4:17" s="482" customFormat="1" ht="12.75">
      <c r="D232" s="498"/>
      <c r="E232" s="499"/>
      <c r="M232" s="881"/>
      <c r="N232" s="882"/>
      <c r="O232" s="882"/>
      <c r="P232" s="882"/>
      <c r="Q232" s="882"/>
    </row>
    <row r="233" spans="4:17" s="482" customFormat="1" ht="12.75">
      <c r="D233" s="498"/>
      <c r="E233" s="499"/>
      <c r="M233" s="881"/>
      <c r="N233" s="882"/>
      <c r="O233" s="882"/>
      <c r="P233" s="882"/>
      <c r="Q233" s="882"/>
    </row>
    <row r="234" spans="4:17" s="482" customFormat="1" ht="12.75">
      <c r="D234" s="498"/>
      <c r="E234" s="499"/>
      <c r="M234" s="881"/>
      <c r="N234" s="882"/>
      <c r="O234" s="882"/>
      <c r="P234" s="882"/>
      <c r="Q234" s="882"/>
    </row>
    <row r="235" spans="4:17" s="482" customFormat="1" ht="12.75">
      <c r="D235" s="498"/>
      <c r="E235" s="499"/>
      <c r="M235" s="881"/>
      <c r="N235" s="882"/>
      <c r="O235" s="882"/>
      <c r="P235" s="882"/>
      <c r="Q235" s="882"/>
    </row>
    <row r="236" spans="4:17" s="482" customFormat="1" ht="12.75">
      <c r="D236" s="498"/>
      <c r="E236" s="499"/>
      <c r="M236" s="881"/>
      <c r="N236" s="882"/>
      <c r="O236" s="882"/>
      <c r="P236" s="882"/>
      <c r="Q236" s="882"/>
    </row>
    <row r="237" spans="4:17" s="482" customFormat="1" ht="12.75">
      <c r="D237" s="498"/>
      <c r="E237" s="499"/>
      <c r="M237" s="881"/>
      <c r="N237" s="882"/>
      <c r="O237" s="882"/>
      <c r="P237" s="882"/>
      <c r="Q237" s="882"/>
    </row>
    <row r="238" spans="4:17" s="482" customFormat="1" ht="12.75">
      <c r="D238" s="498"/>
      <c r="E238" s="499"/>
      <c r="M238" s="881"/>
      <c r="N238" s="882"/>
      <c r="O238" s="882"/>
      <c r="P238" s="882"/>
      <c r="Q238" s="882"/>
    </row>
    <row r="239" spans="4:17" s="482" customFormat="1" ht="12.75">
      <c r="D239" s="498"/>
      <c r="E239" s="499"/>
      <c r="M239" s="881"/>
      <c r="N239" s="882"/>
      <c r="O239" s="882"/>
      <c r="P239" s="882"/>
      <c r="Q239" s="882"/>
    </row>
    <row r="240" spans="4:17" s="482" customFormat="1" ht="12.75">
      <c r="D240" s="498"/>
      <c r="E240" s="499"/>
      <c r="M240" s="881"/>
      <c r="N240" s="882"/>
      <c r="O240" s="882"/>
      <c r="P240" s="882"/>
      <c r="Q240" s="882"/>
    </row>
    <row r="241" spans="4:17" s="482" customFormat="1" ht="12.75">
      <c r="D241" s="498"/>
      <c r="E241" s="499"/>
      <c r="M241" s="881"/>
      <c r="N241" s="882"/>
      <c r="O241" s="882"/>
      <c r="P241" s="882"/>
      <c r="Q241" s="882"/>
    </row>
    <row r="242" spans="4:17" s="482" customFormat="1" ht="12.75">
      <c r="D242" s="498"/>
      <c r="E242" s="499"/>
      <c r="M242" s="881"/>
      <c r="N242" s="882"/>
      <c r="O242" s="882"/>
      <c r="P242" s="882"/>
      <c r="Q242" s="882"/>
    </row>
    <row r="243" spans="4:17" s="482" customFormat="1" ht="12.75">
      <c r="D243" s="498"/>
      <c r="E243" s="499"/>
      <c r="M243" s="881"/>
      <c r="N243" s="882"/>
      <c r="O243" s="882"/>
      <c r="P243" s="882"/>
      <c r="Q243" s="882"/>
    </row>
    <row r="244" spans="4:17" s="482" customFormat="1" ht="12.75">
      <c r="D244" s="498"/>
      <c r="E244" s="499"/>
      <c r="M244" s="881"/>
      <c r="N244" s="882"/>
      <c r="O244" s="882"/>
      <c r="P244" s="882"/>
      <c r="Q244" s="882"/>
    </row>
    <row r="245" spans="4:17" s="482" customFormat="1" ht="12.75">
      <c r="D245" s="498"/>
      <c r="E245" s="499"/>
      <c r="M245" s="881"/>
      <c r="N245" s="882"/>
      <c r="O245" s="882"/>
      <c r="P245" s="882"/>
      <c r="Q245" s="882"/>
    </row>
    <row r="246" spans="4:17" s="482" customFormat="1" ht="12.75">
      <c r="D246" s="498"/>
      <c r="E246" s="499"/>
      <c r="M246" s="881"/>
      <c r="N246" s="882"/>
      <c r="O246" s="882"/>
      <c r="P246" s="882"/>
      <c r="Q246" s="882"/>
    </row>
    <row r="247" spans="4:17" s="482" customFormat="1" ht="12.75">
      <c r="D247" s="498"/>
      <c r="E247" s="499"/>
      <c r="M247" s="881"/>
      <c r="N247" s="882"/>
      <c r="O247" s="882"/>
      <c r="P247" s="882"/>
      <c r="Q247" s="882"/>
    </row>
    <row r="248" spans="4:17" s="482" customFormat="1" ht="12.75">
      <c r="D248" s="498"/>
      <c r="E248" s="499"/>
      <c r="M248" s="881"/>
      <c r="N248" s="882"/>
      <c r="O248" s="882"/>
      <c r="P248" s="882"/>
      <c r="Q248" s="882"/>
    </row>
    <row r="249" spans="4:17" s="482" customFormat="1" ht="12.75">
      <c r="D249" s="498"/>
      <c r="E249" s="499"/>
      <c r="M249" s="881"/>
      <c r="N249" s="882"/>
      <c r="O249" s="882"/>
      <c r="P249" s="882"/>
      <c r="Q249" s="882"/>
    </row>
    <row r="250" spans="4:17" s="482" customFormat="1" ht="12.75">
      <c r="D250" s="498"/>
      <c r="E250" s="499"/>
      <c r="M250" s="881"/>
      <c r="N250" s="882"/>
      <c r="O250" s="882"/>
      <c r="P250" s="882"/>
      <c r="Q250" s="882"/>
    </row>
    <row r="251" spans="4:17" s="482" customFormat="1" ht="12.75">
      <c r="D251" s="498"/>
      <c r="E251" s="499"/>
      <c r="M251" s="881"/>
      <c r="N251" s="882"/>
      <c r="O251" s="882"/>
      <c r="P251" s="882"/>
      <c r="Q251" s="882"/>
    </row>
    <row r="252" spans="4:17" s="482" customFormat="1" ht="12.75">
      <c r="D252" s="498"/>
      <c r="E252" s="499"/>
      <c r="M252" s="881"/>
      <c r="N252" s="882"/>
      <c r="O252" s="882"/>
      <c r="P252" s="882"/>
      <c r="Q252" s="882"/>
    </row>
    <row r="253" spans="4:17" s="482" customFormat="1" ht="12.75">
      <c r="D253" s="498"/>
      <c r="E253" s="499"/>
      <c r="M253" s="881"/>
      <c r="N253" s="882"/>
      <c r="O253" s="882"/>
      <c r="P253" s="882"/>
      <c r="Q253" s="882"/>
    </row>
    <row r="254" spans="4:17" s="482" customFormat="1" ht="12.75">
      <c r="D254" s="498"/>
      <c r="E254" s="499"/>
      <c r="M254" s="881"/>
      <c r="N254" s="882"/>
      <c r="O254" s="882"/>
      <c r="P254" s="882"/>
      <c r="Q254" s="882"/>
    </row>
    <row r="255" spans="4:17" s="482" customFormat="1" ht="12.75">
      <c r="D255" s="498"/>
      <c r="E255" s="499"/>
      <c r="M255" s="881"/>
      <c r="N255" s="882"/>
      <c r="O255" s="882"/>
      <c r="P255" s="882"/>
      <c r="Q255" s="882"/>
    </row>
    <row r="256" spans="4:17" s="482" customFormat="1" ht="12.75">
      <c r="D256" s="498"/>
      <c r="E256" s="499"/>
      <c r="M256" s="881"/>
      <c r="N256" s="882"/>
      <c r="O256" s="882"/>
      <c r="P256" s="882"/>
      <c r="Q256" s="882"/>
    </row>
    <row r="257" spans="4:17" s="482" customFormat="1" ht="12.75">
      <c r="D257" s="498"/>
      <c r="E257" s="499"/>
      <c r="M257" s="881"/>
      <c r="N257" s="882"/>
      <c r="O257" s="882"/>
      <c r="P257" s="882"/>
      <c r="Q257" s="882"/>
    </row>
    <row r="258" spans="4:17" s="482" customFormat="1" ht="12.75">
      <c r="D258" s="498"/>
      <c r="E258" s="499"/>
      <c r="M258" s="881"/>
      <c r="N258" s="882"/>
      <c r="O258" s="882"/>
      <c r="P258" s="882"/>
      <c r="Q258" s="882"/>
    </row>
    <row r="259" spans="4:17" s="482" customFormat="1" ht="12.75">
      <c r="D259" s="498"/>
      <c r="E259" s="499"/>
      <c r="M259" s="881"/>
      <c r="N259" s="882"/>
      <c r="O259" s="882"/>
      <c r="P259" s="882"/>
      <c r="Q259" s="882"/>
    </row>
    <row r="260" spans="4:17" s="482" customFormat="1" ht="12.75">
      <c r="D260" s="498"/>
      <c r="E260" s="499"/>
      <c r="M260" s="881"/>
      <c r="N260" s="882"/>
      <c r="O260" s="882"/>
      <c r="P260" s="882"/>
      <c r="Q260" s="882"/>
    </row>
    <row r="261" spans="4:17" s="482" customFormat="1" ht="12.75">
      <c r="D261" s="498"/>
      <c r="E261" s="499"/>
      <c r="M261" s="881"/>
      <c r="N261" s="882"/>
      <c r="O261" s="882"/>
      <c r="P261" s="882"/>
      <c r="Q261" s="882"/>
    </row>
    <row r="262" spans="4:17" s="482" customFormat="1" ht="12.75">
      <c r="D262" s="498"/>
      <c r="E262" s="499"/>
      <c r="M262" s="881"/>
      <c r="N262" s="882"/>
      <c r="O262" s="882"/>
      <c r="P262" s="882"/>
      <c r="Q262" s="882"/>
    </row>
    <row r="263" spans="4:17" s="482" customFormat="1" ht="12.75">
      <c r="D263" s="498"/>
      <c r="E263" s="499"/>
      <c r="M263" s="881"/>
      <c r="N263" s="882"/>
      <c r="O263" s="882"/>
      <c r="P263" s="882"/>
      <c r="Q263" s="882"/>
    </row>
    <row r="264" spans="4:17" s="482" customFormat="1" ht="12.75">
      <c r="D264" s="498"/>
      <c r="E264" s="499"/>
      <c r="M264" s="881"/>
      <c r="N264" s="882"/>
      <c r="O264" s="882"/>
      <c r="P264" s="882"/>
      <c r="Q264" s="882"/>
    </row>
    <row r="265" spans="4:17" s="482" customFormat="1" ht="12.75">
      <c r="D265" s="498"/>
      <c r="E265" s="499"/>
      <c r="M265" s="881"/>
      <c r="N265" s="882"/>
      <c r="O265" s="882"/>
      <c r="P265" s="882"/>
      <c r="Q265" s="882"/>
    </row>
    <row r="266" spans="4:17" s="482" customFormat="1" ht="12.75">
      <c r="D266" s="498"/>
      <c r="E266" s="499"/>
      <c r="M266" s="881"/>
      <c r="N266" s="882"/>
      <c r="O266" s="882"/>
      <c r="P266" s="882"/>
      <c r="Q266" s="882"/>
    </row>
    <row r="267" spans="4:17" s="482" customFormat="1" ht="12.75">
      <c r="D267" s="498"/>
      <c r="E267" s="499"/>
      <c r="M267" s="881"/>
      <c r="N267" s="882"/>
      <c r="O267" s="882"/>
      <c r="P267" s="882"/>
      <c r="Q267" s="882"/>
    </row>
    <row r="268" spans="4:17" s="482" customFormat="1" ht="12.75">
      <c r="D268" s="498"/>
      <c r="E268" s="499"/>
      <c r="M268" s="881"/>
      <c r="N268" s="882"/>
      <c r="O268" s="882"/>
      <c r="P268" s="882"/>
      <c r="Q268" s="882"/>
    </row>
    <row r="269" spans="4:17" s="482" customFormat="1" ht="12.75">
      <c r="D269" s="498"/>
      <c r="E269" s="499"/>
      <c r="M269" s="881"/>
      <c r="N269" s="882"/>
      <c r="O269" s="882"/>
      <c r="P269" s="882"/>
      <c r="Q269" s="882"/>
    </row>
    <row r="270" spans="4:17" s="482" customFormat="1" ht="12.75">
      <c r="D270" s="498"/>
      <c r="E270" s="499"/>
      <c r="M270" s="881"/>
      <c r="N270" s="882"/>
      <c r="O270" s="882"/>
      <c r="P270" s="882"/>
      <c r="Q270" s="882"/>
    </row>
    <row r="271" spans="4:17" s="482" customFormat="1" ht="12.75">
      <c r="D271" s="498"/>
      <c r="E271" s="499"/>
      <c r="M271" s="881"/>
      <c r="N271" s="882"/>
      <c r="O271" s="882"/>
      <c r="P271" s="882"/>
      <c r="Q271" s="882"/>
    </row>
    <row r="272" spans="4:17" s="482" customFormat="1" ht="12.75">
      <c r="D272" s="498"/>
      <c r="E272" s="499"/>
      <c r="M272" s="881"/>
      <c r="N272" s="882"/>
      <c r="O272" s="882"/>
      <c r="P272" s="882"/>
      <c r="Q272" s="882"/>
    </row>
    <row r="273" spans="4:17" s="482" customFormat="1" ht="12.75">
      <c r="D273" s="498"/>
      <c r="E273" s="499"/>
      <c r="M273" s="881"/>
      <c r="N273" s="882"/>
      <c r="O273" s="882"/>
      <c r="P273" s="882"/>
      <c r="Q273" s="882"/>
    </row>
    <row r="274" spans="4:17" s="482" customFormat="1" ht="12.75">
      <c r="D274" s="498"/>
      <c r="E274" s="499"/>
      <c r="M274" s="881"/>
      <c r="N274" s="882"/>
      <c r="O274" s="882"/>
      <c r="P274" s="882"/>
      <c r="Q274" s="882"/>
    </row>
    <row r="275" spans="4:17" s="482" customFormat="1" ht="12.75">
      <c r="D275" s="498"/>
      <c r="E275" s="499"/>
      <c r="M275" s="881"/>
      <c r="N275" s="882"/>
      <c r="O275" s="882"/>
      <c r="P275" s="882"/>
      <c r="Q275" s="882"/>
    </row>
    <row r="276" spans="4:17" s="482" customFormat="1" ht="12.75">
      <c r="D276" s="498"/>
      <c r="E276" s="499"/>
      <c r="M276" s="881"/>
      <c r="N276" s="882"/>
      <c r="O276" s="882"/>
      <c r="P276" s="882"/>
      <c r="Q276" s="882"/>
    </row>
    <row r="277" spans="4:17" s="482" customFormat="1" ht="12.75">
      <c r="D277" s="498"/>
      <c r="E277" s="499"/>
      <c r="M277" s="881"/>
      <c r="N277" s="882"/>
      <c r="O277" s="882"/>
      <c r="P277" s="882"/>
      <c r="Q277" s="882"/>
    </row>
    <row r="278" spans="4:17" s="482" customFormat="1" ht="12.75">
      <c r="D278" s="498"/>
      <c r="E278" s="499"/>
      <c r="M278" s="881"/>
      <c r="N278" s="882"/>
      <c r="O278" s="882"/>
      <c r="P278" s="882"/>
      <c r="Q278" s="882"/>
    </row>
    <row r="279" spans="4:17" s="482" customFormat="1" ht="12.75">
      <c r="D279" s="498"/>
      <c r="E279" s="499"/>
      <c r="M279" s="881"/>
      <c r="N279" s="882"/>
      <c r="O279" s="882"/>
      <c r="P279" s="882"/>
      <c r="Q279" s="882"/>
    </row>
    <row r="280" spans="4:17" s="482" customFormat="1" ht="12.75">
      <c r="D280" s="498"/>
      <c r="E280" s="499"/>
      <c r="M280" s="881"/>
      <c r="N280" s="882"/>
      <c r="O280" s="882"/>
      <c r="P280" s="882"/>
      <c r="Q280" s="882"/>
    </row>
    <row r="281" spans="4:17" s="482" customFormat="1" ht="12.75">
      <c r="D281" s="498"/>
      <c r="E281" s="499"/>
      <c r="M281" s="881"/>
      <c r="N281" s="882"/>
      <c r="O281" s="882"/>
      <c r="P281" s="882"/>
      <c r="Q281" s="882"/>
    </row>
    <row r="282" spans="4:17" s="482" customFormat="1" ht="12.75">
      <c r="D282" s="498"/>
      <c r="E282" s="499"/>
      <c r="M282" s="881"/>
      <c r="N282" s="882"/>
      <c r="O282" s="882"/>
      <c r="P282" s="882"/>
      <c r="Q282" s="882"/>
    </row>
    <row r="283" spans="4:17" s="482" customFormat="1" ht="12.75">
      <c r="D283" s="498"/>
      <c r="E283" s="499"/>
      <c r="M283" s="881"/>
      <c r="N283" s="882"/>
      <c r="O283" s="882"/>
      <c r="P283" s="882"/>
      <c r="Q283" s="882"/>
    </row>
    <row r="284" spans="4:17" s="482" customFormat="1" ht="12.75">
      <c r="D284" s="498"/>
      <c r="E284" s="499"/>
      <c r="M284" s="881"/>
      <c r="N284" s="882"/>
      <c r="O284" s="882"/>
      <c r="P284" s="882"/>
      <c r="Q284" s="882"/>
    </row>
    <row r="285" spans="4:17" s="482" customFormat="1" ht="12.75">
      <c r="D285" s="498"/>
      <c r="E285" s="499"/>
      <c r="M285" s="881"/>
      <c r="N285" s="882"/>
      <c r="O285" s="882"/>
      <c r="P285" s="882"/>
      <c r="Q285" s="882"/>
    </row>
    <row r="286" spans="4:17" s="482" customFormat="1" ht="12.75">
      <c r="D286" s="498"/>
      <c r="E286" s="499"/>
      <c r="M286" s="881"/>
      <c r="N286" s="882"/>
      <c r="O286" s="882"/>
      <c r="P286" s="882"/>
      <c r="Q286" s="882"/>
    </row>
    <row r="287" spans="4:17" s="482" customFormat="1" ht="12.75">
      <c r="D287" s="498"/>
      <c r="E287" s="499"/>
      <c r="M287" s="881"/>
      <c r="N287" s="882"/>
      <c r="O287" s="882"/>
      <c r="P287" s="882"/>
      <c r="Q287" s="882"/>
    </row>
    <row r="288" spans="4:17" s="482" customFormat="1" ht="12.75">
      <c r="D288" s="498"/>
      <c r="E288" s="499"/>
      <c r="M288" s="881"/>
      <c r="N288" s="882"/>
      <c r="O288" s="882"/>
      <c r="P288" s="882"/>
      <c r="Q288" s="882"/>
    </row>
    <row r="289" spans="4:17" s="482" customFormat="1" ht="12.75">
      <c r="D289" s="498"/>
      <c r="E289" s="499"/>
      <c r="M289" s="881"/>
      <c r="N289" s="882"/>
      <c r="O289" s="882"/>
      <c r="P289" s="882"/>
      <c r="Q289" s="882"/>
    </row>
    <row r="290" spans="4:17" s="482" customFormat="1" ht="12.75">
      <c r="D290" s="498"/>
      <c r="E290" s="499"/>
      <c r="M290" s="881"/>
      <c r="N290" s="882"/>
      <c r="O290" s="882"/>
      <c r="P290" s="882"/>
      <c r="Q290" s="882"/>
    </row>
    <row r="291" spans="4:17" s="482" customFormat="1" ht="12.75">
      <c r="D291" s="498"/>
      <c r="E291" s="499"/>
      <c r="M291" s="881"/>
      <c r="N291" s="882"/>
      <c r="O291" s="882"/>
      <c r="P291" s="882"/>
      <c r="Q291" s="882"/>
    </row>
    <row r="292" spans="4:17" s="482" customFormat="1" ht="12.75">
      <c r="D292" s="498"/>
      <c r="E292" s="499"/>
      <c r="M292" s="881"/>
      <c r="N292" s="882"/>
      <c r="O292" s="882"/>
      <c r="P292" s="882"/>
      <c r="Q292" s="882"/>
    </row>
    <row r="293" spans="4:17" s="482" customFormat="1" ht="12.75">
      <c r="D293" s="498"/>
      <c r="E293" s="499"/>
      <c r="M293" s="881"/>
      <c r="N293" s="882"/>
      <c r="O293" s="882"/>
      <c r="P293" s="882"/>
      <c r="Q293" s="882"/>
    </row>
    <row r="294" spans="4:17" s="482" customFormat="1" ht="12.75">
      <c r="D294" s="498"/>
      <c r="E294" s="499"/>
      <c r="M294" s="881"/>
      <c r="N294" s="882"/>
      <c r="O294" s="882"/>
      <c r="P294" s="882"/>
      <c r="Q294" s="882"/>
    </row>
    <row r="295" spans="4:17" s="482" customFormat="1" ht="12.75">
      <c r="D295" s="498"/>
      <c r="E295" s="499"/>
      <c r="M295" s="881"/>
      <c r="N295" s="882"/>
      <c r="O295" s="882"/>
      <c r="P295" s="882"/>
      <c r="Q295" s="882"/>
    </row>
    <row r="296" spans="4:17" s="482" customFormat="1" ht="12.75">
      <c r="D296" s="498"/>
      <c r="E296" s="499"/>
      <c r="M296" s="881"/>
      <c r="N296" s="882"/>
      <c r="O296" s="882"/>
      <c r="P296" s="882"/>
      <c r="Q296" s="882"/>
    </row>
    <row r="297" spans="4:17" s="482" customFormat="1" ht="12.75">
      <c r="D297" s="498"/>
      <c r="E297" s="499"/>
      <c r="M297" s="881"/>
      <c r="N297" s="882"/>
      <c r="O297" s="882"/>
      <c r="P297" s="882"/>
      <c r="Q297" s="882"/>
    </row>
    <row r="298" spans="4:17" s="482" customFormat="1" ht="12.75">
      <c r="D298" s="498"/>
      <c r="E298" s="499"/>
      <c r="M298" s="881"/>
      <c r="N298" s="882"/>
      <c r="O298" s="882"/>
      <c r="P298" s="882"/>
      <c r="Q298" s="882"/>
    </row>
    <row r="299" spans="4:17" s="482" customFormat="1" ht="12.75">
      <c r="D299" s="498"/>
      <c r="E299" s="499"/>
      <c r="M299" s="881"/>
      <c r="N299" s="882"/>
      <c r="O299" s="882"/>
      <c r="P299" s="882"/>
      <c r="Q299" s="882"/>
    </row>
    <row r="300" spans="4:17" s="482" customFormat="1" ht="12.75">
      <c r="D300" s="498"/>
      <c r="E300" s="499"/>
      <c r="M300" s="881"/>
      <c r="N300" s="882"/>
      <c r="O300" s="882"/>
      <c r="P300" s="882"/>
      <c r="Q300" s="882"/>
    </row>
    <row r="301" spans="4:17" s="482" customFormat="1" ht="12.75">
      <c r="D301" s="498"/>
      <c r="E301" s="499"/>
      <c r="M301" s="881"/>
      <c r="N301" s="882"/>
      <c r="O301" s="882"/>
      <c r="P301" s="882"/>
      <c r="Q301" s="882"/>
    </row>
    <row r="302" spans="4:17" s="482" customFormat="1" ht="12.75">
      <c r="D302" s="498"/>
      <c r="E302" s="499"/>
      <c r="M302" s="881"/>
      <c r="N302" s="882"/>
      <c r="O302" s="882"/>
      <c r="P302" s="882"/>
      <c r="Q302" s="882"/>
    </row>
    <row r="303" spans="4:17" s="482" customFormat="1" ht="12.75">
      <c r="D303" s="498"/>
      <c r="E303" s="499"/>
      <c r="M303" s="881"/>
      <c r="N303" s="882"/>
      <c r="O303" s="882"/>
      <c r="P303" s="882"/>
      <c r="Q303" s="882"/>
    </row>
    <row r="304" spans="4:17" s="482" customFormat="1" ht="12.75">
      <c r="D304" s="498"/>
      <c r="E304" s="499"/>
      <c r="M304" s="881"/>
      <c r="N304" s="882"/>
      <c r="O304" s="882"/>
      <c r="P304" s="882"/>
      <c r="Q304" s="882"/>
    </row>
    <row r="305" spans="4:17" s="482" customFormat="1" ht="12.75">
      <c r="D305" s="498"/>
      <c r="E305" s="499"/>
      <c r="M305" s="881"/>
      <c r="N305" s="882"/>
      <c r="O305" s="882"/>
      <c r="P305" s="882"/>
      <c r="Q305" s="882"/>
    </row>
    <row r="306" spans="4:17" s="482" customFormat="1" ht="12.75">
      <c r="D306" s="498"/>
      <c r="E306" s="499"/>
      <c r="M306" s="881"/>
      <c r="N306" s="882"/>
      <c r="O306" s="882"/>
      <c r="P306" s="882"/>
      <c r="Q306" s="882"/>
    </row>
    <row r="307" spans="4:17" s="482" customFormat="1" ht="12.75">
      <c r="D307" s="498"/>
      <c r="E307" s="499"/>
      <c r="M307" s="881"/>
      <c r="N307" s="882"/>
      <c r="O307" s="882"/>
      <c r="P307" s="882"/>
      <c r="Q307" s="882"/>
    </row>
    <row r="308" spans="4:17" s="482" customFormat="1" ht="12.75">
      <c r="D308" s="498"/>
      <c r="E308" s="499"/>
      <c r="M308" s="881"/>
      <c r="N308" s="882"/>
      <c r="O308" s="882"/>
      <c r="P308" s="882"/>
      <c r="Q308" s="882"/>
    </row>
    <row r="309" spans="4:17" s="482" customFormat="1" ht="12.75">
      <c r="D309" s="498"/>
      <c r="E309" s="499"/>
      <c r="M309" s="881"/>
      <c r="N309" s="882"/>
      <c r="O309" s="882"/>
      <c r="P309" s="882"/>
      <c r="Q309" s="882"/>
    </row>
    <row r="310" spans="4:17" s="482" customFormat="1" ht="12.75">
      <c r="D310" s="498"/>
      <c r="E310" s="499"/>
      <c r="M310" s="881"/>
      <c r="N310" s="882"/>
      <c r="O310" s="882"/>
      <c r="P310" s="882"/>
      <c r="Q310" s="882"/>
    </row>
    <row r="311" spans="4:17" s="482" customFormat="1" ht="12.75">
      <c r="D311" s="498"/>
      <c r="E311" s="499"/>
      <c r="M311" s="881"/>
      <c r="N311" s="882"/>
      <c r="O311" s="882"/>
      <c r="P311" s="882"/>
      <c r="Q311" s="882"/>
    </row>
    <row r="312" spans="4:17" s="482" customFormat="1" ht="12.75">
      <c r="D312" s="498"/>
      <c r="E312" s="499"/>
      <c r="M312" s="881"/>
      <c r="N312" s="882"/>
      <c r="O312" s="882"/>
      <c r="P312" s="882"/>
      <c r="Q312" s="882"/>
    </row>
    <row r="313" spans="4:17" s="482" customFormat="1" ht="12.75">
      <c r="D313" s="498"/>
      <c r="E313" s="499"/>
      <c r="M313" s="881"/>
      <c r="N313" s="882"/>
      <c r="O313" s="882"/>
      <c r="P313" s="882"/>
      <c r="Q313" s="882"/>
    </row>
    <row r="314" spans="4:17" s="482" customFormat="1" ht="12.75">
      <c r="D314" s="498"/>
      <c r="E314" s="499"/>
      <c r="M314" s="881"/>
      <c r="N314" s="882"/>
      <c r="O314" s="882"/>
      <c r="P314" s="882"/>
      <c r="Q314" s="882"/>
    </row>
    <row r="315" spans="4:17" s="482" customFormat="1" ht="12.75">
      <c r="D315" s="498"/>
      <c r="E315" s="499"/>
      <c r="M315" s="881"/>
      <c r="N315" s="882"/>
      <c r="O315" s="882"/>
      <c r="P315" s="882"/>
      <c r="Q315" s="882"/>
    </row>
    <row r="316" spans="4:17" s="482" customFormat="1" ht="12.75">
      <c r="D316" s="498"/>
      <c r="E316" s="499"/>
      <c r="M316" s="881"/>
      <c r="N316" s="882"/>
      <c r="O316" s="882"/>
      <c r="P316" s="882"/>
      <c r="Q316" s="882"/>
    </row>
    <row r="317" spans="4:17" s="482" customFormat="1" ht="12.75">
      <c r="D317" s="498"/>
      <c r="E317" s="499"/>
      <c r="M317" s="881"/>
      <c r="N317" s="882"/>
      <c r="O317" s="882"/>
      <c r="P317" s="882"/>
      <c r="Q317" s="882"/>
    </row>
    <row r="318" spans="4:17" s="482" customFormat="1" ht="12.75">
      <c r="D318" s="498"/>
      <c r="E318" s="499"/>
      <c r="M318" s="881"/>
      <c r="N318" s="882"/>
      <c r="O318" s="882"/>
      <c r="P318" s="882"/>
      <c r="Q318" s="882"/>
    </row>
    <row r="319" spans="4:17" s="482" customFormat="1" ht="12.75">
      <c r="D319" s="498"/>
      <c r="E319" s="499"/>
      <c r="M319" s="881"/>
      <c r="N319" s="882"/>
      <c r="O319" s="882"/>
      <c r="P319" s="882"/>
      <c r="Q319" s="882"/>
    </row>
    <row r="320" spans="4:17" s="482" customFormat="1" ht="12.75">
      <c r="D320" s="498"/>
      <c r="E320" s="499"/>
      <c r="M320" s="881"/>
      <c r="N320" s="882"/>
      <c r="O320" s="882"/>
      <c r="P320" s="882"/>
      <c r="Q320" s="882"/>
    </row>
    <row r="321" spans="4:17" s="482" customFormat="1" ht="12.75">
      <c r="D321" s="498"/>
      <c r="E321" s="499"/>
      <c r="M321" s="881"/>
      <c r="N321" s="882"/>
      <c r="O321" s="882"/>
      <c r="P321" s="882"/>
      <c r="Q321" s="882"/>
    </row>
    <row r="322" spans="4:17" s="482" customFormat="1" ht="12.75">
      <c r="D322" s="498"/>
      <c r="E322" s="499"/>
      <c r="M322" s="881"/>
      <c r="N322" s="882"/>
      <c r="O322" s="882"/>
      <c r="P322" s="882"/>
      <c r="Q322" s="882"/>
    </row>
    <row r="323" spans="4:17" s="482" customFormat="1" ht="12.75">
      <c r="D323" s="498"/>
      <c r="E323" s="499"/>
      <c r="M323" s="881"/>
      <c r="N323" s="882"/>
      <c r="O323" s="882"/>
      <c r="P323" s="882"/>
      <c r="Q323" s="882"/>
    </row>
    <row r="324" spans="4:17" s="482" customFormat="1" ht="12.75">
      <c r="D324" s="498"/>
      <c r="E324" s="499"/>
      <c r="M324" s="881"/>
      <c r="N324" s="882"/>
      <c r="O324" s="882"/>
      <c r="P324" s="882"/>
      <c r="Q324" s="882"/>
    </row>
    <row r="325" spans="4:17" s="482" customFormat="1" ht="12.75">
      <c r="D325" s="498"/>
      <c r="E325" s="499"/>
      <c r="M325" s="881"/>
      <c r="N325" s="882"/>
      <c r="O325" s="882"/>
      <c r="P325" s="882"/>
      <c r="Q325" s="882"/>
    </row>
    <row r="326" spans="4:17" s="482" customFormat="1" ht="12.75">
      <c r="D326" s="498"/>
      <c r="E326" s="499"/>
      <c r="M326" s="881"/>
      <c r="N326" s="882"/>
      <c r="O326" s="882"/>
      <c r="P326" s="882"/>
      <c r="Q326" s="882"/>
    </row>
    <row r="327" spans="4:17" s="482" customFormat="1" ht="12.75">
      <c r="D327" s="498"/>
      <c r="E327" s="499"/>
      <c r="M327" s="881"/>
      <c r="N327" s="882"/>
      <c r="O327" s="882"/>
      <c r="P327" s="882"/>
      <c r="Q327" s="882"/>
    </row>
    <row r="328" spans="4:17" s="482" customFormat="1" ht="12.75">
      <c r="D328" s="498"/>
      <c r="E328" s="499"/>
      <c r="M328" s="881"/>
      <c r="N328" s="882"/>
      <c r="O328" s="882"/>
      <c r="P328" s="882"/>
      <c r="Q328" s="882"/>
    </row>
    <row r="329" spans="4:17" s="482" customFormat="1" ht="12.75">
      <c r="D329" s="498"/>
      <c r="E329" s="499"/>
      <c r="M329" s="881"/>
      <c r="N329" s="882"/>
      <c r="O329" s="882"/>
      <c r="P329" s="882"/>
      <c r="Q329" s="882"/>
    </row>
    <row r="330" spans="4:17" s="482" customFormat="1" ht="12.75">
      <c r="D330" s="498"/>
      <c r="E330" s="499"/>
      <c r="M330" s="881"/>
      <c r="N330" s="882"/>
      <c r="O330" s="882"/>
      <c r="P330" s="882"/>
      <c r="Q330" s="882"/>
    </row>
    <row r="331" spans="4:17" s="482" customFormat="1" ht="12.75">
      <c r="D331" s="498"/>
      <c r="E331" s="499"/>
      <c r="M331" s="881"/>
      <c r="N331" s="882"/>
      <c r="O331" s="882"/>
      <c r="P331" s="882"/>
      <c r="Q331" s="882"/>
    </row>
    <row r="332" spans="4:17" s="482" customFormat="1" ht="12.75">
      <c r="D332" s="498"/>
      <c r="E332" s="499"/>
      <c r="M332" s="881"/>
      <c r="N332" s="882"/>
      <c r="O332" s="882"/>
      <c r="P332" s="882"/>
      <c r="Q332" s="882"/>
    </row>
    <row r="333" spans="4:17" s="482" customFormat="1" ht="12.75">
      <c r="D333" s="498"/>
      <c r="E333" s="499"/>
      <c r="M333" s="881"/>
      <c r="N333" s="882"/>
      <c r="O333" s="882"/>
      <c r="P333" s="882"/>
      <c r="Q333" s="882"/>
    </row>
    <row r="334" spans="4:17" s="482" customFormat="1" ht="12.75">
      <c r="D334" s="498"/>
      <c r="E334" s="499"/>
      <c r="M334" s="881"/>
      <c r="N334" s="882"/>
      <c r="O334" s="882"/>
      <c r="P334" s="882"/>
      <c r="Q334" s="882"/>
    </row>
    <row r="335" spans="4:17" s="482" customFormat="1" ht="12.75">
      <c r="D335" s="498"/>
      <c r="E335" s="499"/>
      <c r="M335" s="881"/>
      <c r="N335" s="882"/>
      <c r="O335" s="882"/>
      <c r="P335" s="882"/>
      <c r="Q335" s="882"/>
    </row>
    <row r="336" spans="4:17" s="482" customFormat="1" ht="12.75">
      <c r="D336" s="498"/>
      <c r="E336" s="499"/>
      <c r="M336" s="881"/>
      <c r="N336" s="882"/>
      <c r="O336" s="882"/>
      <c r="P336" s="882"/>
      <c r="Q336" s="882"/>
    </row>
    <row r="337" spans="4:17" s="482" customFormat="1" ht="12.75">
      <c r="D337" s="498"/>
      <c r="E337" s="499"/>
      <c r="M337" s="881"/>
      <c r="N337" s="882"/>
      <c r="O337" s="882"/>
      <c r="P337" s="882"/>
      <c r="Q337" s="882"/>
    </row>
    <row r="338" spans="4:17" s="482" customFormat="1" ht="12.75">
      <c r="D338" s="498"/>
      <c r="E338" s="499"/>
      <c r="M338" s="881"/>
      <c r="N338" s="882"/>
      <c r="O338" s="882"/>
      <c r="P338" s="882"/>
      <c r="Q338" s="882"/>
    </row>
    <row r="339" spans="4:17" s="482" customFormat="1" ht="12.75">
      <c r="D339" s="498"/>
      <c r="E339" s="499"/>
      <c r="M339" s="881"/>
      <c r="N339" s="882"/>
      <c r="O339" s="882"/>
      <c r="P339" s="882"/>
      <c r="Q339" s="882"/>
    </row>
    <row r="340" spans="4:17" s="482" customFormat="1" ht="12.75">
      <c r="D340" s="498"/>
      <c r="E340" s="499"/>
      <c r="M340" s="881"/>
      <c r="N340" s="882"/>
      <c r="O340" s="882"/>
      <c r="P340" s="882"/>
      <c r="Q340" s="882"/>
    </row>
    <row r="341" spans="4:17" s="482" customFormat="1" ht="12.75">
      <c r="D341" s="498"/>
      <c r="E341" s="499"/>
      <c r="M341" s="881"/>
      <c r="N341" s="882"/>
      <c r="O341" s="882"/>
      <c r="P341" s="882"/>
      <c r="Q341" s="882"/>
    </row>
    <row r="342" spans="4:17" s="482" customFormat="1" ht="12.75">
      <c r="D342" s="498"/>
      <c r="E342" s="499"/>
      <c r="M342" s="881"/>
      <c r="N342" s="882"/>
      <c r="O342" s="882"/>
      <c r="P342" s="882"/>
      <c r="Q342" s="882"/>
    </row>
    <row r="343" spans="4:17" s="482" customFormat="1" ht="12.75">
      <c r="D343" s="498"/>
      <c r="E343" s="499"/>
      <c r="M343" s="881"/>
      <c r="N343" s="882"/>
      <c r="O343" s="882"/>
      <c r="P343" s="882"/>
      <c r="Q343" s="882"/>
    </row>
    <row r="344" spans="4:17" s="482" customFormat="1" ht="12.75">
      <c r="D344" s="498"/>
      <c r="E344" s="499"/>
      <c r="M344" s="881"/>
      <c r="N344" s="882"/>
      <c r="O344" s="882"/>
      <c r="P344" s="882"/>
      <c r="Q344" s="882"/>
    </row>
    <row r="345" spans="4:17" s="482" customFormat="1" ht="12.75">
      <c r="D345" s="498"/>
      <c r="E345" s="499"/>
      <c r="M345" s="881"/>
      <c r="N345" s="882"/>
      <c r="O345" s="882"/>
      <c r="P345" s="882"/>
      <c r="Q345" s="882"/>
    </row>
    <row r="346" spans="4:17" s="482" customFormat="1" ht="12.75">
      <c r="D346" s="498"/>
      <c r="E346" s="499"/>
      <c r="M346" s="881"/>
      <c r="N346" s="882"/>
      <c r="O346" s="882"/>
      <c r="P346" s="882"/>
      <c r="Q346" s="882"/>
    </row>
    <row r="347" spans="4:17" s="482" customFormat="1" ht="12.75">
      <c r="D347" s="498"/>
      <c r="E347" s="499"/>
      <c r="M347" s="881"/>
      <c r="N347" s="882"/>
      <c r="O347" s="882"/>
      <c r="P347" s="882"/>
      <c r="Q347" s="882"/>
    </row>
    <row r="348" spans="4:17" s="482" customFormat="1" ht="12.75">
      <c r="D348" s="498"/>
      <c r="E348" s="499"/>
      <c r="M348" s="881"/>
      <c r="N348" s="882"/>
      <c r="O348" s="882"/>
      <c r="P348" s="882"/>
      <c r="Q348" s="882"/>
    </row>
    <row r="349" spans="4:17" s="482" customFormat="1" ht="12.75">
      <c r="D349" s="498"/>
      <c r="E349" s="499"/>
      <c r="M349" s="881"/>
      <c r="N349" s="882"/>
      <c r="O349" s="882"/>
      <c r="P349" s="882"/>
      <c r="Q349" s="882"/>
    </row>
    <row r="350" spans="4:17" s="482" customFormat="1" ht="12.75">
      <c r="D350" s="498"/>
      <c r="E350" s="499"/>
      <c r="M350" s="881"/>
      <c r="N350" s="882"/>
      <c r="O350" s="882"/>
      <c r="P350" s="882"/>
      <c r="Q350" s="882"/>
    </row>
    <row r="351" spans="4:17" s="482" customFormat="1" ht="12.75">
      <c r="D351" s="498"/>
      <c r="E351" s="499"/>
      <c r="M351" s="881"/>
      <c r="N351" s="882"/>
      <c r="O351" s="882"/>
      <c r="P351" s="882"/>
      <c r="Q351" s="882"/>
    </row>
    <row r="352" spans="4:17" s="482" customFormat="1" ht="12.75">
      <c r="D352" s="498"/>
      <c r="E352" s="499"/>
      <c r="M352" s="881"/>
      <c r="N352" s="882"/>
      <c r="O352" s="882"/>
      <c r="P352" s="882"/>
      <c r="Q352" s="882"/>
    </row>
    <row r="353" spans="4:17" s="482" customFormat="1" ht="12.75">
      <c r="D353" s="498"/>
      <c r="E353" s="499"/>
      <c r="M353" s="881"/>
      <c r="N353" s="882"/>
      <c r="O353" s="882"/>
      <c r="P353" s="882"/>
      <c r="Q353" s="882"/>
    </row>
    <row r="354" spans="4:17" s="482" customFormat="1" ht="12.75">
      <c r="D354" s="498"/>
      <c r="E354" s="499"/>
      <c r="M354" s="881"/>
      <c r="N354" s="882"/>
      <c r="O354" s="882"/>
      <c r="P354" s="882"/>
      <c r="Q354" s="882"/>
    </row>
    <row r="355" spans="4:17" s="482" customFormat="1" ht="12.75">
      <c r="D355" s="498"/>
      <c r="E355" s="499"/>
      <c r="M355" s="881"/>
      <c r="N355" s="882"/>
      <c r="O355" s="882"/>
      <c r="P355" s="882"/>
      <c r="Q355" s="882"/>
    </row>
    <row r="356" spans="4:17" s="482" customFormat="1" ht="12.75">
      <c r="D356" s="498"/>
      <c r="E356" s="499"/>
      <c r="M356" s="881"/>
      <c r="N356" s="882"/>
      <c r="O356" s="882"/>
      <c r="P356" s="882"/>
      <c r="Q356" s="882"/>
    </row>
    <row r="357" spans="4:17" s="482" customFormat="1" ht="12.75">
      <c r="D357" s="498"/>
      <c r="E357" s="499"/>
      <c r="M357" s="881"/>
      <c r="N357" s="882"/>
      <c r="O357" s="882"/>
      <c r="P357" s="882"/>
      <c r="Q357" s="882"/>
    </row>
    <row r="358" spans="4:17" s="482" customFormat="1" ht="12.75">
      <c r="D358" s="498"/>
      <c r="E358" s="499"/>
      <c r="M358" s="881"/>
      <c r="N358" s="882"/>
      <c r="O358" s="882"/>
      <c r="P358" s="882"/>
      <c r="Q358" s="882"/>
    </row>
    <row r="359" spans="4:17" s="482" customFormat="1" ht="12.75">
      <c r="D359" s="498"/>
      <c r="E359" s="499"/>
      <c r="M359" s="881"/>
      <c r="N359" s="882"/>
      <c r="O359" s="882"/>
      <c r="P359" s="882"/>
      <c r="Q359" s="882"/>
    </row>
    <row r="360" spans="4:17" s="482" customFormat="1" ht="12.75">
      <c r="D360" s="498"/>
      <c r="E360" s="499"/>
      <c r="M360" s="881"/>
      <c r="N360" s="882"/>
      <c r="O360" s="882"/>
      <c r="P360" s="882"/>
      <c r="Q360" s="882"/>
    </row>
    <row r="361" spans="4:17" s="482" customFormat="1" ht="12.75">
      <c r="D361" s="498"/>
      <c r="E361" s="499"/>
      <c r="M361" s="881"/>
      <c r="N361" s="882"/>
      <c r="O361" s="882"/>
      <c r="P361" s="882"/>
      <c r="Q361" s="882"/>
    </row>
    <row r="362" spans="4:17" s="482" customFormat="1" ht="12.75">
      <c r="D362" s="498"/>
      <c r="E362" s="499"/>
      <c r="M362" s="881"/>
      <c r="N362" s="882"/>
      <c r="O362" s="882"/>
      <c r="P362" s="882"/>
      <c r="Q362" s="882"/>
    </row>
    <row r="363" spans="4:17" s="482" customFormat="1" ht="12.75">
      <c r="D363" s="498"/>
      <c r="E363" s="499"/>
      <c r="M363" s="881"/>
      <c r="N363" s="882"/>
      <c r="O363" s="882"/>
      <c r="P363" s="882"/>
      <c r="Q363" s="882"/>
    </row>
    <row r="364" spans="4:17" s="482" customFormat="1" ht="12.75">
      <c r="D364" s="498"/>
      <c r="E364" s="499"/>
      <c r="M364" s="881"/>
      <c r="N364" s="882"/>
      <c r="O364" s="882"/>
      <c r="P364" s="882"/>
      <c r="Q364" s="882"/>
    </row>
    <row r="365" spans="4:17" s="482" customFormat="1" ht="12.75">
      <c r="D365" s="498"/>
      <c r="E365" s="499"/>
      <c r="M365" s="881"/>
      <c r="N365" s="882"/>
      <c r="O365" s="882"/>
      <c r="P365" s="882"/>
      <c r="Q365" s="882"/>
    </row>
    <row r="366" spans="4:17" s="482" customFormat="1" ht="12.75">
      <c r="D366" s="498"/>
      <c r="E366" s="499"/>
      <c r="M366" s="881"/>
      <c r="N366" s="882"/>
      <c r="O366" s="882"/>
      <c r="P366" s="882"/>
      <c r="Q366" s="882"/>
    </row>
    <row r="367" spans="4:17" s="482" customFormat="1" ht="12.75">
      <c r="D367" s="498"/>
      <c r="E367" s="499"/>
      <c r="M367" s="881"/>
      <c r="N367" s="882"/>
      <c r="O367" s="882"/>
      <c r="P367" s="882"/>
      <c r="Q367" s="882"/>
    </row>
    <row r="368" spans="4:17" s="482" customFormat="1" ht="12.75">
      <c r="D368" s="498"/>
      <c r="E368" s="499"/>
      <c r="M368" s="881"/>
      <c r="N368" s="882"/>
      <c r="O368" s="882"/>
      <c r="P368" s="882"/>
      <c r="Q368" s="882"/>
    </row>
    <row r="369" spans="4:17" s="482" customFormat="1" ht="12.75">
      <c r="D369" s="498"/>
      <c r="E369" s="499"/>
      <c r="M369" s="881"/>
      <c r="N369" s="882"/>
      <c r="O369" s="882"/>
      <c r="P369" s="882"/>
      <c r="Q369" s="882"/>
    </row>
    <row r="370" spans="4:17" s="482" customFormat="1" ht="12.75">
      <c r="D370" s="498"/>
      <c r="E370" s="499"/>
      <c r="M370" s="881"/>
      <c r="N370" s="882"/>
      <c r="O370" s="882"/>
      <c r="P370" s="882"/>
      <c r="Q370" s="882"/>
    </row>
    <row r="371" spans="4:17" s="482" customFormat="1" ht="12.75">
      <c r="D371" s="498"/>
      <c r="E371" s="499"/>
      <c r="M371" s="881"/>
      <c r="N371" s="882"/>
      <c r="O371" s="882"/>
      <c r="P371" s="882"/>
      <c r="Q371" s="882"/>
    </row>
    <row r="372" spans="4:17" s="482" customFormat="1" ht="12.75">
      <c r="D372" s="498"/>
      <c r="E372" s="499"/>
      <c r="M372" s="881"/>
      <c r="N372" s="882"/>
      <c r="O372" s="882"/>
      <c r="P372" s="882"/>
      <c r="Q372" s="882"/>
    </row>
    <row r="373" spans="4:17" s="482" customFormat="1" ht="12.75">
      <c r="D373" s="498"/>
      <c r="E373" s="499"/>
      <c r="M373" s="881"/>
      <c r="N373" s="882"/>
      <c r="O373" s="882"/>
      <c r="P373" s="882"/>
      <c r="Q373" s="882"/>
    </row>
    <row r="374" spans="4:17" s="482" customFormat="1" ht="12.75">
      <c r="D374" s="498"/>
      <c r="E374" s="499"/>
      <c r="M374" s="881"/>
      <c r="N374" s="882"/>
      <c r="O374" s="882"/>
      <c r="P374" s="882"/>
      <c r="Q374" s="882"/>
    </row>
    <row r="375" spans="4:17" s="482" customFormat="1" ht="12.75">
      <c r="D375" s="498"/>
      <c r="E375" s="499"/>
      <c r="M375" s="881"/>
      <c r="N375" s="882"/>
      <c r="O375" s="882"/>
      <c r="P375" s="882"/>
      <c r="Q375" s="882"/>
    </row>
    <row r="376" spans="4:17" s="482" customFormat="1" ht="12.75">
      <c r="D376" s="498"/>
      <c r="E376" s="499"/>
      <c r="M376" s="881"/>
      <c r="N376" s="882"/>
      <c r="O376" s="882"/>
      <c r="P376" s="882"/>
      <c r="Q376" s="882"/>
    </row>
    <row r="377" spans="4:17" s="482" customFormat="1" ht="12.75">
      <c r="D377" s="498"/>
      <c r="E377" s="499"/>
      <c r="M377" s="881"/>
      <c r="N377" s="882"/>
      <c r="O377" s="882"/>
      <c r="P377" s="882"/>
      <c r="Q377" s="882"/>
    </row>
    <row r="378" spans="4:17" s="482" customFormat="1" ht="12.75">
      <c r="D378" s="498"/>
      <c r="E378" s="499"/>
      <c r="M378" s="881"/>
      <c r="N378" s="882"/>
      <c r="O378" s="882"/>
      <c r="P378" s="882"/>
      <c r="Q378" s="882"/>
    </row>
    <row r="379" spans="4:17" s="482" customFormat="1" ht="12.75">
      <c r="D379" s="498"/>
      <c r="E379" s="499"/>
      <c r="M379" s="881"/>
      <c r="N379" s="882"/>
      <c r="O379" s="882"/>
      <c r="P379" s="882"/>
      <c r="Q379" s="882"/>
    </row>
    <row r="380" spans="4:17" s="482" customFormat="1" ht="12.75">
      <c r="D380" s="498"/>
      <c r="E380" s="499"/>
      <c r="M380" s="881"/>
      <c r="N380" s="882"/>
      <c r="O380" s="882"/>
      <c r="P380" s="882"/>
      <c r="Q380" s="882"/>
    </row>
    <row r="381" spans="4:17" s="482" customFormat="1" ht="12.75">
      <c r="D381" s="498"/>
      <c r="E381" s="499"/>
      <c r="M381" s="881"/>
      <c r="N381" s="882"/>
      <c r="O381" s="882"/>
      <c r="P381" s="882"/>
      <c r="Q381" s="882"/>
    </row>
    <row r="382" spans="4:17" s="482" customFormat="1" ht="12.75">
      <c r="D382" s="498"/>
      <c r="E382" s="499"/>
      <c r="M382" s="881"/>
      <c r="N382" s="882"/>
      <c r="O382" s="882"/>
      <c r="P382" s="882"/>
      <c r="Q382" s="882"/>
    </row>
    <row r="383" spans="4:17" s="482" customFormat="1" ht="12.75">
      <c r="D383" s="498"/>
      <c r="E383" s="499"/>
      <c r="M383" s="881"/>
      <c r="N383" s="882"/>
      <c r="O383" s="882"/>
      <c r="P383" s="882"/>
      <c r="Q383" s="882"/>
    </row>
    <row r="384" spans="4:17" s="482" customFormat="1" ht="12.75">
      <c r="D384" s="498"/>
      <c r="E384" s="499"/>
      <c r="M384" s="881"/>
      <c r="N384" s="882"/>
      <c r="O384" s="882"/>
      <c r="P384" s="882"/>
      <c r="Q384" s="882"/>
    </row>
    <row r="385" spans="4:17" s="482" customFormat="1" ht="12.75">
      <c r="D385" s="498"/>
      <c r="E385" s="499"/>
      <c r="M385" s="881"/>
      <c r="N385" s="882"/>
      <c r="O385" s="882"/>
      <c r="P385" s="882"/>
      <c r="Q385" s="882"/>
    </row>
    <row r="386" spans="4:17" s="482" customFormat="1" ht="12.75">
      <c r="D386" s="498"/>
      <c r="E386" s="499"/>
      <c r="M386" s="881"/>
      <c r="N386" s="882"/>
      <c r="O386" s="882"/>
      <c r="P386" s="882"/>
      <c r="Q386" s="882"/>
    </row>
    <row r="387" spans="4:17" s="482" customFormat="1" ht="12.75">
      <c r="D387" s="498"/>
      <c r="E387" s="499"/>
      <c r="M387" s="881"/>
      <c r="N387" s="882"/>
      <c r="O387" s="882"/>
      <c r="P387" s="882"/>
      <c r="Q387" s="882"/>
    </row>
    <row r="388" spans="4:17" s="482" customFormat="1" ht="12.75">
      <c r="D388" s="498"/>
      <c r="E388" s="499"/>
      <c r="M388" s="881"/>
      <c r="N388" s="882"/>
      <c r="O388" s="882"/>
      <c r="P388" s="882"/>
      <c r="Q388" s="882"/>
    </row>
    <row r="389" spans="4:17" s="482" customFormat="1" ht="12.75">
      <c r="D389" s="498"/>
      <c r="E389" s="499"/>
      <c r="M389" s="881"/>
      <c r="N389" s="882"/>
      <c r="O389" s="882"/>
      <c r="P389" s="882"/>
      <c r="Q389" s="882"/>
    </row>
    <row r="390" spans="4:17" s="482" customFormat="1" ht="12.75">
      <c r="D390" s="498"/>
      <c r="E390" s="499"/>
      <c r="M390" s="881"/>
      <c r="N390" s="882"/>
      <c r="O390" s="882"/>
      <c r="P390" s="882"/>
      <c r="Q390" s="882"/>
    </row>
    <row r="391" spans="4:17" s="482" customFormat="1" ht="12.75">
      <c r="D391" s="498"/>
      <c r="E391" s="499"/>
      <c r="M391" s="881"/>
      <c r="N391" s="882"/>
      <c r="O391" s="882"/>
      <c r="P391" s="882"/>
      <c r="Q391" s="882"/>
    </row>
    <row r="392" spans="4:17" s="482" customFormat="1" ht="12.75">
      <c r="D392" s="498"/>
      <c r="E392" s="499"/>
      <c r="M392" s="881"/>
      <c r="N392" s="882"/>
      <c r="O392" s="882"/>
      <c r="P392" s="882"/>
      <c r="Q392" s="882"/>
    </row>
    <row r="393" spans="4:17" s="482" customFormat="1" ht="12.75">
      <c r="D393" s="498"/>
      <c r="E393" s="499"/>
      <c r="M393" s="881"/>
      <c r="N393" s="882"/>
      <c r="O393" s="882"/>
      <c r="P393" s="882"/>
      <c r="Q393" s="882"/>
    </row>
    <row r="394" spans="4:17" s="482" customFormat="1" ht="12.75">
      <c r="D394" s="498"/>
      <c r="E394" s="499"/>
      <c r="M394" s="881"/>
      <c r="N394" s="882"/>
      <c r="O394" s="882"/>
      <c r="P394" s="882"/>
      <c r="Q394" s="882"/>
    </row>
    <row r="395" spans="4:17" s="482" customFormat="1" ht="12.75">
      <c r="D395" s="498"/>
      <c r="E395" s="499"/>
      <c r="M395" s="881"/>
      <c r="N395" s="882"/>
      <c r="O395" s="882"/>
      <c r="P395" s="882"/>
      <c r="Q395" s="882"/>
    </row>
    <row r="396" spans="4:17" s="482" customFormat="1" ht="12.75">
      <c r="D396" s="498"/>
      <c r="E396" s="499"/>
      <c r="M396" s="881"/>
      <c r="N396" s="882"/>
      <c r="O396" s="882"/>
      <c r="P396" s="882"/>
      <c r="Q396" s="882"/>
    </row>
    <row r="397" spans="4:17" s="482" customFormat="1" ht="12.75">
      <c r="D397" s="498"/>
      <c r="E397" s="499"/>
      <c r="M397" s="881"/>
      <c r="N397" s="882"/>
      <c r="O397" s="882"/>
      <c r="P397" s="882"/>
      <c r="Q397" s="882"/>
    </row>
    <row r="398" spans="4:17" s="482" customFormat="1" ht="12.75">
      <c r="D398" s="498"/>
      <c r="E398" s="499"/>
      <c r="M398" s="881"/>
      <c r="N398" s="882"/>
      <c r="O398" s="882"/>
      <c r="P398" s="882"/>
      <c r="Q398" s="882"/>
    </row>
    <row r="399" spans="4:17" s="482" customFormat="1" ht="12.75">
      <c r="D399" s="498"/>
      <c r="E399" s="499"/>
      <c r="M399" s="881"/>
      <c r="N399" s="882"/>
      <c r="O399" s="882"/>
      <c r="P399" s="882"/>
      <c r="Q399" s="882"/>
    </row>
    <row r="400" spans="4:17" s="482" customFormat="1" ht="12.75">
      <c r="D400" s="498"/>
      <c r="E400" s="499"/>
      <c r="M400" s="881"/>
      <c r="N400" s="882"/>
      <c r="O400" s="882"/>
      <c r="P400" s="882"/>
      <c r="Q400" s="882"/>
    </row>
    <row r="401" spans="4:17" s="482" customFormat="1" ht="12.75">
      <c r="D401" s="498"/>
      <c r="E401" s="499"/>
      <c r="M401" s="881"/>
      <c r="N401" s="882"/>
      <c r="O401" s="882"/>
      <c r="P401" s="882"/>
      <c r="Q401" s="882"/>
    </row>
    <row r="402" spans="4:17" s="482" customFormat="1" ht="12.75">
      <c r="D402" s="498"/>
      <c r="E402" s="499"/>
      <c r="M402" s="881"/>
      <c r="N402" s="882"/>
      <c r="O402" s="882"/>
      <c r="P402" s="882"/>
      <c r="Q402" s="882"/>
    </row>
    <row r="403" spans="4:17" s="482" customFormat="1" ht="12.75">
      <c r="D403" s="498"/>
      <c r="E403" s="499"/>
      <c r="M403" s="881"/>
      <c r="N403" s="882"/>
      <c r="O403" s="882"/>
      <c r="P403" s="882"/>
      <c r="Q403" s="882"/>
    </row>
    <row r="404" spans="4:17" s="482" customFormat="1" ht="12.75">
      <c r="D404" s="498"/>
      <c r="E404" s="499"/>
      <c r="M404" s="881"/>
      <c r="N404" s="882"/>
      <c r="O404" s="882"/>
      <c r="P404" s="882"/>
      <c r="Q404" s="882"/>
    </row>
    <row r="405" spans="4:17" s="482" customFormat="1" ht="12.75">
      <c r="D405" s="498"/>
      <c r="E405" s="499"/>
      <c r="M405" s="881"/>
      <c r="N405" s="882"/>
      <c r="O405" s="882"/>
      <c r="P405" s="882"/>
      <c r="Q405" s="882"/>
    </row>
    <row r="406" spans="4:17" s="482" customFormat="1" ht="12.75">
      <c r="D406" s="498"/>
      <c r="E406" s="499"/>
      <c r="M406" s="881"/>
      <c r="N406" s="882"/>
      <c r="O406" s="882"/>
      <c r="P406" s="882"/>
      <c r="Q406" s="882"/>
    </row>
    <row r="407" spans="4:17" s="482" customFormat="1" ht="12.75">
      <c r="D407" s="498"/>
      <c r="E407" s="499"/>
      <c r="M407" s="881"/>
      <c r="N407" s="882"/>
      <c r="O407" s="882"/>
      <c r="P407" s="882"/>
      <c r="Q407" s="882"/>
    </row>
    <row r="408" spans="4:17" s="482" customFormat="1" ht="12.75">
      <c r="D408" s="498"/>
      <c r="E408" s="499"/>
      <c r="M408" s="881"/>
      <c r="N408" s="882"/>
      <c r="O408" s="882"/>
      <c r="P408" s="882"/>
      <c r="Q408" s="882"/>
    </row>
    <row r="409" spans="4:17" s="482" customFormat="1" ht="12.75">
      <c r="D409" s="498"/>
      <c r="E409" s="499"/>
      <c r="M409" s="881"/>
      <c r="N409" s="882"/>
      <c r="O409" s="882"/>
      <c r="P409" s="882"/>
      <c r="Q409" s="882"/>
    </row>
    <row r="410" spans="4:17" s="482" customFormat="1" ht="12.75">
      <c r="D410" s="498"/>
      <c r="E410" s="499"/>
      <c r="M410" s="881"/>
      <c r="N410" s="882"/>
      <c r="O410" s="882"/>
      <c r="P410" s="882"/>
      <c r="Q410" s="882"/>
    </row>
    <row r="411" spans="4:17" s="482" customFormat="1" ht="12.75">
      <c r="D411" s="498"/>
      <c r="E411" s="499"/>
      <c r="M411" s="881"/>
      <c r="N411" s="882"/>
      <c r="O411" s="882"/>
      <c r="P411" s="882"/>
      <c r="Q411" s="882"/>
    </row>
    <row r="412" spans="4:17" s="482" customFormat="1" ht="12.75">
      <c r="D412" s="498"/>
      <c r="E412" s="499"/>
      <c r="M412" s="881"/>
      <c r="N412" s="882"/>
      <c r="O412" s="882"/>
      <c r="P412" s="882"/>
      <c r="Q412" s="882"/>
    </row>
    <row r="413" spans="4:17" s="482" customFormat="1" ht="12.75">
      <c r="D413" s="498"/>
      <c r="E413" s="499"/>
      <c r="M413" s="881"/>
      <c r="N413" s="882"/>
      <c r="O413" s="882"/>
      <c r="P413" s="882"/>
      <c r="Q413" s="882"/>
    </row>
    <row r="414" spans="4:17" s="482" customFormat="1" ht="12.75">
      <c r="D414" s="498"/>
      <c r="E414" s="499"/>
      <c r="M414" s="881"/>
      <c r="N414" s="882"/>
      <c r="O414" s="882"/>
      <c r="P414" s="882"/>
      <c r="Q414" s="882"/>
    </row>
    <row r="415" spans="4:17" s="482" customFormat="1" ht="12.75">
      <c r="D415" s="498"/>
      <c r="E415" s="499"/>
      <c r="M415" s="881"/>
      <c r="N415" s="882"/>
      <c r="O415" s="882"/>
      <c r="P415" s="882"/>
      <c r="Q415" s="882"/>
    </row>
    <row r="416" spans="4:17" s="482" customFormat="1" ht="12.75">
      <c r="D416" s="498"/>
      <c r="E416" s="499"/>
      <c r="M416" s="881"/>
      <c r="N416" s="882"/>
      <c r="O416" s="882"/>
      <c r="P416" s="882"/>
      <c r="Q416" s="882"/>
    </row>
    <row r="417" spans="4:17" s="482" customFormat="1" ht="12.75">
      <c r="D417" s="498"/>
      <c r="E417" s="499"/>
      <c r="M417" s="881"/>
      <c r="N417" s="882"/>
      <c r="O417" s="882"/>
      <c r="P417" s="882"/>
      <c r="Q417" s="882"/>
    </row>
    <row r="418" spans="4:17" s="482" customFormat="1" ht="12.75">
      <c r="D418" s="498"/>
      <c r="E418" s="499"/>
      <c r="M418" s="881"/>
      <c r="N418" s="882"/>
      <c r="O418" s="882"/>
      <c r="P418" s="882"/>
      <c r="Q418" s="882"/>
    </row>
    <row r="419" spans="4:17" s="482" customFormat="1" ht="12.75">
      <c r="D419" s="498"/>
      <c r="E419" s="499"/>
      <c r="M419" s="881"/>
      <c r="N419" s="882"/>
      <c r="O419" s="882"/>
      <c r="P419" s="882"/>
      <c r="Q419" s="882"/>
    </row>
    <row r="420" spans="4:17" s="482" customFormat="1" ht="12.75">
      <c r="D420" s="498"/>
      <c r="E420" s="499"/>
      <c r="M420" s="881"/>
      <c r="N420" s="882"/>
      <c r="O420" s="882"/>
      <c r="P420" s="882"/>
      <c r="Q420" s="882"/>
    </row>
    <row r="421" spans="4:17" s="482" customFormat="1" ht="12.75">
      <c r="D421" s="498"/>
      <c r="E421" s="499"/>
      <c r="M421" s="881"/>
      <c r="N421" s="882"/>
      <c r="O421" s="882"/>
      <c r="P421" s="882"/>
      <c r="Q421" s="882"/>
    </row>
    <row r="422" spans="4:17" s="482" customFormat="1" ht="12.75">
      <c r="D422" s="498"/>
      <c r="E422" s="499"/>
      <c r="M422" s="881"/>
      <c r="N422" s="882"/>
      <c r="O422" s="882"/>
      <c r="P422" s="882"/>
      <c r="Q422" s="882"/>
    </row>
    <row r="423" spans="4:17" s="482" customFormat="1" ht="12.75">
      <c r="D423" s="498"/>
      <c r="E423" s="499"/>
      <c r="M423" s="881"/>
      <c r="N423" s="882"/>
      <c r="O423" s="882"/>
      <c r="P423" s="882"/>
      <c r="Q423" s="882"/>
    </row>
    <row r="424" spans="4:17" s="482" customFormat="1" ht="12.75">
      <c r="D424" s="498"/>
      <c r="E424" s="499"/>
      <c r="M424" s="881"/>
      <c r="N424" s="882"/>
      <c r="O424" s="882"/>
      <c r="P424" s="882"/>
      <c r="Q424" s="882"/>
    </row>
    <row r="425" spans="4:17" s="482" customFormat="1" ht="12.75">
      <c r="D425" s="498"/>
      <c r="E425" s="499"/>
      <c r="M425" s="881"/>
      <c r="N425" s="882"/>
      <c r="O425" s="882"/>
      <c r="P425" s="882"/>
      <c r="Q425" s="882"/>
    </row>
    <row r="426" spans="4:17" s="482" customFormat="1" ht="12.75">
      <c r="D426" s="498"/>
      <c r="E426" s="499"/>
      <c r="M426" s="881"/>
      <c r="N426" s="882"/>
      <c r="O426" s="882"/>
      <c r="P426" s="882"/>
      <c r="Q426" s="882"/>
    </row>
    <row r="427" spans="4:17" s="482" customFormat="1" ht="12.75">
      <c r="D427" s="498"/>
      <c r="E427" s="499"/>
      <c r="M427" s="881"/>
      <c r="N427" s="882"/>
      <c r="O427" s="882"/>
      <c r="P427" s="882"/>
      <c r="Q427" s="882"/>
    </row>
    <row r="428" spans="4:17" s="482" customFormat="1" ht="12.75">
      <c r="D428" s="498"/>
      <c r="E428" s="499"/>
      <c r="M428" s="881"/>
      <c r="N428" s="882"/>
      <c r="O428" s="882"/>
      <c r="P428" s="882"/>
      <c r="Q428" s="882"/>
    </row>
    <row r="429" spans="4:17" s="482" customFormat="1" ht="12.75">
      <c r="D429" s="498"/>
      <c r="E429" s="499"/>
      <c r="M429" s="881"/>
      <c r="N429" s="882"/>
      <c r="O429" s="882"/>
      <c r="P429" s="882"/>
      <c r="Q429" s="882"/>
    </row>
    <row r="430" spans="4:17" s="482" customFormat="1" ht="12.75">
      <c r="D430" s="498"/>
      <c r="E430" s="499"/>
      <c r="M430" s="881"/>
      <c r="N430" s="882"/>
      <c r="O430" s="882"/>
      <c r="P430" s="882"/>
      <c r="Q430" s="882"/>
    </row>
    <row r="431" spans="4:17" s="482" customFormat="1" ht="12.75">
      <c r="D431" s="498"/>
      <c r="E431" s="499"/>
      <c r="M431" s="881"/>
      <c r="N431" s="882"/>
      <c r="O431" s="882"/>
      <c r="P431" s="882"/>
      <c r="Q431" s="882"/>
    </row>
    <row r="432" spans="4:17" s="482" customFormat="1" ht="12.75">
      <c r="D432" s="498"/>
      <c r="E432" s="499"/>
      <c r="M432" s="881"/>
      <c r="N432" s="882"/>
      <c r="O432" s="882"/>
      <c r="P432" s="882"/>
      <c r="Q432" s="882"/>
    </row>
    <row r="433" spans="4:17" s="482" customFormat="1" ht="12.75">
      <c r="D433" s="498"/>
      <c r="E433" s="499"/>
      <c r="M433" s="881"/>
      <c r="N433" s="882"/>
      <c r="O433" s="882"/>
      <c r="P433" s="882"/>
      <c r="Q433" s="882"/>
    </row>
    <row r="434" spans="4:17" s="482" customFormat="1" ht="12.75">
      <c r="D434" s="498"/>
      <c r="E434" s="499"/>
      <c r="M434" s="881"/>
      <c r="N434" s="882"/>
      <c r="O434" s="882"/>
      <c r="P434" s="882"/>
      <c r="Q434" s="882"/>
    </row>
    <row r="435" spans="4:17" s="482" customFormat="1" ht="12.75">
      <c r="D435" s="498"/>
      <c r="E435" s="499"/>
      <c r="M435" s="881"/>
      <c r="N435" s="882"/>
      <c r="O435" s="882"/>
      <c r="P435" s="882"/>
      <c r="Q435" s="882"/>
    </row>
    <row r="436" spans="4:17" s="482" customFormat="1" ht="12.75">
      <c r="D436" s="498"/>
      <c r="E436" s="499"/>
      <c r="M436" s="881"/>
      <c r="N436" s="882"/>
      <c r="O436" s="882"/>
      <c r="P436" s="882"/>
      <c r="Q436" s="882"/>
    </row>
    <row r="437" spans="4:17" s="482" customFormat="1" ht="12.75">
      <c r="D437" s="498"/>
      <c r="E437" s="499"/>
      <c r="M437" s="881"/>
      <c r="N437" s="882"/>
      <c r="O437" s="882"/>
      <c r="P437" s="882"/>
      <c r="Q437" s="882"/>
    </row>
    <row r="438" spans="4:17" s="482" customFormat="1" ht="12.75">
      <c r="D438" s="498"/>
      <c r="E438" s="499"/>
      <c r="M438" s="881"/>
      <c r="N438" s="882"/>
      <c r="O438" s="882"/>
      <c r="P438" s="882"/>
      <c r="Q438" s="882"/>
    </row>
    <row r="439" spans="4:17" s="482" customFormat="1" ht="12.75">
      <c r="D439" s="498"/>
      <c r="E439" s="499"/>
      <c r="M439" s="881"/>
      <c r="N439" s="882"/>
      <c r="O439" s="882"/>
      <c r="P439" s="882"/>
      <c r="Q439" s="882"/>
    </row>
    <row r="440" spans="4:17" s="482" customFormat="1" ht="12.75">
      <c r="D440" s="498"/>
      <c r="E440" s="499"/>
      <c r="M440" s="881"/>
      <c r="N440" s="882"/>
      <c r="O440" s="882"/>
      <c r="P440" s="882"/>
      <c r="Q440" s="882"/>
    </row>
    <row r="441" spans="4:17" s="482" customFormat="1" ht="12.75">
      <c r="D441" s="498"/>
      <c r="E441" s="499"/>
      <c r="M441" s="881"/>
      <c r="N441" s="882"/>
      <c r="O441" s="882"/>
      <c r="P441" s="882"/>
      <c r="Q441" s="882"/>
    </row>
    <row r="442" spans="4:17" s="482" customFormat="1" ht="12.75">
      <c r="D442" s="498"/>
      <c r="E442" s="499"/>
      <c r="M442" s="881"/>
      <c r="N442" s="882"/>
      <c r="O442" s="882"/>
      <c r="P442" s="882"/>
      <c r="Q442" s="882"/>
    </row>
    <row r="443" spans="4:17" s="482" customFormat="1" ht="12.75">
      <c r="D443" s="498"/>
      <c r="E443" s="499"/>
      <c r="M443" s="881"/>
      <c r="N443" s="882"/>
      <c r="O443" s="882"/>
      <c r="P443" s="882"/>
      <c r="Q443" s="882"/>
    </row>
    <row r="444" spans="4:17" s="482" customFormat="1" ht="12.75">
      <c r="D444" s="498"/>
      <c r="E444" s="499"/>
      <c r="M444" s="881"/>
      <c r="N444" s="882"/>
      <c r="O444" s="882"/>
      <c r="P444" s="882"/>
      <c r="Q444" s="882"/>
    </row>
    <row r="445" spans="4:17" s="482" customFormat="1" ht="12.75">
      <c r="D445" s="498"/>
      <c r="E445" s="499"/>
      <c r="M445" s="881"/>
      <c r="N445" s="882"/>
      <c r="O445" s="882"/>
      <c r="P445" s="882"/>
      <c r="Q445" s="882"/>
    </row>
    <row r="446" spans="4:17" s="482" customFormat="1" ht="12.75">
      <c r="D446" s="498"/>
      <c r="E446" s="499"/>
      <c r="M446" s="881"/>
      <c r="N446" s="882"/>
      <c r="O446" s="882"/>
      <c r="P446" s="882"/>
      <c r="Q446" s="882"/>
    </row>
    <row r="447" spans="4:17" s="482" customFormat="1" ht="12.75">
      <c r="D447" s="498"/>
      <c r="E447" s="499"/>
      <c r="M447" s="881"/>
      <c r="N447" s="882"/>
      <c r="O447" s="882"/>
      <c r="P447" s="882"/>
      <c r="Q447" s="882"/>
    </row>
    <row r="448" spans="4:17" s="482" customFormat="1" ht="12.75">
      <c r="D448" s="498"/>
      <c r="E448" s="499"/>
      <c r="M448" s="881"/>
      <c r="N448" s="882"/>
      <c r="O448" s="882"/>
      <c r="P448" s="882"/>
      <c r="Q448" s="882"/>
    </row>
    <row r="449" spans="4:17" s="482" customFormat="1" ht="12.75">
      <c r="D449" s="498"/>
      <c r="E449" s="499"/>
      <c r="M449" s="881"/>
      <c r="N449" s="882"/>
      <c r="O449" s="882"/>
      <c r="P449" s="882"/>
      <c r="Q449" s="882"/>
    </row>
    <row r="450" spans="4:17" s="482" customFormat="1" ht="12.75">
      <c r="D450" s="498"/>
      <c r="E450" s="499"/>
      <c r="M450" s="881"/>
      <c r="N450" s="882"/>
      <c r="O450" s="882"/>
      <c r="P450" s="882"/>
      <c r="Q450" s="882"/>
    </row>
    <row r="451" spans="4:17" s="482" customFormat="1" ht="12.75">
      <c r="D451" s="498"/>
      <c r="E451" s="499"/>
      <c r="M451" s="881"/>
      <c r="N451" s="882"/>
      <c r="O451" s="882"/>
      <c r="P451" s="882"/>
      <c r="Q451" s="882"/>
    </row>
    <row r="452" spans="4:17" s="482" customFormat="1" ht="12.75">
      <c r="D452" s="498"/>
      <c r="E452" s="499"/>
      <c r="M452" s="881"/>
      <c r="N452" s="882"/>
      <c r="O452" s="882"/>
      <c r="P452" s="882"/>
      <c r="Q452" s="882"/>
    </row>
    <row r="453" spans="4:17" s="482" customFormat="1" ht="12.75">
      <c r="D453" s="498"/>
      <c r="E453" s="499"/>
      <c r="M453" s="881"/>
      <c r="N453" s="882"/>
      <c r="O453" s="882"/>
      <c r="P453" s="882"/>
      <c r="Q453" s="882"/>
    </row>
    <row r="454" spans="4:17" s="482" customFormat="1" ht="12.75">
      <c r="D454" s="498"/>
      <c r="E454" s="499"/>
      <c r="M454" s="881"/>
      <c r="N454" s="882"/>
      <c r="O454" s="882"/>
      <c r="P454" s="882"/>
      <c r="Q454" s="882"/>
    </row>
    <row r="455" spans="4:17" s="482" customFormat="1" ht="12.75">
      <c r="D455" s="498"/>
      <c r="E455" s="499"/>
      <c r="M455" s="881"/>
      <c r="N455" s="882"/>
      <c r="O455" s="882"/>
      <c r="P455" s="882"/>
      <c r="Q455" s="882"/>
    </row>
    <row r="456" spans="4:17" s="482" customFormat="1" ht="12.75">
      <c r="D456" s="498"/>
      <c r="E456" s="499"/>
      <c r="M456" s="881"/>
      <c r="N456" s="882"/>
      <c r="O456" s="882"/>
      <c r="P456" s="882"/>
      <c r="Q456" s="882"/>
    </row>
    <row r="457" spans="4:17" s="482" customFormat="1" ht="12.75">
      <c r="D457" s="498"/>
      <c r="E457" s="499"/>
      <c r="M457" s="881"/>
      <c r="N457" s="882"/>
      <c r="O457" s="882"/>
      <c r="P457" s="882"/>
      <c r="Q457" s="882"/>
    </row>
    <row r="458" spans="4:17" s="482" customFormat="1" ht="12.75">
      <c r="D458" s="498"/>
      <c r="E458" s="499"/>
      <c r="M458" s="881"/>
      <c r="N458" s="882"/>
      <c r="O458" s="882"/>
      <c r="P458" s="882"/>
      <c r="Q458" s="882"/>
    </row>
    <row r="459" spans="4:17" s="482" customFormat="1" ht="12.75">
      <c r="D459" s="498"/>
      <c r="E459" s="499"/>
      <c r="M459" s="881"/>
      <c r="N459" s="882"/>
      <c r="O459" s="882"/>
      <c r="P459" s="882"/>
      <c r="Q459" s="882"/>
    </row>
    <row r="460" spans="4:17" s="482" customFormat="1" ht="12.75">
      <c r="D460" s="498"/>
      <c r="E460" s="499"/>
      <c r="M460" s="881"/>
      <c r="N460" s="882"/>
      <c r="O460" s="882"/>
      <c r="P460" s="882"/>
      <c r="Q460" s="882"/>
    </row>
    <row r="461" spans="4:17" s="482" customFormat="1" ht="12.75">
      <c r="D461" s="498"/>
      <c r="E461" s="499"/>
      <c r="M461" s="881"/>
      <c r="N461" s="882"/>
      <c r="O461" s="882"/>
      <c r="P461" s="882"/>
      <c r="Q461" s="882"/>
    </row>
    <row r="462" spans="4:17" s="482" customFormat="1" ht="12.75">
      <c r="D462" s="498"/>
      <c r="E462" s="499"/>
      <c r="M462" s="881"/>
      <c r="N462" s="882"/>
      <c r="O462" s="882"/>
      <c r="P462" s="882"/>
      <c r="Q462" s="882"/>
    </row>
    <row r="463" spans="4:17" s="482" customFormat="1" ht="12.75">
      <c r="D463" s="498"/>
      <c r="E463" s="499"/>
      <c r="M463" s="881"/>
      <c r="N463" s="882"/>
      <c r="O463" s="882"/>
      <c r="P463" s="882"/>
      <c r="Q463" s="882"/>
    </row>
    <row r="464" spans="4:17" s="482" customFormat="1" ht="12.75">
      <c r="D464" s="498"/>
      <c r="E464" s="499"/>
      <c r="M464" s="881"/>
      <c r="N464" s="882"/>
      <c r="O464" s="882"/>
      <c r="P464" s="882"/>
      <c r="Q464" s="882"/>
    </row>
    <row r="465" spans="4:17" s="482" customFormat="1" ht="12.75">
      <c r="D465" s="498"/>
      <c r="E465" s="499"/>
      <c r="M465" s="881"/>
      <c r="N465" s="882"/>
      <c r="O465" s="882"/>
      <c r="P465" s="882"/>
      <c r="Q465" s="882"/>
    </row>
    <row r="466" spans="4:17" s="482" customFormat="1" ht="12.75">
      <c r="D466" s="498"/>
      <c r="E466" s="499"/>
      <c r="M466" s="881"/>
      <c r="N466" s="882"/>
      <c r="O466" s="882"/>
      <c r="P466" s="882"/>
      <c r="Q466" s="882"/>
    </row>
    <row r="467" spans="4:17" s="482" customFormat="1" ht="12.75">
      <c r="D467" s="498"/>
      <c r="E467" s="499"/>
      <c r="M467" s="881"/>
      <c r="N467" s="882"/>
      <c r="O467" s="882"/>
      <c r="P467" s="882"/>
      <c r="Q467" s="882"/>
    </row>
    <row r="468" spans="4:17" s="482" customFormat="1" ht="12.75">
      <c r="D468" s="498"/>
      <c r="E468" s="499"/>
      <c r="M468" s="881"/>
      <c r="N468" s="882"/>
      <c r="O468" s="882"/>
      <c r="P468" s="882"/>
      <c r="Q468" s="882"/>
    </row>
    <row r="469" spans="4:17" s="482" customFormat="1" ht="12.75">
      <c r="D469" s="498"/>
      <c r="E469" s="499"/>
      <c r="M469" s="881"/>
      <c r="N469" s="882"/>
      <c r="O469" s="882"/>
      <c r="P469" s="882"/>
      <c r="Q469" s="882"/>
    </row>
    <row r="470" spans="4:17" s="482" customFormat="1" ht="12.75">
      <c r="D470" s="498"/>
      <c r="E470" s="499"/>
      <c r="M470" s="881"/>
      <c r="N470" s="882"/>
      <c r="O470" s="882"/>
      <c r="P470" s="882"/>
      <c r="Q470" s="882"/>
    </row>
    <row r="471" spans="4:17" s="482" customFormat="1" ht="12.75">
      <c r="D471" s="498"/>
      <c r="E471" s="499"/>
      <c r="M471" s="881"/>
      <c r="N471" s="882"/>
      <c r="O471" s="882"/>
      <c r="P471" s="882"/>
      <c r="Q471" s="882"/>
    </row>
    <row r="472" spans="4:17" s="482" customFormat="1" ht="12.75">
      <c r="D472" s="498"/>
      <c r="E472" s="499"/>
      <c r="M472" s="881"/>
      <c r="N472" s="882"/>
      <c r="O472" s="882"/>
      <c r="P472" s="882"/>
      <c r="Q472" s="882"/>
    </row>
    <row r="473" spans="4:17" s="482" customFormat="1" ht="12.75">
      <c r="D473" s="498"/>
      <c r="E473" s="499"/>
      <c r="M473" s="881"/>
      <c r="N473" s="882"/>
      <c r="O473" s="882"/>
      <c r="P473" s="882"/>
      <c r="Q473" s="882"/>
    </row>
    <row r="474" spans="4:17" s="482" customFormat="1" ht="12.75">
      <c r="D474" s="498"/>
      <c r="E474" s="499"/>
      <c r="M474" s="881"/>
      <c r="N474" s="882"/>
      <c r="O474" s="882"/>
      <c r="P474" s="882"/>
      <c r="Q474" s="882"/>
    </row>
    <row r="475" spans="4:17" s="482" customFormat="1" ht="12.75">
      <c r="D475" s="498"/>
      <c r="E475" s="499"/>
      <c r="M475" s="881"/>
      <c r="N475" s="882"/>
      <c r="O475" s="882"/>
      <c r="P475" s="882"/>
      <c r="Q475" s="882"/>
    </row>
    <row r="476" spans="4:17" s="482" customFormat="1" ht="12.75">
      <c r="D476" s="498"/>
      <c r="E476" s="499"/>
      <c r="M476" s="881"/>
      <c r="N476" s="882"/>
      <c r="O476" s="882"/>
      <c r="P476" s="882"/>
      <c r="Q476" s="882"/>
    </row>
    <row r="477" spans="4:17" s="482" customFormat="1" ht="12.75">
      <c r="D477" s="498"/>
      <c r="E477" s="499"/>
      <c r="M477" s="881"/>
      <c r="N477" s="882"/>
      <c r="O477" s="882"/>
      <c r="P477" s="882"/>
      <c r="Q477" s="882"/>
    </row>
    <row r="478" spans="4:17" s="482" customFormat="1" ht="12.75">
      <c r="D478" s="498"/>
      <c r="E478" s="499"/>
      <c r="M478" s="881"/>
      <c r="N478" s="882"/>
      <c r="O478" s="882"/>
      <c r="P478" s="882"/>
      <c r="Q478" s="882"/>
    </row>
    <row r="479" spans="4:17" s="482" customFormat="1" ht="12.75">
      <c r="D479" s="498"/>
      <c r="E479" s="499"/>
      <c r="M479" s="881"/>
      <c r="N479" s="882"/>
      <c r="O479" s="882"/>
      <c r="P479" s="882"/>
      <c r="Q479" s="882"/>
    </row>
    <row r="480" spans="4:17" s="482" customFormat="1" ht="12.75">
      <c r="D480" s="498"/>
      <c r="E480" s="499"/>
      <c r="M480" s="881"/>
      <c r="N480" s="882"/>
      <c r="O480" s="882"/>
      <c r="P480" s="882"/>
      <c r="Q480" s="882"/>
    </row>
    <row r="481" spans="4:17" s="482" customFormat="1" ht="12.75">
      <c r="D481" s="498"/>
      <c r="E481" s="499"/>
      <c r="M481" s="881"/>
      <c r="N481" s="882"/>
      <c r="O481" s="882"/>
      <c r="P481" s="882"/>
      <c r="Q481" s="882"/>
    </row>
    <row r="482" spans="4:17" s="482" customFormat="1" ht="12.75">
      <c r="D482" s="498"/>
      <c r="E482" s="499"/>
      <c r="M482" s="881"/>
      <c r="N482" s="882"/>
      <c r="O482" s="882"/>
      <c r="P482" s="882"/>
      <c r="Q482" s="882"/>
    </row>
    <row r="483" spans="4:17" s="482" customFormat="1" ht="12.75">
      <c r="D483" s="498"/>
      <c r="E483" s="499"/>
      <c r="M483" s="881"/>
      <c r="N483" s="882"/>
      <c r="O483" s="882"/>
      <c r="P483" s="882"/>
      <c r="Q483" s="882"/>
    </row>
    <row r="484" spans="4:17" s="482" customFormat="1" ht="12.75">
      <c r="D484" s="498"/>
      <c r="E484" s="499"/>
      <c r="M484" s="881"/>
      <c r="N484" s="882"/>
      <c r="O484" s="882"/>
      <c r="P484" s="882"/>
      <c r="Q484" s="882"/>
    </row>
    <row r="485" spans="4:17" s="482" customFormat="1" ht="12.75">
      <c r="D485" s="498"/>
      <c r="E485" s="499"/>
      <c r="M485" s="881"/>
      <c r="N485" s="882"/>
      <c r="O485" s="882"/>
      <c r="P485" s="882"/>
      <c r="Q485" s="882"/>
    </row>
    <row r="486" spans="4:17" s="482" customFormat="1" ht="12.75">
      <c r="D486" s="498"/>
      <c r="E486" s="499"/>
      <c r="M486" s="881"/>
      <c r="N486" s="882"/>
      <c r="O486" s="882"/>
      <c r="P486" s="882"/>
      <c r="Q486" s="882"/>
    </row>
    <row r="487" spans="4:17" s="482" customFormat="1" ht="12.75">
      <c r="D487" s="498"/>
      <c r="E487" s="499"/>
      <c r="M487" s="881"/>
      <c r="N487" s="882"/>
      <c r="O487" s="882"/>
      <c r="P487" s="882"/>
      <c r="Q487" s="882"/>
    </row>
    <row r="488" spans="4:17" s="482" customFormat="1" ht="12.75">
      <c r="D488" s="498"/>
      <c r="E488" s="499"/>
      <c r="M488" s="881"/>
      <c r="N488" s="882"/>
      <c r="O488" s="882"/>
      <c r="P488" s="882"/>
      <c r="Q488" s="882"/>
    </row>
    <row r="489" spans="4:17" s="482" customFormat="1" ht="12.75">
      <c r="D489" s="498"/>
      <c r="E489" s="499"/>
      <c r="M489" s="881"/>
      <c r="N489" s="882"/>
      <c r="O489" s="882"/>
      <c r="P489" s="882"/>
      <c r="Q489" s="882"/>
    </row>
    <row r="490" spans="4:17" s="482" customFormat="1" ht="12.75">
      <c r="D490" s="498"/>
      <c r="E490" s="499"/>
      <c r="M490" s="881"/>
      <c r="N490" s="882"/>
      <c r="O490" s="882"/>
      <c r="P490" s="882"/>
      <c r="Q490" s="882"/>
    </row>
    <row r="491" spans="4:17" s="482" customFormat="1" ht="12.75">
      <c r="D491" s="498"/>
      <c r="E491" s="499"/>
      <c r="M491" s="881"/>
      <c r="N491" s="882"/>
      <c r="O491" s="882"/>
      <c r="P491" s="882"/>
      <c r="Q491" s="882"/>
    </row>
    <row r="492" spans="4:17" s="482" customFormat="1" ht="12.75">
      <c r="D492" s="498"/>
      <c r="E492" s="499"/>
      <c r="M492" s="881"/>
      <c r="N492" s="882"/>
      <c r="O492" s="882"/>
      <c r="P492" s="882"/>
      <c r="Q492" s="882"/>
    </row>
    <row r="493" spans="4:17" s="482" customFormat="1" ht="12.75">
      <c r="D493" s="498"/>
      <c r="E493" s="499"/>
      <c r="M493" s="881"/>
      <c r="N493" s="882"/>
      <c r="O493" s="882"/>
      <c r="P493" s="882"/>
      <c r="Q493" s="882"/>
    </row>
    <row r="494" spans="4:17" s="482" customFormat="1" ht="12.75">
      <c r="D494" s="498"/>
      <c r="E494" s="499"/>
      <c r="M494" s="881"/>
      <c r="N494" s="882"/>
      <c r="O494" s="882"/>
      <c r="P494" s="882"/>
      <c r="Q494" s="882"/>
    </row>
    <row r="495" spans="4:17" s="482" customFormat="1" ht="12.75">
      <c r="D495" s="498"/>
      <c r="E495" s="499"/>
      <c r="M495" s="881"/>
      <c r="N495" s="882"/>
      <c r="O495" s="882"/>
      <c r="P495" s="882"/>
      <c r="Q495" s="882"/>
    </row>
    <row r="496" spans="4:17" s="482" customFormat="1" ht="12.75">
      <c r="D496" s="498"/>
      <c r="E496" s="499"/>
      <c r="M496" s="881"/>
      <c r="N496" s="882"/>
      <c r="O496" s="882"/>
      <c r="P496" s="882"/>
      <c r="Q496" s="882"/>
    </row>
    <row r="497" spans="4:17" s="482" customFormat="1" ht="12.75">
      <c r="D497" s="498"/>
      <c r="E497" s="499"/>
      <c r="M497" s="881"/>
      <c r="N497" s="882"/>
      <c r="O497" s="882"/>
      <c r="P497" s="882"/>
      <c r="Q497" s="882"/>
    </row>
    <row r="498" spans="4:17" s="482" customFormat="1" ht="12.75">
      <c r="D498" s="498"/>
      <c r="E498" s="499"/>
      <c r="M498" s="881"/>
      <c r="N498" s="882"/>
      <c r="O498" s="882"/>
      <c r="P498" s="882"/>
      <c r="Q498" s="882"/>
    </row>
    <row r="499" spans="4:17" s="482" customFormat="1" ht="12.75">
      <c r="D499" s="498"/>
      <c r="E499" s="499"/>
      <c r="M499" s="881"/>
      <c r="N499" s="882"/>
      <c r="O499" s="882"/>
      <c r="P499" s="882"/>
      <c r="Q499" s="882"/>
    </row>
    <row r="500" spans="4:17" s="482" customFormat="1" ht="12.75">
      <c r="D500" s="498"/>
      <c r="E500" s="499"/>
      <c r="M500" s="881"/>
      <c r="N500" s="882"/>
      <c r="O500" s="882"/>
      <c r="P500" s="882"/>
      <c r="Q500" s="882"/>
    </row>
    <row r="501" spans="4:17" s="482" customFormat="1" ht="12.75">
      <c r="D501" s="498"/>
      <c r="E501" s="499"/>
      <c r="M501" s="881"/>
      <c r="N501" s="882"/>
      <c r="O501" s="882"/>
      <c r="P501" s="882"/>
      <c r="Q501" s="882"/>
    </row>
    <row r="502" spans="4:17" s="482" customFormat="1" ht="12.75">
      <c r="D502" s="498"/>
      <c r="E502" s="499"/>
      <c r="M502" s="881"/>
      <c r="N502" s="882"/>
      <c r="O502" s="882"/>
      <c r="P502" s="882"/>
      <c r="Q502" s="882"/>
    </row>
    <row r="503" spans="4:17" s="482" customFormat="1" ht="12.75">
      <c r="D503" s="498"/>
      <c r="E503" s="499"/>
      <c r="M503" s="881"/>
      <c r="N503" s="882"/>
      <c r="O503" s="882"/>
      <c r="P503" s="882"/>
      <c r="Q503" s="882"/>
    </row>
    <row r="504" spans="4:17" s="482" customFormat="1" ht="12.75">
      <c r="D504" s="498"/>
      <c r="E504" s="499"/>
      <c r="M504" s="881"/>
      <c r="N504" s="882"/>
      <c r="O504" s="882"/>
      <c r="P504" s="882"/>
      <c r="Q504" s="882"/>
    </row>
    <row r="505" spans="4:17" s="482" customFormat="1" ht="12.75">
      <c r="D505" s="498"/>
      <c r="E505" s="499"/>
      <c r="M505" s="881"/>
      <c r="N505" s="882"/>
      <c r="O505" s="882"/>
      <c r="P505" s="882"/>
      <c r="Q505" s="882"/>
    </row>
    <row r="506" spans="4:17" s="482" customFormat="1" ht="12.75">
      <c r="D506" s="498"/>
      <c r="E506" s="499"/>
      <c r="M506" s="881"/>
      <c r="N506" s="882"/>
      <c r="O506" s="882"/>
      <c r="P506" s="882"/>
      <c r="Q506" s="882"/>
    </row>
    <row r="507" spans="4:17" s="482" customFormat="1" ht="12.75">
      <c r="D507" s="498"/>
      <c r="E507" s="499"/>
      <c r="M507" s="881"/>
      <c r="N507" s="882"/>
      <c r="O507" s="882"/>
      <c r="P507" s="882"/>
      <c r="Q507" s="882"/>
    </row>
    <row r="508" spans="4:17" s="482" customFormat="1" ht="12.75">
      <c r="D508" s="498"/>
      <c r="E508" s="499"/>
      <c r="M508" s="881"/>
      <c r="N508" s="882"/>
      <c r="O508" s="882"/>
      <c r="P508" s="882"/>
      <c r="Q508" s="882"/>
    </row>
    <row r="509" spans="4:17" s="482" customFormat="1" ht="12.75">
      <c r="D509" s="498"/>
      <c r="E509" s="499"/>
      <c r="M509" s="881"/>
      <c r="N509" s="882"/>
      <c r="O509" s="882"/>
      <c r="P509" s="882"/>
      <c r="Q509" s="882"/>
    </row>
    <row r="510" spans="4:17" s="482" customFormat="1" ht="12.75">
      <c r="D510" s="498"/>
      <c r="E510" s="499"/>
      <c r="M510" s="881"/>
      <c r="N510" s="882"/>
      <c r="O510" s="882"/>
      <c r="P510" s="882"/>
      <c r="Q510" s="882"/>
    </row>
    <row r="511" spans="4:17" s="482" customFormat="1" ht="12.75">
      <c r="D511" s="498"/>
      <c r="E511" s="499"/>
      <c r="M511" s="881"/>
      <c r="N511" s="882"/>
      <c r="O511" s="882"/>
      <c r="P511" s="882"/>
      <c r="Q511" s="882"/>
    </row>
    <row r="512" spans="4:17" s="482" customFormat="1" ht="12.75">
      <c r="D512" s="498"/>
      <c r="E512" s="499"/>
      <c r="M512" s="881"/>
      <c r="N512" s="882"/>
      <c r="O512" s="882"/>
      <c r="P512" s="882"/>
      <c r="Q512" s="882"/>
    </row>
    <row r="513" spans="4:17" s="482" customFormat="1" ht="12.75">
      <c r="D513" s="498"/>
      <c r="E513" s="499"/>
      <c r="M513" s="881"/>
      <c r="N513" s="882"/>
      <c r="O513" s="882"/>
      <c r="P513" s="882"/>
      <c r="Q513" s="882"/>
    </row>
    <row r="514" spans="4:17" s="482" customFormat="1" ht="12.75">
      <c r="D514" s="498"/>
      <c r="E514" s="499"/>
      <c r="M514" s="881"/>
      <c r="N514" s="882"/>
      <c r="O514" s="882"/>
      <c r="P514" s="882"/>
      <c r="Q514" s="882"/>
    </row>
    <row r="515" spans="4:17" s="482" customFormat="1" ht="12.75">
      <c r="D515" s="498"/>
      <c r="E515" s="499"/>
      <c r="M515" s="881"/>
      <c r="N515" s="882"/>
      <c r="O515" s="882"/>
      <c r="P515" s="882"/>
      <c r="Q515" s="882"/>
    </row>
    <row r="516" spans="4:17" s="482" customFormat="1" ht="12.75">
      <c r="D516" s="498"/>
      <c r="E516" s="499"/>
      <c r="M516" s="881"/>
      <c r="N516" s="882"/>
      <c r="O516" s="882"/>
      <c r="P516" s="882"/>
      <c r="Q516" s="882"/>
    </row>
    <row r="517" spans="4:17" s="482" customFormat="1" ht="12.75">
      <c r="D517" s="498"/>
      <c r="E517" s="499"/>
      <c r="M517" s="881"/>
      <c r="N517" s="882"/>
      <c r="O517" s="882"/>
      <c r="P517" s="882"/>
      <c r="Q517" s="882"/>
    </row>
    <row r="518" spans="4:17" s="482" customFormat="1" ht="12.75">
      <c r="D518" s="498"/>
      <c r="E518" s="499"/>
      <c r="M518" s="881"/>
      <c r="N518" s="882"/>
      <c r="O518" s="882"/>
      <c r="P518" s="882"/>
      <c r="Q518" s="882"/>
    </row>
    <row r="519" spans="4:17" s="482" customFormat="1" ht="12.75">
      <c r="D519" s="498"/>
      <c r="E519" s="499"/>
      <c r="M519" s="881"/>
      <c r="N519" s="882"/>
      <c r="O519" s="882"/>
      <c r="P519" s="882"/>
      <c r="Q519" s="882"/>
    </row>
    <row r="520" spans="4:17" s="482" customFormat="1" ht="12.75">
      <c r="D520" s="498"/>
      <c r="E520" s="499"/>
      <c r="M520" s="881"/>
      <c r="N520" s="882"/>
      <c r="O520" s="882"/>
      <c r="P520" s="882"/>
      <c r="Q520" s="882"/>
    </row>
    <row r="521" spans="4:17" s="482" customFormat="1" ht="12.75">
      <c r="D521" s="498"/>
      <c r="E521" s="499"/>
      <c r="M521" s="881"/>
      <c r="N521" s="882"/>
      <c r="O521" s="882"/>
      <c r="P521" s="882"/>
      <c r="Q521" s="882"/>
    </row>
    <row r="522" spans="4:17" s="482" customFormat="1" ht="12.75">
      <c r="D522" s="498"/>
      <c r="E522" s="499"/>
      <c r="M522" s="881"/>
      <c r="N522" s="882"/>
      <c r="O522" s="882"/>
      <c r="P522" s="882"/>
      <c r="Q522" s="882"/>
    </row>
    <row r="523" spans="4:17" s="482" customFormat="1" ht="12.75">
      <c r="D523" s="498"/>
      <c r="E523" s="499"/>
      <c r="M523" s="881"/>
      <c r="N523" s="882"/>
      <c r="O523" s="882"/>
      <c r="P523" s="882"/>
      <c r="Q523" s="882"/>
    </row>
    <row r="524" spans="4:17" s="482" customFormat="1" ht="12.75">
      <c r="D524" s="498"/>
      <c r="E524" s="499"/>
      <c r="M524" s="881"/>
      <c r="N524" s="882"/>
      <c r="O524" s="882"/>
      <c r="P524" s="882"/>
      <c r="Q524" s="882"/>
    </row>
    <row r="525" spans="4:17" s="482" customFormat="1" ht="12.75">
      <c r="D525" s="498"/>
      <c r="E525" s="499"/>
      <c r="M525" s="881"/>
      <c r="N525" s="882"/>
      <c r="O525" s="882"/>
      <c r="P525" s="882"/>
      <c r="Q525" s="882"/>
    </row>
    <row r="526" spans="4:17" s="482" customFormat="1" ht="12.75">
      <c r="D526" s="498"/>
      <c r="E526" s="499"/>
      <c r="M526" s="881"/>
      <c r="N526" s="882"/>
      <c r="O526" s="882"/>
      <c r="P526" s="882"/>
      <c r="Q526" s="882"/>
    </row>
    <row r="527" spans="4:17" s="482" customFormat="1" ht="12.75">
      <c r="D527" s="498"/>
      <c r="E527" s="499"/>
      <c r="M527" s="881"/>
      <c r="N527" s="882"/>
      <c r="O527" s="882"/>
      <c r="P527" s="882"/>
      <c r="Q527" s="882"/>
    </row>
    <row r="528" spans="4:17" s="482" customFormat="1" ht="12.75">
      <c r="D528" s="498"/>
      <c r="E528" s="499"/>
      <c r="M528" s="881"/>
      <c r="N528" s="882"/>
      <c r="O528" s="882"/>
      <c r="P528" s="882"/>
      <c r="Q528" s="882"/>
    </row>
    <row r="529" spans="4:17" s="482" customFormat="1" ht="12.75">
      <c r="D529" s="498"/>
      <c r="E529" s="499"/>
      <c r="M529" s="881"/>
      <c r="N529" s="882"/>
      <c r="O529" s="882"/>
      <c r="P529" s="882"/>
      <c r="Q529" s="882"/>
    </row>
    <row r="530" spans="4:17" s="482" customFormat="1" ht="12.75">
      <c r="D530" s="498"/>
      <c r="E530" s="499"/>
      <c r="M530" s="881"/>
      <c r="N530" s="882"/>
      <c r="O530" s="882"/>
      <c r="P530" s="882"/>
      <c r="Q530" s="882"/>
    </row>
    <row r="531" spans="4:17" s="482" customFormat="1" ht="12.75">
      <c r="D531" s="498"/>
      <c r="E531" s="499"/>
      <c r="M531" s="881"/>
      <c r="N531" s="882"/>
      <c r="O531" s="882"/>
      <c r="P531" s="882"/>
      <c r="Q531" s="882"/>
    </row>
    <row r="532" spans="4:17" s="482" customFormat="1" ht="12.75">
      <c r="D532" s="498"/>
      <c r="E532" s="499"/>
      <c r="M532" s="881"/>
      <c r="N532" s="882"/>
      <c r="O532" s="882"/>
      <c r="P532" s="882"/>
      <c r="Q532" s="882"/>
    </row>
    <row r="533" spans="4:17" s="482" customFormat="1" ht="12.75">
      <c r="D533" s="498"/>
      <c r="E533" s="499"/>
      <c r="M533" s="881"/>
      <c r="N533" s="882"/>
      <c r="O533" s="882"/>
      <c r="P533" s="882"/>
      <c r="Q533" s="882"/>
    </row>
    <row r="534" spans="4:17" s="482" customFormat="1" ht="12.75">
      <c r="D534" s="498"/>
      <c r="E534" s="499"/>
      <c r="M534" s="881"/>
      <c r="N534" s="882"/>
      <c r="O534" s="882"/>
      <c r="P534" s="882"/>
      <c r="Q534" s="882"/>
    </row>
    <row r="535" spans="4:17" s="482" customFormat="1" ht="12.75">
      <c r="D535" s="498"/>
      <c r="E535" s="499"/>
      <c r="M535" s="881"/>
      <c r="N535" s="882"/>
      <c r="O535" s="882"/>
      <c r="P535" s="882"/>
      <c r="Q535" s="882"/>
    </row>
    <row r="536" spans="4:17" s="482" customFormat="1" ht="12.75">
      <c r="D536" s="498"/>
      <c r="E536" s="499"/>
      <c r="M536" s="881"/>
      <c r="N536" s="882"/>
      <c r="O536" s="882"/>
      <c r="P536" s="882"/>
      <c r="Q536" s="882"/>
    </row>
    <row r="537" spans="4:17" s="482" customFormat="1" ht="12.75">
      <c r="D537" s="498"/>
      <c r="E537" s="499"/>
      <c r="M537" s="881"/>
      <c r="N537" s="882"/>
      <c r="O537" s="882"/>
      <c r="P537" s="882"/>
      <c r="Q537" s="882"/>
    </row>
    <row r="538" spans="4:17" s="482" customFormat="1" ht="12.75">
      <c r="D538" s="498"/>
      <c r="E538" s="499"/>
      <c r="M538" s="881"/>
      <c r="N538" s="882"/>
      <c r="O538" s="882"/>
      <c r="P538" s="882"/>
      <c r="Q538" s="882"/>
    </row>
    <row r="539" spans="4:17" s="482" customFormat="1" ht="12.75">
      <c r="D539" s="498"/>
      <c r="E539" s="499"/>
      <c r="M539" s="881"/>
      <c r="N539" s="882"/>
      <c r="O539" s="882"/>
      <c r="P539" s="882"/>
      <c r="Q539" s="882"/>
    </row>
    <row r="540" spans="4:17" s="482" customFormat="1" ht="12.75">
      <c r="D540" s="498"/>
      <c r="E540" s="499"/>
      <c r="M540" s="881"/>
      <c r="N540" s="882"/>
      <c r="O540" s="882"/>
      <c r="P540" s="882"/>
      <c r="Q540" s="882"/>
    </row>
    <row r="541" spans="4:17" s="482" customFormat="1" ht="12.75">
      <c r="D541" s="498"/>
      <c r="E541" s="499"/>
      <c r="M541" s="881"/>
      <c r="N541" s="882"/>
      <c r="O541" s="882"/>
      <c r="P541" s="882"/>
      <c r="Q541" s="882"/>
    </row>
    <row r="542" spans="4:17" s="482" customFormat="1" ht="12.75">
      <c r="D542" s="498"/>
      <c r="E542" s="499"/>
      <c r="M542" s="881"/>
      <c r="N542" s="882"/>
      <c r="O542" s="882"/>
      <c r="P542" s="882"/>
      <c r="Q542" s="882"/>
    </row>
    <row r="543" spans="4:17" s="482" customFormat="1" ht="12.75">
      <c r="D543" s="498"/>
      <c r="E543" s="499"/>
      <c r="M543" s="881"/>
      <c r="N543" s="882"/>
      <c r="O543" s="882"/>
      <c r="P543" s="882"/>
      <c r="Q543" s="882"/>
    </row>
    <row r="544" spans="4:17" s="482" customFormat="1" ht="12.75">
      <c r="D544" s="498"/>
      <c r="E544" s="499"/>
      <c r="M544" s="881"/>
      <c r="N544" s="882"/>
      <c r="O544" s="882"/>
      <c r="P544" s="882"/>
      <c r="Q544" s="882"/>
    </row>
    <row r="545" spans="4:17" s="482" customFormat="1" ht="12.75">
      <c r="D545" s="498"/>
      <c r="E545" s="499"/>
      <c r="M545" s="881"/>
      <c r="N545" s="882"/>
      <c r="O545" s="882"/>
      <c r="P545" s="882"/>
      <c r="Q545" s="882"/>
    </row>
    <row r="546" spans="4:17" s="482" customFormat="1" ht="12.75">
      <c r="D546" s="498"/>
      <c r="E546" s="499"/>
      <c r="M546" s="881"/>
      <c r="N546" s="882"/>
      <c r="O546" s="882"/>
      <c r="P546" s="882"/>
      <c r="Q546" s="882"/>
    </row>
    <row r="547" spans="4:17" s="482" customFormat="1" ht="12.75">
      <c r="D547" s="498"/>
      <c r="E547" s="499"/>
      <c r="M547" s="881"/>
      <c r="N547" s="882"/>
      <c r="O547" s="882"/>
      <c r="P547" s="882"/>
      <c r="Q547" s="882"/>
    </row>
    <row r="548" spans="4:17" s="482" customFormat="1" ht="12.75">
      <c r="D548" s="498"/>
      <c r="E548" s="499"/>
      <c r="M548" s="881"/>
      <c r="N548" s="882"/>
      <c r="O548" s="882"/>
      <c r="P548" s="882"/>
      <c r="Q548" s="882"/>
    </row>
    <row r="549" spans="4:17" s="482" customFormat="1" ht="12.75">
      <c r="D549" s="498"/>
      <c r="E549" s="499"/>
      <c r="M549" s="881"/>
      <c r="N549" s="882"/>
      <c r="O549" s="882"/>
      <c r="P549" s="882"/>
      <c r="Q549" s="882"/>
    </row>
    <row r="550" spans="4:17" s="482" customFormat="1" ht="12.75">
      <c r="D550" s="498"/>
      <c r="E550" s="499"/>
      <c r="M550" s="881"/>
      <c r="N550" s="882"/>
      <c r="O550" s="882"/>
      <c r="P550" s="882"/>
      <c r="Q550" s="882"/>
    </row>
    <row r="551" spans="1:17" s="482" customFormat="1" ht="12.75">
      <c r="A551" s="510"/>
      <c r="B551" s="510"/>
      <c r="C551" s="510"/>
      <c r="D551" s="511"/>
      <c r="E551" s="512"/>
      <c r="M551" s="881"/>
      <c r="N551" s="882"/>
      <c r="O551" s="882"/>
      <c r="P551" s="882"/>
      <c r="Q551" s="882"/>
    </row>
    <row r="552" spans="1:17" s="482" customFormat="1" ht="12.75">
      <c r="A552" s="510"/>
      <c r="B552" s="510"/>
      <c r="C552" s="510"/>
      <c r="D552" s="511"/>
      <c r="E552" s="512"/>
      <c r="M552" s="881"/>
      <c r="N552" s="882"/>
      <c r="O552" s="882"/>
      <c r="P552" s="882"/>
      <c r="Q552" s="882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dataValidations count="1">
    <dataValidation allowBlank="1" showInputMessage="1" showErrorMessage="1" error="LOS DATOS DEBEN COINCIDIR CON LA CIFRA DE AMORTIZACIONES FICHA EP-4 INV" sqref="O12 O17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/>
  <dimension ref="A1:J569"/>
  <sheetViews>
    <sheetView showGridLines="0" zoomScale="70" zoomScaleNormal="70" zoomScalePageLayoutView="0" workbookViewId="0" topLeftCell="A1">
      <selection activeCell="B4" sqref="B4"/>
    </sheetView>
  </sheetViews>
  <sheetFormatPr defaultColWidth="10.7109375" defaultRowHeight="12.75"/>
  <cols>
    <col min="1" max="1" width="54.28125" style="510" customWidth="1"/>
    <col min="2" max="2" width="18.140625" style="510" customWidth="1"/>
    <col min="3" max="3" width="17.421875" style="510" customWidth="1"/>
    <col min="4" max="4" width="18.140625" style="510" customWidth="1"/>
    <col min="5" max="5" width="2.421875" style="513" customWidth="1"/>
    <col min="6" max="6" width="12.00390625" style="892" hidden="1" customWidth="1"/>
    <col min="7" max="7" width="11.7109375" style="880" hidden="1" customWidth="1"/>
    <col min="8" max="9" width="12.421875" style="880" hidden="1" customWidth="1"/>
    <col min="10" max="10" width="0" style="880" hidden="1" customWidth="1"/>
    <col min="11" max="16384" width="10.7109375" style="510" customWidth="1"/>
  </cols>
  <sheetData>
    <row r="1" spans="1:3" ht="12.75">
      <c r="A1" s="423"/>
      <c r="B1" s="825" t="s">
        <v>674</v>
      </c>
      <c r="C1" s="423"/>
    </row>
    <row r="2" spans="1:3" ht="12.75">
      <c r="A2" s="423"/>
      <c r="B2" s="826" t="s">
        <v>675</v>
      </c>
      <c r="C2" s="423"/>
    </row>
    <row r="3" spans="1:3" ht="12.75">
      <c r="A3" s="423"/>
      <c r="B3" s="423"/>
      <c r="C3" s="423"/>
    </row>
    <row r="4" spans="1:3" ht="12.75">
      <c r="A4" s="822" t="s">
        <v>525</v>
      </c>
      <c r="B4" s="827">
        <v>42339</v>
      </c>
      <c r="C4" s="423"/>
    </row>
    <row r="5" spans="1:3" ht="12.75">
      <c r="A5" s="822" t="s">
        <v>673</v>
      </c>
      <c r="B5" s="828" t="s">
        <v>676</v>
      </c>
      <c r="C5" s="423"/>
    </row>
    <row r="7" spans="1:10" s="482" customFormat="1" ht="49.5" customHeight="1">
      <c r="A7" s="981" t="s">
        <v>305</v>
      </c>
      <c r="B7" s="982"/>
      <c r="C7" s="983"/>
      <c r="D7" s="481">
        <f>CPYG!D7</f>
        <v>2016</v>
      </c>
      <c r="E7" s="514"/>
      <c r="F7" s="891"/>
      <c r="G7" s="882"/>
      <c r="H7" s="882"/>
      <c r="I7" s="882"/>
      <c r="J7" s="882"/>
    </row>
    <row r="8" spans="1:10" s="482" customFormat="1" ht="25.5" customHeight="1">
      <c r="A8" s="989" t="str">
        <f>CPYG!A8</f>
        <v>SPET, TURISMO DE TENERIFE, S.A.</v>
      </c>
      <c r="B8" s="990"/>
      <c r="C8" s="990"/>
      <c r="D8" s="481" t="s">
        <v>307</v>
      </c>
      <c r="E8" s="425"/>
      <c r="F8" s="891"/>
      <c r="G8" s="882"/>
      <c r="H8" s="882"/>
      <c r="I8" s="882"/>
      <c r="J8" s="882"/>
    </row>
    <row r="9" spans="1:10" s="482" customFormat="1" ht="24.75" customHeight="1">
      <c r="A9" s="988" t="s">
        <v>677</v>
      </c>
      <c r="B9" s="988"/>
      <c r="C9" s="988"/>
      <c r="D9" s="988"/>
      <c r="E9" s="483"/>
      <c r="F9" s="891"/>
      <c r="G9" s="882"/>
      <c r="H9" s="882"/>
      <c r="I9" s="882"/>
      <c r="J9" s="882"/>
    </row>
    <row r="10" spans="1:10" s="482" customFormat="1" ht="40.5" customHeight="1">
      <c r="A10" s="484" t="s">
        <v>652</v>
      </c>
      <c r="B10" s="229" t="s">
        <v>782</v>
      </c>
      <c r="C10" s="515" t="s">
        <v>679</v>
      </c>
      <c r="D10" s="515" t="s">
        <v>783</v>
      </c>
      <c r="E10" s="516"/>
      <c r="F10" s="893" t="s">
        <v>196</v>
      </c>
      <c r="G10" s="882"/>
      <c r="H10" s="882"/>
      <c r="I10" s="882"/>
      <c r="J10" s="882"/>
    </row>
    <row r="11" spans="1:10" s="482" customFormat="1" ht="22.5" customHeight="1">
      <c r="A11" s="517" t="s">
        <v>346</v>
      </c>
      <c r="B11" s="561">
        <f>B12+B28+B32</f>
        <v>1039423.7299999994</v>
      </c>
      <c r="C11" s="561">
        <f>C12+C28+C32</f>
        <v>1033597.6799999994</v>
      </c>
      <c r="D11" s="561">
        <f>D12+D28+D32</f>
        <v>1027757.1899999991</v>
      </c>
      <c r="E11" s="489"/>
      <c r="F11" s="894">
        <f>+D11-C11</f>
        <v>-5840.4900000002235</v>
      </c>
      <c r="G11" s="882"/>
      <c r="H11" s="882"/>
      <c r="I11" s="882"/>
      <c r="J11" s="882"/>
    </row>
    <row r="12" spans="1:10" s="482" customFormat="1" ht="19.5" customHeight="1">
      <c r="A12" s="518" t="s">
        <v>347</v>
      </c>
      <c r="B12" s="598">
        <f>+B13+B16+B17+B20+B21+B24+B25+B26+B27</f>
        <v>890449.8199999994</v>
      </c>
      <c r="C12" s="598">
        <f>+C13+C16+C17+C20+C21+C24+C25+C26+C27</f>
        <v>890449.8199999994</v>
      </c>
      <c r="D12" s="598">
        <f>+D13+D16+D17+D20+D21+D24+D25+D26+D27</f>
        <v>890449.8199999991</v>
      </c>
      <c r="E12" s="508"/>
      <c r="F12" s="895">
        <f>+D12-C12</f>
        <v>0</v>
      </c>
      <c r="G12" s="882"/>
      <c r="H12" s="882"/>
      <c r="I12" s="882"/>
      <c r="J12" s="882"/>
    </row>
    <row r="13" spans="1:10" s="482" customFormat="1" ht="19.5" customHeight="1">
      <c r="A13" s="518" t="s">
        <v>348</v>
      </c>
      <c r="B13" s="599">
        <f>SUM(B14:B15)</f>
        <v>691163.8</v>
      </c>
      <c r="C13" s="599">
        <f>SUM(C14:C15)</f>
        <v>691163.8</v>
      </c>
      <c r="D13" s="599">
        <f>SUM(D14:D15)</f>
        <v>691163.8</v>
      </c>
      <c r="E13" s="501"/>
      <c r="F13" s="895">
        <f>+D13-C13</f>
        <v>0</v>
      </c>
      <c r="G13" s="882"/>
      <c r="H13" s="882"/>
      <c r="I13" s="882"/>
      <c r="J13" s="882"/>
    </row>
    <row r="14" spans="1:10" s="482" customFormat="1" ht="19.5" customHeight="1">
      <c r="A14" s="519" t="s">
        <v>118</v>
      </c>
      <c r="B14" s="593">
        <v>691163.8</v>
      </c>
      <c r="C14" s="593">
        <v>691163.8</v>
      </c>
      <c r="D14" s="593">
        <v>691163.8</v>
      </c>
      <c r="E14" s="501"/>
      <c r="F14" s="891"/>
      <c r="G14" s="882"/>
      <c r="H14" s="882"/>
      <c r="I14" s="882"/>
      <c r="J14" s="882"/>
    </row>
    <row r="15" spans="1:10" s="482" customFormat="1" ht="19.5" customHeight="1">
      <c r="A15" s="519" t="s">
        <v>119</v>
      </c>
      <c r="B15" s="593"/>
      <c r="C15" s="593"/>
      <c r="D15" s="593"/>
      <c r="E15" s="501"/>
      <c r="F15" s="891"/>
      <c r="G15" s="882"/>
      <c r="H15" s="882"/>
      <c r="I15" s="882"/>
      <c r="J15" s="882"/>
    </row>
    <row r="16" spans="1:10" s="482" customFormat="1" ht="19.5" customHeight="1">
      <c r="A16" s="518" t="s">
        <v>308</v>
      </c>
      <c r="B16" s="593"/>
      <c r="C16" s="593"/>
      <c r="D16" s="593"/>
      <c r="E16" s="501"/>
      <c r="F16" s="895">
        <f>+D16-C16</f>
        <v>0</v>
      </c>
      <c r="G16" s="882"/>
      <c r="H16" s="882"/>
      <c r="I16" s="882"/>
      <c r="J16" s="882"/>
    </row>
    <row r="17" spans="1:10" s="482" customFormat="1" ht="19.5" customHeight="1">
      <c r="A17" s="518" t="s">
        <v>349</v>
      </c>
      <c r="B17" s="599">
        <f>SUM(B18:B19)</f>
        <v>197320.8</v>
      </c>
      <c r="C17" s="599">
        <f>SUM(C18:C19)</f>
        <v>199286.02000000002</v>
      </c>
      <c r="D17" s="599">
        <f>SUM(D18:D19)</f>
        <v>199286.02000000002</v>
      </c>
      <c r="E17" s="501"/>
      <c r="F17" s="895">
        <f>+D17-C17</f>
        <v>0</v>
      </c>
      <c r="G17" s="882"/>
      <c r="H17" s="882"/>
      <c r="I17" s="882"/>
      <c r="J17" s="882"/>
    </row>
    <row r="18" spans="1:10" s="482" customFormat="1" ht="19.5" customHeight="1">
      <c r="A18" s="519" t="s">
        <v>120</v>
      </c>
      <c r="B18" s="593">
        <v>61201.17</v>
      </c>
      <c r="C18" s="593">
        <v>61201.17</v>
      </c>
      <c r="D18" s="593">
        <v>61201.17</v>
      </c>
      <c r="E18" s="501"/>
      <c r="F18" s="895"/>
      <c r="G18" s="882"/>
      <c r="H18" s="882"/>
      <c r="I18" s="882"/>
      <c r="J18" s="882"/>
    </row>
    <row r="19" spans="1:10" s="482" customFormat="1" ht="19.5" customHeight="1">
      <c r="A19" s="519" t="s">
        <v>121</v>
      </c>
      <c r="B19" s="593">
        <v>136119.63</v>
      </c>
      <c r="C19" s="593">
        <f>136119.63+1965.22</f>
        <v>138084.85</v>
      </c>
      <c r="D19" s="593">
        <v>138084.85</v>
      </c>
      <c r="E19" s="501"/>
      <c r="F19" s="895"/>
      <c r="G19" s="882"/>
      <c r="H19" s="882"/>
      <c r="I19" s="882"/>
      <c r="J19" s="882"/>
    </row>
    <row r="20" spans="1:10" s="482" customFormat="1" ht="19.5" customHeight="1">
      <c r="A20" s="834" t="s">
        <v>122</v>
      </c>
      <c r="B20" s="593"/>
      <c r="C20" s="593"/>
      <c r="D20" s="593"/>
      <c r="E20" s="501"/>
      <c r="F20" s="895">
        <f>+D20-C20</f>
        <v>0</v>
      </c>
      <c r="G20" s="882"/>
      <c r="H20" s="882"/>
      <c r="I20" s="882"/>
      <c r="J20" s="882"/>
    </row>
    <row r="21" spans="1:10" s="482" customFormat="1" ht="19.5" customHeight="1">
      <c r="A21" s="518" t="s">
        <v>309</v>
      </c>
      <c r="B21" s="599">
        <f>SUM(B22:B23)</f>
        <v>0</v>
      </c>
      <c r="C21" s="599">
        <f>SUM(C22:C23)</f>
        <v>0</v>
      </c>
      <c r="D21" s="599">
        <f>SUM(D22:D23)</f>
        <v>0</v>
      </c>
      <c r="E21" s="501"/>
      <c r="F21" s="895">
        <f>+D21-C21</f>
        <v>0</v>
      </c>
      <c r="G21" s="882"/>
      <c r="H21" s="882"/>
      <c r="I21" s="882"/>
      <c r="J21" s="882"/>
    </row>
    <row r="22" spans="1:10" s="482" customFormat="1" ht="19.5" customHeight="1">
      <c r="A22" s="519" t="s">
        <v>123</v>
      </c>
      <c r="B22" s="593"/>
      <c r="C22" s="593"/>
      <c r="D22" s="593"/>
      <c r="E22" s="501"/>
      <c r="F22" s="891"/>
      <c r="G22" s="882"/>
      <c r="H22" s="882"/>
      <c r="I22" s="882"/>
      <c r="J22" s="882"/>
    </row>
    <row r="23" spans="1:10" s="482" customFormat="1" ht="19.5" customHeight="1">
      <c r="A23" s="519" t="s">
        <v>350</v>
      </c>
      <c r="B23" s="593">
        <v>0</v>
      </c>
      <c r="C23" s="594"/>
      <c r="D23" s="594"/>
      <c r="E23" s="501"/>
      <c r="F23" s="891"/>
      <c r="G23" s="882"/>
      <c r="H23" s="882"/>
      <c r="I23" s="882"/>
      <c r="J23" s="882"/>
    </row>
    <row r="24" spans="1:10" s="482" customFormat="1" ht="19.5" customHeight="1">
      <c r="A24" s="518" t="s">
        <v>125</v>
      </c>
      <c r="B24" s="594">
        <v>2342036.74</v>
      </c>
      <c r="C24" s="594">
        <v>1903196.01</v>
      </c>
      <c r="D24" s="594">
        <f>'Transf. y subv.'!E66</f>
        <v>1903196.01</v>
      </c>
      <c r="E24" s="501"/>
      <c r="F24" s="895">
        <f>+D24-C24</f>
        <v>0</v>
      </c>
      <c r="G24" s="882"/>
      <c r="H24" s="895"/>
      <c r="I24" s="882"/>
      <c r="J24" s="882"/>
    </row>
    <row r="25" spans="1:10" s="482" customFormat="1" ht="19.5" customHeight="1">
      <c r="A25" s="518" t="s">
        <v>126</v>
      </c>
      <c r="B25" s="595">
        <f>CPYG!B111</f>
        <v>-2340071.520000001</v>
      </c>
      <c r="C25" s="596">
        <f>CPYG!C111</f>
        <v>-1903196.0100000007</v>
      </c>
      <c r="D25" s="596">
        <f>CPYG!D111</f>
        <v>-1903196.010000001</v>
      </c>
      <c r="E25" s="520"/>
      <c r="F25" s="895">
        <f>+D25-C25</f>
        <v>0</v>
      </c>
      <c r="G25" s="882"/>
      <c r="H25" s="882"/>
      <c r="I25" s="882"/>
      <c r="J25" s="882"/>
    </row>
    <row r="26" spans="1:10" s="482" customFormat="1" ht="19.5" customHeight="1">
      <c r="A26" s="518" t="s">
        <v>127</v>
      </c>
      <c r="B26" s="593"/>
      <c r="C26" s="593"/>
      <c r="D26" s="593"/>
      <c r="E26" s="501"/>
      <c r="F26" s="895">
        <f>+D26-C26</f>
        <v>0</v>
      </c>
      <c r="G26" s="882"/>
      <c r="H26" s="882"/>
      <c r="I26" s="882"/>
      <c r="J26" s="882"/>
    </row>
    <row r="27" spans="1:10" s="482" customFormat="1" ht="19.5" customHeight="1">
      <c r="A27" s="518" t="s">
        <v>221</v>
      </c>
      <c r="B27" s="593"/>
      <c r="C27" s="593"/>
      <c r="D27" s="593"/>
      <c r="E27" s="501"/>
      <c r="F27" s="895">
        <f>+D27-C27</f>
        <v>0</v>
      </c>
      <c r="G27" s="882"/>
      <c r="H27" s="882"/>
      <c r="I27" s="882"/>
      <c r="J27" s="882"/>
    </row>
    <row r="28" spans="1:10" s="482" customFormat="1" ht="19.5" customHeight="1">
      <c r="A28" s="518" t="s">
        <v>222</v>
      </c>
      <c r="B28" s="598">
        <f>SUM(B29:B31)</f>
        <v>0</v>
      </c>
      <c r="C28" s="598">
        <f>SUM(C29:C31)</f>
        <v>0</v>
      </c>
      <c r="D28" s="598">
        <f>SUM(D29:D31)</f>
        <v>0</v>
      </c>
      <c r="E28" s="508"/>
      <c r="F28" s="895">
        <f>+D28-C28</f>
        <v>0</v>
      </c>
      <c r="G28" s="882"/>
      <c r="H28" s="882"/>
      <c r="I28" s="882"/>
      <c r="J28" s="882"/>
    </row>
    <row r="29" spans="1:10" s="482" customFormat="1" ht="19.5" customHeight="1">
      <c r="A29" s="518" t="s">
        <v>223</v>
      </c>
      <c r="B29" s="593"/>
      <c r="C29" s="593"/>
      <c r="D29" s="593"/>
      <c r="E29" s="501"/>
      <c r="F29" s="891"/>
      <c r="G29" s="882"/>
      <c r="H29" s="882"/>
      <c r="I29" s="882"/>
      <c r="J29" s="882"/>
    </row>
    <row r="30" spans="1:10" s="482" customFormat="1" ht="19.5" customHeight="1">
      <c r="A30" s="518" t="s">
        <v>224</v>
      </c>
      <c r="B30" s="593"/>
      <c r="C30" s="593"/>
      <c r="D30" s="593"/>
      <c r="E30" s="501"/>
      <c r="F30" s="891"/>
      <c r="G30" s="882"/>
      <c r="H30" s="882"/>
      <c r="I30" s="882"/>
      <c r="J30" s="882"/>
    </row>
    <row r="31" spans="1:10" s="482" customFormat="1" ht="19.5" customHeight="1">
      <c r="A31" s="518" t="s">
        <v>225</v>
      </c>
      <c r="B31" s="593"/>
      <c r="C31" s="594"/>
      <c r="D31" s="594"/>
      <c r="E31" s="501"/>
      <c r="F31" s="891"/>
      <c r="G31" s="882"/>
      <c r="H31" s="882"/>
      <c r="I31" s="882"/>
      <c r="J31" s="882"/>
    </row>
    <row r="32" spans="1:10" s="482" customFormat="1" ht="19.5" customHeight="1">
      <c r="A32" s="518" t="s">
        <v>226</v>
      </c>
      <c r="B32" s="593">
        <v>148973.91</v>
      </c>
      <c r="C32" s="594">
        <v>143147.86</v>
      </c>
      <c r="D32" s="594">
        <v>137307.37</v>
      </c>
      <c r="E32" s="501"/>
      <c r="F32" s="895">
        <f>+D32-C32</f>
        <v>-5840.489999999991</v>
      </c>
      <c r="G32" s="887"/>
      <c r="H32" s="882"/>
      <c r="I32" s="882"/>
      <c r="J32" s="882"/>
    </row>
    <row r="33" spans="1:10" s="482" customFormat="1" ht="19.5" customHeight="1">
      <c r="A33" s="517" t="s">
        <v>351</v>
      </c>
      <c r="B33" s="598">
        <f>B34+B38+B43+B44+B45+B46+B9+B47</f>
        <v>5219549.39</v>
      </c>
      <c r="C33" s="598">
        <f>C34+C38+C43+C44+C45+C46+C9+C47</f>
        <v>3335048.15</v>
      </c>
      <c r="D33" s="598">
        <f>D34+D38+D43+D44+D45+D46+D9+D47</f>
        <v>102578.98</v>
      </c>
      <c r="E33" s="508"/>
      <c r="F33" s="894">
        <f>+D33-C33</f>
        <v>-3232469.17</v>
      </c>
      <c r="G33" s="882"/>
      <c r="H33" s="882"/>
      <c r="I33" s="882"/>
      <c r="J33" s="882"/>
    </row>
    <row r="34" spans="1:10" s="482" customFormat="1" ht="19.5" customHeight="1">
      <c r="A34" s="488" t="s">
        <v>227</v>
      </c>
      <c r="B34" s="600">
        <f>SUM(B35:B37)</f>
        <v>0</v>
      </c>
      <c r="C34" s="600">
        <f>SUM(C35:C37)</f>
        <v>0</v>
      </c>
      <c r="D34" s="600">
        <f>SUM(D35:D37)</f>
        <v>0</v>
      </c>
      <c r="E34" s="501"/>
      <c r="F34" s="895">
        <f>+D34-C34</f>
        <v>0</v>
      </c>
      <c r="G34" s="882"/>
      <c r="H34" s="882"/>
      <c r="I34" s="882"/>
      <c r="J34" s="882"/>
    </row>
    <row r="35" spans="1:10" s="482" customFormat="1" ht="19.5" customHeight="1">
      <c r="A35" s="491" t="s">
        <v>655</v>
      </c>
      <c r="B35" s="594"/>
      <c r="C35" s="594"/>
      <c r="D35" s="594"/>
      <c r="E35" s="501"/>
      <c r="F35" s="891"/>
      <c r="G35" s="882"/>
      <c r="H35" s="882"/>
      <c r="I35" s="882"/>
      <c r="J35" s="882"/>
    </row>
    <row r="36" spans="1:10" s="482" customFormat="1" ht="28.5" customHeight="1">
      <c r="A36" s="521" t="s">
        <v>656</v>
      </c>
      <c r="B36" s="594"/>
      <c r="C36" s="594"/>
      <c r="D36" s="594"/>
      <c r="E36" s="501"/>
      <c r="F36" s="891"/>
      <c r="G36" s="882"/>
      <c r="H36" s="882"/>
      <c r="I36" s="882"/>
      <c r="J36" s="882"/>
    </row>
    <row r="37" spans="1:10" s="482" customFormat="1" ht="19.5" customHeight="1">
      <c r="A37" s="491" t="s">
        <v>657</v>
      </c>
      <c r="B37" s="597"/>
      <c r="C37" s="597"/>
      <c r="D37" s="597"/>
      <c r="E37" s="508"/>
      <c r="F37" s="891"/>
      <c r="G37" s="882"/>
      <c r="H37" s="882"/>
      <c r="I37" s="882"/>
      <c r="J37" s="882"/>
    </row>
    <row r="38" spans="1:10" s="482" customFormat="1" ht="19.5" customHeight="1">
      <c r="A38" s="488" t="s">
        <v>228</v>
      </c>
      <c r="B38" s="600">
        <f>SUM(B39:B42)</f>
        <v>5151926.33</v>
      </c>
      <c r="C38" s="600">
        <f>SUM(C39:C42)</f>
        <v>3268880.09</v>
      </c>
      <c r="D38" s="600">
        <f>SUM(D39:D42)</f>
        <v>37870.92</v>
      </c>
      <c r="E38" s="501"/>
      <c r="F38" s="894">
        <f>+D38-C38</f>
        <v>-3231009.17</v>
      </c>
      <c r="G38" s="882"/>
      <c r="H38" s="887">
        <f>F33+F48</f>
        <v>-3570362.08</v>
      </c>
      <c r="I38" s="887">
        <f>H38+'Deuda L.P.'!L29</f>
        <v>-3548032.091664435</v>
      </c>
      <c r="J38" s="882"/>
    </row>
    <row r="39" spans="1:10" s="482" customFormat="1" ht="19.5" customHeight="1">
      <c r="A39" s="491" t="s">
        <v>230</v>
      </c>
      <c r="B39" s="597"/>
      <c r="C39" s="597"/>
      <c r="D39" s="597"/>
      <c r="E39" s="508"/>
      <c r="F39" s="891"/>
      <c r="G39" s="882"/>
      <c r="H39" s="882"/>
      <c r="I39" s="882"/>
      <c r="J39" s="882"/>
    </row>
    <row r="40" spans="1:10" s="482" customFormat="1" ht="19.5" customHeight="1">
      <c r="A40" s="491" t="s">
        <v>241</v>
      </c>
      <c r="B40" s="594">
        <v>83210.08</v>
      </c>
      <c r="C40" s="594">
        <v>60880.09</v>
      </c>
      <c r="D40" s="594">
        <v>37870.92</v>
      </c>
      <c r="E40" s="501"/>
      <c r="F40" s="896">
        <f>+D40-C40</f>
        <v>-23009.17</v>
      </c>
      <c r="G40" s="882"/>
      <c r="H40" s="882"/>
      <c r="I40" s="882"/>
      <c r="J40" s="882"/>
    </row>
    <row r="41" spans="1:10" s="482" customFormat="1" ht="19.5" customHeight="1">
      <c r="A41" s="491" t="s">
        <v>231</v>
      </c>
      <c r="B41" s="594"/>
      <c r="C41" s="594"/>
      <c r="D41" s="594"/>
      <c r="E41" s="501"/>
      <c r="F41" s="897"/>
      <c r="G41" s="882"/>
      <c r="H41" s="895">
        <f>+F33+F48</f>
        <v>-3570362.08</v>
      </c>
      <c r="I41" s="882"/>
      <c r="J41" s="882"/>
    </row>
    <row r="42" spans="1:10" s="482" customFormat="1" ht="19.5" customHeight="1">
      <c r="A42" s="491" t="s">
        <v>658</v>
      </c>
      <c r="B42" s="594">
        <v>5068716.25</v>
      </c>
      <c r="C42" s="594">
        <v>3208000</v>
      </c>
      <c r="D42" s="594">
        <v>0</v>
      </c>
      <c r="E42" s="501"/>
      <c r="F42" s="896">
        <f aca="true" t="shared" si="0" ref="F42:F48">+D42-C42</f>
        <v>-3208000</v>
      </c>
      <c r="G42" s="882"/>
      <c r="H42" s="882"/>
      <c r="I42" s="882"/>
      <c r="J42" s="882"/>
    </row>
    <row r="43" spans="1:10" s="482" customFormat="1" ht="19.5" customHeight="1" thickBot="1">
      <c r="A43" s="833" t="s">
        <v>232</v>
      </c>
      <c r="B43" s="597"/>
      <c r="C43" s="597"/>
      <c r="D43" s="597"/>
      <c r="E43" s="501"/>
      <c r="F43" s="894">
        <f t="shared" si="0"/>
        <v>0</v>
      </c>
      <c r="G43" s="882"/>
      <c r="H43" s="882"/>
      <c r="I43" s="882"/>
      <c r="J43" s="882"/>
    </row>
    <row r="44" spans="1:10" s="482" customFormat="1" ht="19.5" customHeight="1" thickBot="1">
      <c r="A44" s="488" t="s">
        <v>233</v>
      </c>
      <c r="B44" s="597">
        <v>67623.06</v>
      </c>
      <c r="C44" s="597">
        <f>+B44-5820*0.25</f>
        <v>66168.06</v>
      </c>
      <c r="D44" s="597">
        <f>+C44-5840*0.25</f>
        <v>64708.06</v>
      </c>
      <c r="E44" s="501"/>
      <c r="F44" s="894">
        <f t="shared" si="0"/>
        <v>-1460</v>
      </c>
      <c r="G44" s="882"/>
      <c r="H44" s="868">
        <v>6670096.300000003</v>
      </c>
      <c r="I44" s="882"/>
      <c r="J44" s="882"/>
    </row>
    <row r="45" spans="1:10" s="482" customFormat="1" ht="19.5" customHeight="1">
      <c r="A45" s="488" t="s">
        <v>234</v>
      </c>
      <c r="B45" s="597"/>
      <c r="C45" s="597"/>
      <c r="D45" s="597"/>
      <c r="E45" s="508"/>
      <c r="F45" s="894">
        <f t="shared" si="0"/>
        <v>0</v>
      </c>
      <c r="G45" s="882"/>
      <c r="H45" s="887">
        <f>+H44+F42</f>
        <v>3462096.3000000026</v>
      </c>
      <c r="I45" s="882"/>
      <c r="J45" s="882"/>
    </row>
    <row r="46" spans="1:10" s="482" customFormat="1" ht="19.5" customHeight="1">
      <c r="A46" s="488" t="s">
        <v>659</v>
      </c>
      <c r="B46" s="597"/>
      <c r="C46" s="597"/>
      <c r="D46" s="597"/>
      <c r="E46" s="508"/>
      <c r="F46" s="894">
        <f t="shared" si="0"/>
        <v>0</v>
      </c>
      <c r="G46" s="882"/>
      <c r="H46" s="882"/>
      <c r="I46" s="882"/>
      <c r="J46" s="882"/>
    </row>
    <row r="47" spans="1:10" s="482" customFormat="1" ht="19.5" customHeight="1">
      <c r="A47" s="488" t="s">
        <v>660</v>
      </c>
      <c r="B47" s="597"/>
      <c r="C47" s="597"/>
      <c r="D47" s="597"/>
      <c r="E47" s="508"/>
      <c r="F47" s="894">
        <f t="shared" si="0"/>
        <v>0</v>
      </c>
      <c r="G47" s="882"/>
      <c r="H47" s="882"/>
      <c r="I47" s="882"/>
      <c r="J47" s="882"/>
    </row>
    <row r="48" spans="1:10" s="482" customFormat="1" ht="19.5" customHeight="1">
      <c r="A48" s="517" t="s">
        <v>303</v>
      </c>
      <c r="B48" s="600">
        <f>+B49+B50+B54+B59+B60+B63+B64</f>
        <v>6939907.95</v>
      </c>
      <c r="C48" s="600">
        <f>+C49+C50+C54+C59+C60+C63+C64</f>
        <v>6345817.57</v>
      </c>
      <c r="D48" s="600">
        <f>+D49+D50+D54+D59+D60+D63+D64</f>
        <v>6007924.66</v>
      </c>
      <c r="E48" s="508"/>
      <c r="F48" s="894">
        <f t="shared" si="0"/>
        <v>-337892.91000000015</v>
      </c>
      <c r="G48" s="882"/>
      <c r="H48" s="882" t="b">
        <f>COMPROBACION!D87=PASIVO!D33-PASIVO!C33+PASIVO!D48-PASIVO!C48</f>
        <v>0</v>
      </c>
      <c r="I48" s="882"/>
      <c r="J48" s="882"/>
    </row>
    <row r="49" spans="1:10" s="482" customFormat="1" ht="30" customHeight="1">
      <c r="A49" s="522" t="s">
        <v>238</v>
      </c>
      <c r="B49" s="597"/>
      <c r="C49" s="597"/>
      <c r="D49" s="597"/>
      <c r="E49" s="508"/>
      <c r="F49" s="891"/>
      <c r="G49" s="882"/>
      <c r="H49" s="882"/>
      <c r="I49" s="882"/>
      <c r="J49" s="882"/>
    </row>
    <row r="50" spans="1:10" s="482" customFormat="1" ht="19.5" customHeight="1">
      <c r="A50" s="488" t="s">
        <v>239</v>
      </c>
      <c r="B50" s="600">
        <f>+B51+B52+B53</f>
        <v>0</v>
      </c>
      <c r="C50" s="600">
        <f>+C51+C52+C53</f>
        <v>0</v>
      </c>
      <c r="D50" s="600">
        <f>+D51+D52+D53</f>
        <v>0</v>
      </c>
      <c r="E50" s="508"/>
      <c r="F50" s="895">
        <f>+D50-C50</f>
        <v>0</v>
      </c>
      <c r="G50" s="882"/>
      <c r="H50" s="882"/>
      <c r="I50" s="882"/>
      <c r="J50" s="882"/>
    </row>
    <row r="51" spans="1:10" s="482" customFormat="1" ht="19.5" customHeight="1">
      <c r="A51" s="491" t="s">
        <v>655</v>
      </c>
      <c r="B51" s="597"/>
      <c r="C51" s="597"/>
      <c r="D51" s="597"/>
      <c r="E51" s="508"/>
      <c r="F51" s="891"/>
      <c r="G51" s="882"/>
      <c r="H51" s="882"/>
      <c r="I51" s="882"/>
      <c r="J51" s="882"/>
    </row>
    <row r="52" spans="1:10" s="482" customFormat="1" ht="28.5" customHeight="1">
      <c r="A52" s="521" t="s">
        <v>656</v>
      </c>
      <c r="B52" s="597"/>
      <c r="C52" s="597"/>
      <c r="D52" s="597"/>
      <c r="E52" s="508"/>
      <c r="F52" s="891"/>
      <c r="G52" s="882"/>
      <c r="H52" s="882"/>
      <c r="I52" s="882"/>
      <c r="J52" s="882"/>
    </row>
    <row r="53" spans="1:10" s="482" customFormat="1" ht="19.5" customHeight="1">
      <c r="A53" s="491" t="s">
        <v>657</v>
      </c>
      <c r="B53" s="597"/>
      <c r="C53" s="597"/>
      <c r="D53" s="597"/>
      <c r="E53" s="508"/>
      <c r="F53" s="891"/>
      <c r="G53" s="882"/>
      <c r="H53" s="882"/>
      <c r="I53" s="882"/>
      <c r="J53" s="882"/>
    </row>
    <row r="54" spans="1:10" s="482" customFormat="1" ht="19.5" customHeight="1">
      <c r="A54" s="488" t="s">
        <v>240</v>
      </c>
      <c r="B54" s="600">
        <f>SUM(B55:B58)</f>
        <v>2924560.96</v>
      </c>
      <c r="C54" s="600">
        <f>SUM(C55:C58)</f>
        <v>3230329.99</v>
      </c>
      <c r="D54" s="600">
        <f>SUM(D55:D58)</f>
        <v>3231009.18</v>
      </c>
      <c r="E54" s="501"/>
      <c r="F54" s="895">
        <f>+D54-C54</f>
        <v>679.1899999999441</v>
      </c>
      <c r="G54" s="882"/>
      <c r="H54" s="882"/>
      <c r="I54" s="882"/>
      <c r="J54" s="882"/>
    </row>
    <row r="55" spans="1:10" s="482" customFormat="1" ht="19.5" customHeight="1">
      <c r="A55" s="491" t="s">
        <v>230</v>
      </c>
      <c r="B55" s="594"/>
      <c r="C55" s="594"/>
      <c r="D55" s="594"/>
      <c r="E55" s="501"/>
      <c r="F55" s="891"/>
      <c r="G55" s="882"/>
      <c r="H55" s="882"/>
      <c r="I55" s="882"/>
      <c r="J55" s="882"/>
    </row>
    <row r="56" spans="1:10" s="482" customFormat="1" ht="19.5" customHeight="1">
      <c r="A56" s="491" t="s">
        <v>241</v>
      </c>
      <c r="B56" s="594">
        <v>41398.46</v>
      </c>
      <c r="C56" s="594">
        <v>22329.99</v>
      </c>
      <c r="D56" s="594">
        <v>23009.18</v>
      </c>
      <c r="F56" s="891"/>
      <c r="G56" s="882"/>
      <c r="H56" s="882"/>
      <c r="I56" s="882"/>
      <c r="J56" s="882"/>
    </row>
    <row r="57" spans="1:10" s="482" customFormat="1" ht="19.5" customHeight="1">
      <c r="A57" s="491" t="s">
        <v>231</v>
      </c>
      <c r="B57" s="597"/>
      <c r="C57" s="597"/>
      <c r="D57" s="597"/>
      <c r="E57" s="508"/>
      <c r="F57" s="891"/>
      <c r="G57" s="882"/>
      <c r="H57" s="882"/>
      <c r="I57" s="882"/>
      <c r="J57" s="882"/>
    </row>
    <row r="58" spans="1:10" s="482" customFormat="1" ht="19.5" customHeight="1">
      <c r="A58" s="491" t="s">
        <v>661</v>
      </c>
      <c r="B58" s="597">
        <v>2883162.5</v>
      </c>
      <c r="C58" s="597">
        <v>3208000</v>
      </c>
      <c r="D58" s="597">
        <v>3208000</v>
      </c>
      <c r="E58" s="508"/>
      <c r="F58" s="895">
        <f>+D58-C58</f>
        <v>0</v>
      </c>
      <c r="G58" s="882"/>
      <c r="H58" s="882"/>
      <c r="I58" s="882"/>
      <c r="J58" s="882"/>
    </row>
    <row r="59" spans="1:10" s="482" customFormat="1" ht="19.5" customHeight="1">
      <c r="A59" s="833" t="s">
        <v>242</v>
      </c>
      <c r="B59" s="597"/>
      <c r="C59" s="597"/>
      <c r="D59" s="597"/>
      <c r="E59" s="508"/>
      <c r="F59" s="891"/>
      <c r="G59" s="882"/>
      <c r="H59" s="882"/>
      <c r="I59" s="882"/>
      <c r="J59" s="882"/>
    </row>
    <row r="60" spans="1:10" s="482" customFormat="1" ht="19.5" customHeight="1">
      <c r="A60" s="488" t="s">
        <v>243</v>
      </c>
      <c r="B60" s="600">
        <f>SUM(B61:B62)</f>
        <v>3926031.92</v>
      </c>
      <c r="C60" s="600">
        <f>SUM(C61:C62)</f>
        <v>3025487.58</v>
      </c>
      <c r="D60" s="600">
        <f>SUM(D61:D62)</f>
        <v>2684915.48</v>
      </c>
      <c r="E60" s="501"/>
      <c r="F60" s="895">
        <f>+D60-C60</f>
        <v>-340572.1000000001</v>
      </c>
      <c r="G60" s="882"/>
      <c r="H60" s="882"/>
      <c r="I60" s="882"/>
      <c r="J60" s="882"/>
    </row>
    <row r="61" spans="1:10" s="482" customFormat="1" ht="19.5" customHeight="1">
      <c r="A61" s="491" t="s">
        <v>244</v>
      </c>
      <c r="B61" s="594"/>
      <c r="C61" s="594"/>
      <c r="D61" s="594"/>
      <c r="E61" s="501"/>
      <c r="F61" s="891"/>
      <c r="G61" s="882"/>
      <c r="H61" s="882"/>
      <c r="I61" s="882"/>
      <c r="J61" s="882"/>
    </row>
    <row r="62" spans="1:10" s="482" customFormat="1" ht="19.5" customHeight="1">
      <c r="A62" s="491" t="s">
        <v>662</v>
      </c>
      <c r="B62" s="594">
        <v>3926031.92</v>
      </c>
      <c r="C62" s="594">
        <v>3025487.58</v>
      </c>
      <c r="D62" s="594">
        <v>2684915.48</v>
      </c>
      <c r="E62" s="501"/>
      <c r="F62" s="891"/>
      <c r="G62" s="882"/>
      <c r="H62" s="882"/>
      <c r="I62" s="882"/>
      <c r="J62" s="882"/>
    </row>
    <row r="63" spans="1:10" s="482" customFormat="1" ht="19.5" customHeight="1">
      <c r="A63" s="488" t="s">
        <v>265</v>
      </c>
      <c r="B63" s="597">
        <v>89315.07</v>
      </c>
      <c r="C63" s="597">
        <v>90000</v>
      </c>
      <c r="D63" s="597">
        <v>92000</v>
      </c>
      <c r="E63" s="508"/>
      <c r="F63" s="895">
        <f>+D63-C63</f>
        <v>2000</v>
      </c>
      <c r="G63" s="882"/>
      <c r="H63" s="882"/>
      <c r="I63" s="882"/>
      <c r="J63" s="882"/>
    </row>
    <row r="64" spans="1:10" s="482" customFormat="1" ht="19.5" customHeight="1">
      <c r="A64" s="488" t="s">
        <v>663</v>
      </c>
      <c r="B64" s="597"/>
      <c r="C64" s="597"/>
      <c r="D64" s="597"/>
      <c r="E64" s="508"/>
      <c r="F64" s="891"/>
      <c r="G64" s="882"/>
      <c r="H64" s="882"/>
      <c r="I64" s="882"/>
      <c r="J64" s="882"/>
    </row>
    <row r="65" spans="1:10" s="482" customFormat="1" ht="30" customHeight="1">
      <c r="A65" s="494" t="s">
        <v>304</v>
      </c>
      <c r="B65" s="601">
        <f>B48+B33+B11</f>
        <v>13198881.069999998</v>
      </c>
      <c r="C65" s="601">
        <f>C48+C33+C11</f>
        <v>10714463.4</v>
      </c>
      <c r="D65" s="601">
        <f>D48+D33+D11</f>
        <v>7138260.83</v>
      </c>
      <c r="E65" s="489"/>
      <c r="F65" s="894">
        <f>+D65-C65</f>
        <v>-3576202.5700000003</v>
      </c>
      <c r="G65" s="882"/>
      <c r="H65" s="882"/>
      <c r="I65" s="882"/>
      <c r="J65" s="882"/>
    </row>
    <row r="66" spans="2:10" s="482" customFormat="1" ht="12.75">
      <c r="B66" s="492"/>
      <c r="C66" s="492"/>
      <c r="D66" s="492"/>
      <c r="E66" s="523"/>
      <c r="F66" s="891"/>
      <c r="G66" s="882"/>
      <c r="H66" s="882"/>
      <c r="I66" s="882"/>
      <c r="J66" s="882"/>
    </row>
    <row r="67" spans="2:10" s="482" customFormat="1" ht="12.75">
      <c r="B67" s="492"/>
      <c r="C67" s="492"/>
      <c r="D67" s="492"/>
      <c r="E67" s="523"/>
      <c r="F67" s="891"/>
      <c r="G67" s="882"/>
      <c r="H67" s="882"/>
      <c r="I67" s="882"/>
      <c r="J67" s="882"/>
    </row>
    <row r="68" spans="1:10" s="482" customFormat="1" ht="12.75" hidden="1">
      <c r="A68" s="497" t="s">
        <v>245</v>
      </c>
      <c r="B68" s="492"/>
      <c r="C68" s="492"/>
      <c r="D68" s="492"/>
      <c r="E68" s="523"/>
      <c r="F68" s="891"/>
      <c r="G68" s="882"/>
      <c r="H68" s="882"/>
      <c r="I68" s="882"/>
      <c r="J68" s="882"/>
    </row>
    <row r="69" spans="5:10" s="482" customFormat="1" ht="12.75">
      <c r="E69" s="493"/>
      <c r="F69" s="891"/>
      <c r="G69" s="882"/>
      <c r="H69" s="882"/>
      <c r="I69" s="882"/>
      <c r="J69" s="882"/>
    </row>
    <row r="70" spans="2:10" s="482" customFormat="1" ht="12.75">
      <c r="B70" s="492"/>
      <c r="C70" s="492"/>
      <c r="D70" s="492"/>
      <c r="E70" s="523"/>
      <c r="F70" s="891"/>
      <c r="G70" s="882"/>
      <c r="H70" s="882"/>
      <c r="I70" s="882"/>
      <c r="J70" s="882"/>
    </row>
    <row r="71" spans="2:10" s="482" customFormat="1" ht="12.75" hidden="1">
      <c r="B71" s="492"/>
      <c r="C71" s="492"/>
      <c r="D71" s="492"/>
      <c r="E71" s="523"/>
      <c r="F71" s="891"/>
      <c r="G71" s="882"/>
      <c r="H71" s="882"/>
      <c r="I71" s="882"/>
      <c r="J71" s="882"/>
    </row>
    <row r="72" spans="1:10" s="482" customFormat="1" ht="12.75" hidden="1">
      <c r="A72" s="482" t="s">
        <v>266</v>
      </c>
      <c r="B72" s="492">
        <f>+ACTIVO!B48</f>
        <v>13198881.069999998</v>
      </c>
      <c r="C72" s="492">
        <f>+ACTIVO!C48</f>
        <v>10714463.4</v>
      </c>
      <c r="D72" s="492">
        <f>+ACTIVO!D48</f>
        <v>7138260.829999999</v>
      </c>
      <c r="E72" s="523"/>
      <c r="F72" s="891"/>
      <c r="G72" s="882"/>
      <c r="H72" s="882"/>
      <c r="I72" s="882"/>
      <c r="J72" s="882"/>
    </row>
    <row r="73" spans="1:10" s="482" customFormat="1" ht="12.75" hidden="1">
      <c r="A73" s="493" t="s">
        <v>264</v>
      </c>
      <c r="B73" s="503">
        <f>+B65-B72</f>
        <v>0</v>
      </c>
      <c r="C73" s="503">
        <f>+C65-C72</f>
        <v>0</v>
      </c>
      <c r="D73" s="503">
        <f>+D65-D72</f>
        <v>0</v>
      </c>
      <c r="E73" s="501"/>
      <c r="F73" s="891"/>
      <c r="G73" s="882"/>
      <c r="H73" s="882"/>
      <c r="I73" s="882"/>
      <c r="J73" s="882"/>
    </row>
    <row r="74" spans="5:10" s="482" customFormat="1" ht="12.75" hidden="1">
      <c r="E74" s="493"/>
      <c r="F74" s="891"/>
      <c r="G74" s="882"/>
      <c r="H74" s="882"/>
      <c r="I74" s="882"/>
      <c r="J74" s="882"/>
    </row>
    <row r="75" spans="4:10" s="482" customFormat="1" ht="12.75" hidden="1">
      <c r="D75" s="492"/>
      <c r="E75" s="523"/>
      <c r="F75" s="891"/>
      <c r="G75" s="882"/>
      <c r="H75" s="882"/>
      <c r="I75" s="882"/>
      <c r="J75" s="882"/>
    </row>
    <row r="76" spans="5:10" s="482" customFormat="1" ht="12.75">
      <c r="E76" s="493"/>
      <c r="F76" s="891"/>
      <c r="G76" s="882"/>
      <c r="H76" s="882"/>
      <c r="I76" s="882"/>
      <c r="J76" s="882"/>
    </row>
    <row r="77" spans="5:10" s="482" customFormat="1" ht="12.75">
      <c r="E77" s="493"/>
      <c r="F77" s="891"/>
      <c r="G77" s="882"/>
      <c r="H77" s="882"/>
      <c r="I77" s="882"/>
      <c r="J77" s="882"/>
    </row>
    <row r="78" spans="5:10" s="482" customFormat="1" ht="12.75">
      <c r="E78" s="493"/>
      <c r="F78" s="891"/>
      <c r="G78" s="882"/>
      <c r="H78" s="882"/>
      <c r="I78" s="882"/>
      <c r="J78" s="882"/>
    </row>
    <row r="79" spans="5:10" s="482" customFormat="1" ht="12.75">
      <c r="E79" s="493"/>
      <c r="F79" s="891"/>
      <c r="G79" s="882"/>
      <c r="H79" s="882"/>
      <c r="I79" s="882"/>
      <c r="J79" s="882"/>
    </row>
    <row r="80" spans="5:10" s="482" customFormat="1" ht="12.75">
      <c r="E80" s="493"/>
      <c r="F80" s="891"/>
      <c r="G80" s="882"/>
      <c r="H80" s="882"/>
      <c r="I80" s="882"/>
      <c r="J80" s="882"/>
    </row>
    <row r="81" spans="5:10" s="482" customFormat="1" ht="12.75">
      <c r="E81" s="493"/>
      <c r="F81" s="891"/>
      <c r="G81" s="882"/>
      <c r="H81" s="882"/>
      <c r="I81" s="882"/>
      <c r="J81" s="882"/>
    </row>
    <row r="82" spans="5:10" s="482" customFormat="1" ht="12.75">
      <c r="E82" s="493"/>
      <c r="F82" s="891"/>
      <c r="G82" s="882"/>
      <c r="H82" s="882"/>
      <c r="I82" s="882"/>
      <c r="J82" s="882"/>
    </row>
    <row r="83" spans="5:10" s="482" customFormat="1" ht="12.75">
      <c r="E83" s="493"/>
      <c r="F83" s="891"/>
      <c r="G83" s="882"/>
      <c r="H83" s="882"/>
      <c r="I83" s="882"/>
      <c r="J83" s="882"/>
    </row>
    <row r="84" spans="5:10" s="482" customFormat="1" ht="12.75">
      <c r="E84" s="493"/>
      <c r="F84" s="891"/>
      <c r="G84" s="882"/>
      <c r="H84" s="882"/>
      <c r="I84" s="882"/>
      <c r="J84" s="882"/>
    </row>
    <row r="85" spans="5:10" s="482" customFormat="1" ht="12.75">
      <c r="E85" s="493"/>
      <c r="F85" s="891"/>
      <c r="G85" s="882"/>
      <c r="H85" s="882"/>
      <c r="I85" s="882"/>
      <c r="J85" s="882"/>
    </row>
    <row r="86" spans="5:10" s="482" customFormat="1" ht="12.75">
      <c r="E86" s="493"/>
      <c r="F86" s="891"/>
      <c r="G86" s="882"/>
      <c r="H86" s="882"/>
      <c r="I86" s="882"/>
      <c r="J86" s="882"/>
    </row>
    <row r="87" spans="5:10" s="482" customFormat="1" ht="12.75">
      <c r="E87" s="493"/>
      <c r="F87" s="891"/>
      <c r="G87" s="882"/>
      <c r="H87" s="882"/>
      <c r="I87" s="882"/>
      <c r="J87" s="882"/>
    </row>
    <row r="88" spans="5:10" s="482" customFormat="1" ht="12.75">
      <c r="E88" s="493"/>
      <c r="F88" s="891"/>
      <c r="G88" s="882"/>
      <c r="H88" s="882"/>
      <c r="I88" s="882"/>
      <c r="J88" s="882"/>
    </row>
    <row r="89" spans="5:10" s="482" customFormat="1" ht="12.75">
      <c r="E89" s="493"/>
      <c r="F89" s="891"/>
      <c r="G89" s="882"/>
      <c r="H89" s="882"/>
      <c r="I89" s="882"/>
      <c r="J89" s="882"/>
    </row>
    <row r="90" spans="5:10" s="482" customFormat="1" ht="12.75">
      <c r="E90" s="493"/>
      <c r="F90" s="891"/>
      <c r="G90" s="882"/>
      <c r="H90" s="882"/>
      <c r="I90" s="882"/>
      <c r="J90" s="882"/>
    </row>
    <row r="91" spans="5:10" s="482" customFormat="1" ht="12.75">
      <c r="E91" s="493"/>
      <c r="F91" s="891"/>
      <c r="G91" s="882"/>
      <c r="H91" s="882"/>
      <c r="I91" s="882"/>
      <c r="J91" s="882"/>
    </row>
    <row r="92" spans="5:10" s="482" customFormat="1" ht="12.75">
      <c r="E92" s="493"/>
      <c r="F92" s="891"/>
      <c r="G92" s="882"/>
      <c r="H92" s="882"/>
      <c r="I92" s="882"/>
      <c r="J92" s="882"/>
    </row>
    <row r="93" spans="5:10" s="482" customFormat="1" ht="12.75">
      <c r="E93" s="493"/>
      <c r="F93" s="891"/>
      <c r="G93" s="882"/>
      <c r="H93" s="882"/>
      <c r="I93" s="882"/>
      <c r="J93" s="882"/>
    </row>
    <row r="94" spans="5:10" s="482" customFormat="1" ht="12.75">
      <c r="E94" s="493"/>
      <c r="F94" s="891"/>
      <c r="G94" s="882"/>
      <c r="H94" s="882"/>
      <c r="I94" s="882"/>
      <c r="J94" s="882"/>
    </row>
    <row r="95" spans="5:10" s="482" customFormat="1" ht="12.75">
      <c r="E95" s="493"/>
      <c r="F95" s="891"/>
      <c r="G95" s="882"/>
      <c r="H95" s="882"/>
      <c r="I95" s="882"/>
      <c r="J95" s="882"/>
    </row>
    <row r="96" spans="5:10" s="482" customFormat="1" ht="12.75">
      <c r="E96" s="493"/>
      <c r="F96" s="891"/>
      <c r="G96" s="882"/>
      <c r="H96" s="882"/>
      <c r="I96" s="882"/>
      <c r="J96" s="882"/>
    </row>
    <row r="97" spans="5:10" s="482" customFormat="1" ht="12.75">
      <c r="E97" s="493"/>
      <c r="F97" s="891"/>
      <c r="G97" s="882"/>
      <c r="H97" s="882"/>
      <c r="I97" s="882"/>
      <c r="J97" s="882"/>
    </row>
    <row r="98" spans="5:10" s="482" customFormat="1" ht="12.75">
      <c r="E98" s="493"/>
      <c r="F98" s="891"/>
      <c r="G98" s="882"/>
      <c r="H98" s="882"/>
      <c r="I98" s="882"/>
      <c r="J98" s="882"/>
    </row>
    <row r="99" spans="5:10" s="482" customFormat="1" ht="12.75">
      <c r="E99" s="493"/>
      <c r="F99" s="891"/>
      <c r="G99" s="882"/>
      <c r="H99" s="882"/>
      <c r="I99" s="882"/>
      <c r="J99" s="882"/>
    </row>
    <row r="100" spans="5:10" s="482" customFormat="1" ht="12.75">
      <c r="E100" s="493"/>
      <c r="F100" s="891"/>
      <c r="G100" s="882"/>
      <c r="H100" s="882"/>
      <c r="I100" s="882"/>
      <c r="J100" s="882"/>
    </row>
    <row r="101" spans="5:10" s="482" customFormat="1" ht="12.75">
      <c r="E101" s="493"/>
      <c r="F101" s="891"/>
      <c r="G101" s="882"/>
      <c r="H101" s="882"/>
      <c r="I101" s="882"/>
      <c r="J101" s="882"/>
    </row>
    <row r="102" spans="5:10" s="482" customFormat="1" ht="12.75">
      <c r="E102" s="493"/>
      <c r="F102" s="891"/>
      <c r="G102" s="882"/>
      <c r="H102" s="882"/>
      <c r="I102" s="882"/>
      <c r="J102" s="882"/>
    </row>
    <row r="103" spans="5:10" s="482" customFormat="1" ht="12.75">
      <c r="E103" s="493"/>
      <c r="F103" s="891"/>
      <c r="G103" s="882"/>
      <c r="H103" s="882"/>
      <c r="I103" s="882"/>
      <c r="J103" s="882"/>
    </row>
    <row r="104" spans="5:10" s="482" customFormat="1" ht="12.75">
      <c r="E104" s="493"/>
      <c r="F104" s="891"/>
      <c r="G104" s="882"/>
      <c r="H104" s="882"/>
      <c r="I104" s="882"/>
      <c r="J104" s="882"/>
    </row>
    <row r="105" spans="5:10" s="482" customFormat="1" ht="12.75">
      <c r="E105" s="493"/>
      <c r="F105" s="891"/>
      <c r="G105" s="882"/>
      <c r="H105" s="882"/>
      <c r="I105" s="882"/>
      <c r="J105" s="882"/>
    </row>
    <row r="106" spans="5:10" s="482" customFormat="1" ht="12.75">
      <c r="E106" s="493"/>
      <c r="F106" s="891"/>
      <c r="G106" s="882"/>
      <c r="H106" s="882"/>
      <c r="I106" s="882"/>
      <c r="J106" s="882"/>
    </row>
    <row r="107" spans="5:10" s="482" customFormat="1" ht="12.75">
      <c r="E107" s="493"/>
      <c r="F107" s="891"/>
      <c r="G107" s="882"/>
      <c r="H107" s="882"/>
      <c r="I107" s="882"/>
      <c r="J107" s="882"/>
    </row>
    <row r="108" spans="5:10" s="482" customFormat="1" ht="12.75">
      <c r="E108" s="493"/>
      <c r="F108" s="891"/>
      <c r="G108" s="882"/>
      <c r="H108" s="882"/>
      <c r="I108" s="882"/>
      <c r="J108" s="882"/>
    </row>
    <row r="109" spans="5:10" s="482" customFormat="1" ht="12.75">
      <c r="E109" s="493"/>
      <c r="F109" s="891"/>
      <c r="G109" s="882"/>
      <c r="H109" s="882"/>
      <c r="I109" s="882"/>
      <c r="J109" s="882"/>
    </row>
    <row r="110" spans="5:10" s="482" customFormat="1" ht="12.75">
      <c r="E110" s="493"/>
      <c r="F110" s="891"/>
      <c r="G110" s="882"/>
      <c r="H110" s="882"/>
      <c r="I110" s="882"/>
      <c r="J110" s="882"/>
    </row>
    <row r="111" spans="5:10" s="482" customFormat="1" ht="12.75">
      <c r="E111" s="493"/>
      <c r="F111" s="891"/>
      <c r="G111" s="882"/>
      <c r="H111" s="882"/>
      <c r="I111" s="882"/>
      <c r="J111" s="882"/>
    </row>
    <row r="112" spans="5:10" s="482" customFormat="1" ht="12.75">
      <c r="E112" s="493"/>
      <c r="F112" s="891"/>
      <c r="G112" s="882"/>
      <c r="H112" s="882"/>
      <c r="I112" s="882"/>
      <c r="J112" s="882"/>
    </row>
    <row r="113" spans="5:10" s="482" customFormat="1" ht="12.75">
      <c r="E113" s="493"/>
      <c r="F113" s="891"/>
      <c r="G113" s="882"/>
      <c r="H113" s="882"/>
      <c r="I113" s="882"/>
      <c r="J113" s="882"/>
    </row>
    <row r="114" spans="5:10" s="482" customFormat="1" ht="12.75">
      <c r="E114" s="493"/>
      <c r="F114" s="891"/>
      <c r="G114" s="882"/>
      <c r="H114" s="882"/>
      <c r="I114" s="882"/>
      <c r="J114" s="882"/>
    </row>
    <row r="115" spans="5:10" s="482" customFormat="1" ht="12.75">
      <c r="E115" s="493"/>
      <c r="F115" s="891"/>
      <c r="G115" s="882"/>
      <c r="H115" s="882"/>
      <c r="I115" s="882"/>
      <c r="J115" s="882"/>
    </row>
    <row r="116" spans="5:10" s="482" customFormat="1" ht="12.75">
      <c r="E116" s="493"/>
      <c r="F116" s="891"/>
      <c r="G116" s="882"/>
      <c r="H116" s="882"/>
      <c r="I116" s="882"/>
      <c r="J116" s="882"/>
    </row>
    <row r="117" spans="5:10" s="482" customFormat="1" ht="12.75">
      <c r="E117" s="493"/>
      <c r="F117" s="891"/>
      <c r="G117" s="882"/>
      <c r="H117" s="882"/>
      <c r="I117" s="882"/>
      <c r="J117" s="882"/>
    </row>
    <row r="118" spans="5:10" s="482" customFormat="1" ht="12.75">
      <c r="E118" s="493"/>
      <c r="F118" s="891"/>
      <c r="G118" s="882"/>
      <c r="H118" s="882"/>
      <c r="I118" s="882"/>
      <c r="J118" s="882"/>
    </row>
    <row r="119" spans="5:10" s="482" customFormat="1" ht="12.75">
      <c r="E119" s="493"/>
      <c r="F119" s="891"/>
      <c r="G119" s="882"/>
      <c r="H119" s="882"/>
      <c r="I119" s="882"/>
      <c r="J119" s="882"/>
    </row>
    <row r="120" spans="5:10" s="482" customFormat="1" ht="12.75">
      <c r="E120" s="493"/>
      <c r="F120" s="891"/>
      <c r="G120" s="882"/>
      <c r="H120" s="882"/>
      <c r="I120" s="882"/>
      <c r="J120" s="882"/>
    </row>
    <row r="121" spans="5:10" s="482" customFormat="1" ht="12.75">
      <c r="E121" s="493"/>
      <c r="F121" s="891"/>
      <c r="G121" s="882"/>
      <c r="H121" s="882"/>
      <c r="I121" s="882"/>
      <c r="J121" s="882"/>
    </row>
    <row r="122" spans="5:10" s="482" customFormat="1" ht="12.75">
      <c r="E122" s="493"/>
      <c r="F122" s="891"/>
      <c r="G122" s="882"/>
      <c r="H122" s="882"/>
      <c r="I122" s="882"/>
      <c r="J122" s="882"/>
    </row>
    <row r="123" spans="5:10" s="482" customFormat="1" ht="12.75">
      <c r="E123" s="493"/>
      <c r="F123" s="891"/>
      <c r="G123" s="882"/>
      <c r="H123" s="882"/>
      <c r="I123" s="882"/>
      <c r="J123" s="882"/>
    </row>
    <row r="124" spans="5:10" s="482" customFormat="1" ht="12.75">
      <c r="E124" s="493"/>
      <c r="F124" s="891"/>
      <c r="G124" s="882"/>
      <c r="H124" s="882"/>
      <c r="I124" s="882"/>
      <c r="J124" s="882"/>
    </row>
    <row r="125" spans="5:10" s="482" customFormat="1" ht="12.75">
      <c r="E125" s="493"/>
      <c r="F125" s="891"/>
      <c r="G125" s="882"/>
      <c r="H125" s="882"/>
      <c r="I125" s="882"/>
      <c r="J125" s="882"/>
    </row>
    <row r="126" spans="5:10" s="482" customFormat="1" ht="12.75">
      <c r="E126" s="493"/>
      <c r="F126" s="891"/>
      <c r="G126" s="882"/>
      <c r="H126" s="882"/>
      <c r="I126" s="882"/>
      <c r="J126" s="882"/>
    </row>
    <row r="127" spans="5:10" s="482" customFormat="1" ht="12.75">
      <c r="E127" s="493"/>
      <c r="F127" s="891"/>
      <c r="G127" s="882"/>
      <c r="H127" s="882"/>
      <c r="I127" s="882"/>
      <c r="J127" s="882"/>
    </row>
    <row r="128" spans="5:10" s="482" customFormat="1" ht="12.75">
      <c r="E128" s="493"/>
      <c r="F128" s="891"/>
      <c r="G128" s="882"/>
      <c r="H128" s="882"/>
      <c r="I128" s="882"/>
      <c r="J128" s="882"/>
    </row>
    <row r="129" spans="5:10" s="482" customFormat="1" ht="12.75">
      <c r="E129" s="493"/>
      <c r="F129" s="891"/>
      <c r="G129" s="882"/>
      <c r="H129" s="882"/>
      <c r="I129" s="882"/>
      <c r="J129" s="882"/>
    </row>
    <row r="130" spans="5:10" s="482" customFormat="1" ht="12.75">
      <c r="E130" s="493"/>
      <c r="F130" s="891"/>
      <c r="G130" s="882"/>
      <c r="H130" s="882"/>
      <c r="I130" s="882"/>
      <c r="J130" s="882"/>
    </row>
    <row r="131" spans="5:10" s="482" customFormat="1" ht="12.75">
      <c r="E131" s="493"/>
      <c r="F131" s="891"/>
      <c r="G131" s="882"/>
      <c r="H131" s="882"/>
      <c r="I131" s="882"/>
      <c r="J131" s="882"/>
    </row>
    <row r="132" spans="5:10" s="482" customFormat="1" ht="12.75">
      <c r="E132" s="493"/>
      <c r="F132" s="891"/>
      <c r="G132" s="882"/>
      <c r="H132" s="882"/>
      <c r="I132" s="882"/>
      <c r="J132" s="882"/>
    </row>
    <row r="133" spans="5:10" s="482" customFormat="1" ht="12.75">
      <c r="E133" s="493"/>
      <c r="F133" s="891"/>
      <c r="G133" s="882"/>
      <c r="H133" s="882"/>
      <c r="I133" s="882"/>
      <c r="J133" s="882"/>
    </row>
    <row r="134" spans="5:10" s="482" customFormat="1" ht="12.75">
      <c r="E134" s="493"/>
      <c r="F134" s="891"/>
      <c r="G134" s="882"/>
      <c r="H134" s="882"/>
      <c r="I134" s="882"/>
      <c r="J134" s="882"/>
    </row>
    <row r="135" spans="5:10" s="482" customFormat="1" ht="12.75">
      <c r="E135" s="493"/>
      <c r="F135" s="891"/>
      <c r="G135" s="882"/>
      <c r="H135" s="882"/>
      <c r="I135" s="882"/>
      <c r="J135" s="882"/>
    </row>
    <row r="136" spans="5:10" s="482" customFormat="1" ht="12.75">
      <c r="E136" s="493"/>
      <c r="F136" s="891"/>
      <c r="G136" s="882"/>
      <c r="H136" s="882"/>
      <c r="I136" s="882"/>
      <c r="J136" s="882"/>
    </row>
    <row r="137" spans="5:10" s="482" customFormat="1" ht="12.75">
      <c r="E137" s="493"/>
      <c r="F137" s="891"/>
      <c r="G137" s="882"/>
      <c r="H137" s="882"/>
      <c r="I137" s="882"/>
      <c r="J137" s="882"/>
    </row>
    <row r="138" spans="5:10" s="482" customFormat="1" ht="12.75">
      <c r="E138" s="493"/>
      <c r="F138" s="891"/>
      <c r="G138" s="882"/>
      <c r="H138" s="882"/>
      <c r="I138" s="882"/>
      <c r="J138" s="882"/>
    </row>
    <row r="139" spans="5:10" s="482" customFormat="1" ht="12.75">
      <c r="E139" s="493"/>
      <c r="F139" s="891"/>
      <c r="G139" s="882"/>
      <c r="H139" s="882"/>
      <c r="I139" s="882"/>
      <c r="J139" s="882"/>
    </row>
    <row r="140" spans="5:10" s="482" customFormat="1" ht="12.75">
      <c r="E140" s="493"/>
      <c r="F140" s="891"/>
      <c r="G140" s="882"/>
      <c r="H140" s="882"/>
      <c r="I140" s="882"/>
      <c r="J140" s="882"/>
    </row>
    <row r="141" spans="5:10" s="482" customFormat="1" ht="12.75">
      <c r="E141" s="493"/>
      <c r="F141" s="891"/>
      <c r="G141" s="882"/>
      <c r="H141" s="882"/>
      <c r="I141" s="882"/>
      <c r="J141" s="882"/>
    </row>
    <row r="142" spans="5:10" s="482" customFormat="1" ht="12.75">
      <c r="E142" s="493"/>
      <c r="F142" s="891"/>
      <c r="G142" s="882"/>
      <c r="H142" s="882"/>
      <c r="I142" s="882"/>
      <c r="J142" s="882"/>
    </row>
    <row r="143" spans="5:10" s="482" customFormat="1" ht="12.75">
      <c r="E143" s="493"/>
      <c r="F143" s="891"/>
      <c r="G143" s="882"/>
      <c r="H143" s="882"/>
      <c r="I143" s="882"/>
      <c r="J143" s="882"/>
    </row>
    <row r="144" spans="5:10" s="482" customFormat="1" ht="12.75">
      <c r="E144" s="493"/>
      <c r="F144" s="891"/>
      <c r="G144" s="882"/>
      <c r="H144" s="882"/>
      <c r="I144" s="882"/>
      <c r="J144" s="882"/>
    </row>
    <row r="145" spans="5:10" s="482" customFormat="1" ht="12.75">
      <c r="E145" s="493"/>
      <c r="F145" s="891"/>
      <c r="G145" s="882"/>
      <c r="H145" s="882"/>
      <c r="I145" s="882"/>
      <c r="J145" s="882"/>
    </row>
    <row r="146" spans="5:10" s="482" customFormat="1" ht="12.75">
      <c r="E146" s="493"/>
      <c r="F146" s="891"/>
      <c r="G146" s="882"/>
      <c r="H146" s="882"/>
      <c r="I146" s="882"/>
      <c r="J146" s="882"/>
    </row>
    <row r="147" spans="5:10" s="482" customFormat="1" ht="12.75">
      <c r="E147" s="493"/>
      <c r="F147" s="891"/>
      <c r="G147" s="882"/>
      <c r="H147" s="882"/>
      <c r="I147" s="882"/>
      <c r="J147" s="882"/>
    </row>
    <row r="148" spans="5:10" s="482" customFormat="1" ht="12.75">
      <c r="E148" s="493"/>
      <c r="F148" s="891"/>
      <c r="G148" s="882"/>
      <c r="H148" s="882"/>
      <c r="I148" s="882"/>
      <c r="J148" s="882"/>
    </row>
    <row r="149" spans="5:10" s="482" customFormat="1" ht="12.75">
      <c r="E149" s="493"/>
      <c r="F149" s="891"/>
      <c r="G149" s="882"/>
      <c r="H149" s="882"/>
      <c r="I149" s="882"/>
      <c r="J149" s="882"/>
    </row>
    <row r="150" spans="5:10" s="482" customFormat="1" ht="12.75">
      <c r="E150" s="493"/>
      <c r="F150" s="891"/>
      <c r="G150" s="882"/>
      <c r="H150" s="882"/>
      <c r="I150" s="882"/>
      <c r="J150" s="882"/>
    </row>
    <row r="151" spans="5:10" s="482" customFormat="1" ht="12.75">
      <c r="E151" s="493"/>
      <c r="F151" s="891"/>
      <c r="G151" s="882"/>
      <c r="H151" s="882"/>
      <c r="I151" s="882"/>
      <c r="J151" s="882"/>
    </row>
    <row r="152" spans="5:10" s="482" customFormat="1" ht="12.75">
      <c r="E152" s="493"/>
      <c r="F152" s="891"/>
      <c r="G152" s="882"/>
      <c r="H152" s="882"/>
      <c r="I152" s="882"/>
      <c r="J152" s="882"/>
    </row>
    <row r="153" spans="5:10" s="482" customFormat="1" ht="12.75">
      <c r="E153" s="493"/>
      <c r="F153" s="891"/>
      <c r="G153" s="882"/>
      <c r="H153" s="882"/>
      <c r="I153" s="882"/>
      <c r="J153" s="882"/>
    </row>
    <row r="154" spans="5:10" s="482" customFormat="1" ht="12.75">
      <c r="E154" s="493"/>
      <c r="F154" s="891"/>
      <c r="G154" s="882"/>
      <c r="H154" s="882"/>
      <c r="I154" s="882"/>
      <c r="J154" s="882"/>
    </row>
    <row r="155" spans="5:10" s="482" customFormat="1" ht="12.75">
      <c r="E155" s="493"/>
      <c r="F155" s="891"/>
      <c r="G155" s="882"/>
      <c r="H155" s="882"/>
      <c r="I155" s="882"/>
      <c r="J155" s="882"/>
    </row>
    <row r="156" spans="5:10" s="482" customFormat="1" ht="12.75">
      <c r="E156" s="493"/>
      <c r="F156" s="891"/>
      <c r="G156" s="882"/>
      <c r="H156" s="882"/>
      <c r="I156" s="882"/>
      <c r="J156" s="882"/>
    </row>
    <row r="157" spans="5:10" s="482" customFormat="1" ht="12.75">
      <c r="E157" s="493"/>
      <c r="F157" s="891"/>
      <c r="G157" s="882"/>
      <c r="H157" s="882"/>
      <c r="I157" s="882"/>
      <c r="J157" s="882"/>
    </row>
    <row r="158" spans="5:10" s="482" customFormat="1" ht="12.75">
      <c r="E158" s="493"/>
      <c r="F158" s="891"/>
      <c r="G158" s="882"/>
      <c r="H158" s="882"/>
      <c r="I158" s="882"/>
      <c r="J158" s="882"/>
    </row>
    <row r="159" spans="5:10" s="482" customFormat="1" ht="12.75">
      <c r="E159" s="493"/>
      <c r="F159" s="891"/>
      <c r="G159" s="882"/>
      <c r="H159" s="882"/>
      <c r="I159" s="882"/>
      <c r="J159" s="882"/>
    </row>
    <row r="160" spans="5:10" s="482" customFormat="1" ht="12.75">
      <c r="E160" s="493"/>
      <c r="F160" s="891"/>
      <c r="G160" s="882"/>
      <c r="H160" s="882"/>
      <c r="I160" s="882"/>
      <c r="J160" s="882"/>
    </row>
    <row r="161" spans="5:10" s="482" customFormat="1" ht="12.75">
      <c r="E161" s="493"/>
      <c r="F161" s="891"/>
      <c r="G161" s="882"/>
      <c r="H161" s="882"/>
      <c r="I161" s="882"/>
      <c r="J161" s="882"/>
    </row>
    <row r="162" spans="5:10" s="482" customFormat="1" ht="12.75">
      <c r="E162" s="493"/>
      <c r="F162" s="891"/>
      <c r="G162" s="882"/>
      <c r="H162" s="882"/>
      <c r="I162" s="882"/>
      <c r="J162" s="882"/>
    </row>
    <row r="163" spans="5:10" s="482" customFormat="1" ht="12.75">
      <c r="E163" s="493"/>
      <c r="F163" s="891"/>
      <c r="G163" s="882"/>
      <c r="H163" s="882"/>
      <c r="I163" s="882"/>
      <c r="J163" s="882"/>
    </row>
    <row r="164" spans="5:10" s="482" customFormat="1" ht="12.75">
      <c r="E164" s="493"/>
      <c r="F164" s="891"/>
      <c r="G164" s="882"/>
      <c r="H164" s="882"/>
      <c r="I164" s="882"/>
      <c r="J164" s="882"/>
    </row>
    <row r="165" spans="5:10" s="482" customFormat="1" ht="12.75">
      <c r="E165" s="493"/>
      <c r="F165" s="891"/>
      <c r="G165" s="882"/>
      <c r="H165" s="882"/>
      <c r="I165" s="882"/>
      <c r="J165" s="882"/>
    </row>
    <row r="166" spans="5:10" s="482" customFormat="1" ht="12.75">
      <c r="E166" s="493"/>
      <c r="F166" s="891"/>
      <c r="G166" s="882"/>
      <c r="H166" s="882"/>
      <c r="I166" s="882"/>
      <c r="J166" s="882"/>
    </row>
    <row r="167" spans="5:10" s="482" customFormat="1" ht="12.75">
      <c r="E167" s="493"/>
      <c r="F167" s="891"/>
      <c r="G167" s="882"/>
      <c r="H167" s="882"/>
      <c r="I167" s="882"/>
      <c r="J167" s="882"/>
    </row>
    <row r="168" spans="5:10" s="482" customFormat="1" ht="12.75">
      <c r="E168" s="493"/>
      <c r="F168" s="891"/>
      <c r="G168" s="882"/>
      <c r="H168" s="882"/>
      <c r="I168" s="882"/>
      <c r="J168" s="882"/>
    </row>
    <row r="169" spans="5:10" s="482" customFormat="1" ht="12.75">
      <c r="E169" s="493"/>
      <c r="F169" s="891"/>
      <c r="G169" s="882"/>
      <c r="H169" s="882"/>
      <c r="I169" s="882"/>
      <c r="J169" s="882"/>
    </row>
    <row r="170" spans="5:10" s="482" customFormat="1" ht="12.75">
      <c r="E170" s="493"/>
      <c r="F170" s="891"/>
      <c r="G170" s="882"/>
      <c r="H170" s="882"/>
      <c r="I170" s="882"/>
      <c r="J170" s="882"/>
    </row>
    <row r="171" spans="5:10" s="482" customFormat="1" ht="12.75">
      <c r="E171" s="493"/>
      <c r="F171" s="891"/>
      <c r="G171" s="882"/>
      <c r="H171" s="882"/>
      <c r="I171" s="882"/>
      <c r="J171" s="882"/>
    </row>
    <row r="172" spans="5:10" s="482" customFormat="1" ht="12.75">
      <c r="E172" s="493"/>
      <c r="F172" s="891"/>
      <c r="G172" s="882"/>
      <c r="H172" s="882"/>
      <c r="I172" s="882"/>
      <c r="J172" s="882"/>
    </row>
    <row r="173" spans="5:10" s="482" customFormat="1" ht="12.75">
      <c r="E173" s="493"/>
      <c r="F173" s="891"/>
      <c r="G173" s="882"/>
      <c r="H173" s="882"/>
      <c r="I173" s="882"/>
      <c r="J173" s="882"/>
    </row>
    <row r="174" spans="5:10" s="482" customFormat="1" ht="12.75">
      <c r="E174" s="493"/>
      <c r="F174" s="891"/>
      <c r="G174" s="882"/>
      <c r="H174" s="882"/>
      <c r="I174" s="882"/>
      <c r="J174" s="882"/>
    </row>
    <row r="175" spans="5:10" s="482" customFormat="1" ht="12.75">
      <c r="E175" s="493"/>
      <c r="F175" s="891"/>
      <c r="G175" s="882"/>
      <c r="H175" s="882"/>
      <c r="I175" s="882"/>
      <c r="J175" s="882"/>
    </row>
    <row r="176" spans="5:10" s="482" customFormat="1" ht="12.75">
      <c r="E176" s="493"/>
      <c r="F176" s="891"/>
      <c r="G176" s="882"/>
      <c r="H176" s="882"/>
      <c r="I176" s="882"/>
      <c r="J176" s="882"/>
    </row>
    <row r="177" spans="5:10" s="482" customFormat="1" ht="12.75">
      <c r="E177" s="493"/>
      <c r="F177" s="891"/>
      <c r="G177" s="882"/>
      <c r="H177" s="882"/>
      <c r="I177" s="882"/>
      <c r="J177" s="882"/>
    </row>
    <row r="178" spans="5:10" s="482" customFormat="1" ht="12.75">
      <c r="E178" s="493"/>
      <c r="F178" s="891"/>
      <c r="G178" s="882"/>
      <c r="H178" s="882"/>
      <c r="I178" s="882"/>
      <c r="J178" s="882"/>
    </row>
    <row r="179" spans="5:10" s="482" customFormat="1" ht="12.75">
      <c r="E179" s="493"/>
      <c r="F179" s="891"/>
      <c r="G179" s="882"/>
      <c r="H179" s="882"/>
      <c r="I179" s="882"/>
      <c r="J179" s="882"/>
    </row>
    <row r="180" spans="5:10" s="482" customFormat="1" ht="12.75">
      <c r="E180" s="493"/>
      <c r="F180" s="891"/>
      <c r="G180" s="882"/>
      <c r="H180" s="882"/>
      <c r="I180" s="882"/>
      <c r="J180" s="882"/>
    </row>
    <row r="181" spans="5:10" s="482" customFormat="1" ht="12.75">
      <c r="E181" s="493"/>
      <c r="F181" s="891"/>
      <c r="G181" s="882"/>
      <c r="H181" s="882"/>
      <c r="I181" s="882"/>
      <c r="J181" s="882"/>
    </row>
    <row r="182" spans="5:10" s="482" customFormat="1" ht="12.75">
      <c r="E182" s="493"/>
      <c r="F182" s="891"/>
      <c r="G182" s="882"/>
      <c r="H182" s="882"/>
      <c r="I182" s="882"/>
      <c r="J182" s="882"/>
    </row>
    <row r="183" spans="5:10" s="482" customFormat="1" ht="12.75">
      <c r="E183" s="493"/>
      <c r="F183" s="891"/>
      <c r="G183" s="882"/>
      <c r="H183" s="882"/>
      <c r="I183" s="882"/>
      <c r="J183" s="882"/>
    </row>
    <row r="184" spans="5:10" s="482" customFormat="1" ht="12.75">
      <c r="E184" s="493"/>
      <c r="F184" s="891"/>
      <c r="G184" s="882"/>
      <c r="H184" s="882"/>
      <c r="I184" s="882"/>
      <c r="J184" s="882"/>
    </row>
    <row r="185" spans="5:10" s="482" customFormat="1" ht="12.75">
      <c r="E185" s="493"/>
      <c r="F185" s="891"/>
      <c r="G185" s="882"/>
      <c r="H185" s="882"/>
      <c r="I185" s="882"/>
      <c r="J185" s="882"/>
    </row>
    <row r="186" spans="5:10" s="482" customFormat="1" ht="12.75">
      <c r="E186" s="493"/>
      <c r="F186" s="891"/>
      <c r="G186" s="882"/>
      <c r="H186" s="882"/>
      <c r="I186" s="882"/>
      <c r="J186" s="882"/>
    </row>
    <row r="187" spans="5:10" s="482" customFormat="1" ht="12.75">
      <c r="E187" s="493"/>
      <c r="F187" s="891"/>
      <c r="G187" s="882"/>
      <c r="H187" s="882"/>
      <c r="I187" s="882"/>
      <c r="J187" s="882"/>
    </row>
    <row r="188" spans="5:10" s="482" customFormat="1" ht="12.75">
      <c r="E188" s="493"/>
      <c r="F188" s="891"/>
      <c r="G188" s="882"/>
      <c r="H188" s="882"/>
      <c r="I188" s="882"/>
      <c r="J188" s="882"/>
    </row>
    <row r="189" spans="5:10" s="482" customFormat="1" ht="12.75">
      <c r="E189" s="493"/>
      <c r="F189" s="891"/>
      <c r="G189" s="882"/>
      <c r="H189" s="882"/>
      <c r="I189" s="882"/>
      <c r="J189" s="882"/>
    </row>
    <row r="190" spans="5:10" s="482" customFormat="1" ht="12.75">
      <c r="E190" s="493"/>
      <c r="F190" s="891"/>
      <c r="G190" s="882"/>
      <c r="H190" s="882"/>
      <c r="I190" s="882"/>
      <c r="J190" s="882"/>
    </row>
    <row r="191" spans="5:10" s="482" customFormat="1" ht="12.75">
      <c r="E191" s="493"/>
      <c r="F191" s="891"/>
      <c r="G191" s="882"/>
      <c r="H191" s="882"/>
      <c r="I191" s="882"/>
      <c r="J191" s="882"/>
    </row>
    <row r="192" spans="5:10" s="482" customFormat="1" ht="12.75">
      <c r="E192" s="493"/>
      <c r="F192" s="891"/>
      <c r="G192" s="882"/>
      <c r="H192" s="882"/>
      <c r="I192" s="882"/>
      <c r="J192" s="882"/>
    </row>
    <row r="193" spans="5:10" s="482" customFormat="1" ht="12.75">
      <c r="E193" s="493"/>
      <c r="F193" s="891"/>
      <c r="G193" s="882"/>
      <c r="H193" s="882"/>
      <c r="I193" s="882"/>
      <c r="J193" s="882"/>
    </row>
    <row r="194" spans="5:10" s="482" customFormat="1" ht="12.75">
      <c r="E194" s="493"/>
      <c r="F194" s="891"/>
      <c r="G194" s="882"/>
      <c r="H194" s="882"/>
      <c r="I194" s="882"/>
      <c r="J194" s="882"/>
    </row>
    <row r="195" spans="5:10" s="482" customFormat="1" ht="12.75">
      <c r="E195" s="493"/>
      <c r="F195" s="891"/>
      <c r="G195" s="882"/>
      <c r="H195" s="882"/>
      <c r="I195" s="882"/>
      <c r="J195" s="882"/>
    </row>
    <row r="196" spans="5:10" s="482" customFormat="1" ht="12.75">
      <c r="E196" s="493"/>
      <c r="F196" s="891"/>
      <c r="G196" s="882"/>
      <c r="H196" s="882"/>
      <c r="I196" s="882"/>
      <c r="J196" s="882"/>
    </row>
    <row r="197" spans="5:10" s="482" customFormat="1" ht="12.75">
      <c r="E197" s="493"/>
      <c r="F197" s="891"/>
      <c r="G197" s="882"/>
      <c r="H197" s="882"/>
      <c r="I197" s="882"/>
      <c r="J197" s="882"/>
    </row>
    <row r="198" spans="5:10" s="482" customFormat="1" ht="12.75">
      <c r="E198" s="493"/>
      <c r="F198" s="891"/>
      <c r="G198" s="882"/>
      <c r="H198" s="882"/>
      <c r="I198" s="882"/>
      <c r="J198" s="882"/>
    </row>
    <row r="199" spans="5:10" s="482" customFormat="1" ht="12.75">
      <c r="E199" s="493"/>
      <c r="F199" s="891"/>
      <c r="G199" s="882"/>
      <c r="H199" s="882"/>
      <c r="I199" s="882"/>
      <c r="J199" s="882"/>
    </row>
    <row r="200" spans="5:10" s="482" customFormat="1" ht="12.75">
      <c r="E200" s="493"/>
      <c r="F200" s="891"/>
      <c r="G200" s="882"/>
      <c r="H200" s="882"/>
      <c r="I200" s="882"/>
      <c r="J200" s="882"/>
    </row>
    <row r="201" spans="5:10" s="482" customFormat="1" ht="12.75">
      <c r="E201" s="493"/>
      <c r="F201" s="891"/>
      <c r="G201" s="882"/>
      <c r="H201" s="882"/>
      <c r="I201" s="882"/>
      <c r="J201" s="882"/>
    </row>
    <row r="202" spans="5:10" s="482" customFormat="1" ht="12.75">
      <c r="E202" s="493"/>
      <c r="F202" s="891"/>
      <c r="G202" s="882"/>
      <c r="H202" s="882"/>
      <c r="I202" s="882"/>
      <c r="J202" s="882"/>
    </row>
    <row r="203" spans="5:10" s="482" customFormat="1" ht="12.75">
      <c r="E203" s="493"/>
      <c r="F203" s="891"/>
      <c r="G203" s="882"/>
      <c r="H203" s="882"/>
      <c r="I203" s="882"/>
      <c r="J203" s="882"/>
    </row>
    <row r="204" spans="5:10" s="482" customFormat="1" ht="12.75">
      <c r="E204" s="493"/>
      <c r="F204" s="891"/>
      <c r="G204" s="882"/>
      <c r="H204" s="882"/>
      <c r="I204" s="882"/>
      <c r="J204" s="882"/>
    </row>
    <row r="205" spans="5:10" s="482" customFormat="1" ht="12.75">
      <c r="E205" s="493"/>
      <c r="F205" s="891"/>
      <c r="G205" s="882"/>
      <c r="H205" s="882"/>
      <c r="I205" s="882"/>
      <c r="J205" s="882"/>
    </row>
    <row r="206" spans="5:10" s="482" customFormat="1" ht="12.75">
      <c r="E206" s="493"/>
      <c r="F206" s="891"/>
      <c r="G206" s="882"/>
      <c r="H206" s="882"/>
      <c r="I206" s="882"/>
      <c r="J206" s="882"/>
    </row>
    <row r="207" spans="5:10" s="482" customFormat="1" ht="12.75">
      <c r="E207" s="493"/>
      <c r="F207" s="891"/>
      <c r="G207" s="882"/>
      <c r="H207" s="882"/>
      <c r="I207" s="882"/>
      <c r="J207" s="882"/>
    </row>
    <row r="208" spans="5:10" s="482" customFormat="1" ht="12.75">
      <c r="E208" s="493"/>
      <c r="F208" s="891"/>
      <c r="G208" s="882"/>
      <c r="H208" s="882"/>
      <c r="I208" s="882"/>
      <c r="J208" s="882"/>
    </row>
    <row r="209" spans="5:10" s="482" customFormat="1" ht="12.75">
      <c r="E209" s="493"/>
      <c r="F209" s="891"/>
      <c r="G209" s="882"/>
      <c r="H209" s="882"/>
      <c r="I209" s="882"/>
      <c r="J209" s="882"/>
    </row>
    <row r="210" spans="5:10" s="482" customFormat="1" ht="12.75">
      <c r="E210" s="493"/>
      <c r="F210" s="891"/>
      <c r="G210" s="882"/>
      <c r="H210" s="882"/>
      <c r="I210" s="882"/>
      <c r="J210" s="882"/>
    </row>
    <row r="211" spans="5:10" s="482" customFormat="1" ht="12.75">
      <c r="E211" s="493"/>
      <c r="F211" s="891"/>
      <c r="G211" s="882"/>
      <c r="H211" s="882"/>
      <c r="I211" s="882"/>
      <c r="J211" s="882"/>
    </row>
    <row r="212" spans="5:10" s="482" customFormat="1" ht="12.75">
      <c r="E212" s="493"/>
      <c r="F212" s="891"/>
      <c r="G212" s="882"/>
      <c r="H212" s="882"/>
      <c r="I212" s="882"/>
      <c r="J212" s="882"/>
    </row>
    <row r="213" spans="5:10" s="482" customFormat="1" ht="12.75">
      <c r="E213" s="493"/>
      <c r="F213" s="891"/>
      <c r="G213" s="882"/>
      <c r="H213" s="882"/>
      <c r="I213" s="882"/>
      <c r="J213" s="882"/>
    </row>
    <row r="214" spans="5:10" s="482" customFormat="1" ht="12.75">
      <c r="E214" s="493"/>
      <c r="F214" s="891"/>
      <c r="G214" s="882"/>
      <c r="H214" s="882"/>
      <c r="I214" s="882"/>
      <c r="J214" s="882"/>
    </row>
    <row r="215" spans="5:10" s="482" customFormat="1" ht="12.75">
      <c r="E215" s="493"/>
      <c r="F215" s="891"/>
      <c r="G215" s="882"/>
      <c r="H215" s="882"/>
      <c r="I215" s="882"/>
      <c r="J215" s="882"/>
    </row>
    <row r="216" spans="5:10" s="482" customFormat="1" ht="12.75">
      <c r="E216" s="493"/>
      <c r="F216" s="891"/>
      <c r="G216" s="882"/>
      <c r="H216" s="882"/>
      <c r="I216" s="882"/>
      <c r="J216" s="882"/>
    </row>
    <row r="217" spans="5:10" s="482" customFormat="1" ht="12.75">
      <c r="E217" s="493"/>
      <c r="F217" s="891"/>
      <c r="G217" s="882"/>
      <c r="H217" s="882"/>
      <c r="I217" s="882"/>
      <c r="J217" s="882"/>
    </row>
    <row r="218" spans="5:10" s="482" customFormat="1" ht="12.75">
      <c r="E218" s="493"/>
      <c r="F218" s="891"/>
      <c r="G218" s="882"/>
      <c r="H218" s="882"/>
      <c r="I218" s="882"/>
      <c r="J218" s="882"/>
    </row>
    <row r="219" spans="5:10" s="482" customFormat="1" ht="12.75">
      <c r="E219" s="493"/>
      <c r="F219" s="891"/>
      <c r="G219" s="882"/>
      <c r="H219" s="882"/>
      <c r="I219" s="882"/>
      <c r="J219" s="882"/>
    </row>
    <row r="220" spans="5:10" s="482" customFormat="1" ht="12.75">
      <c r="E220" s="493"/>
      <c r="F220" s="891"/>
      <c r="G220" s="882"/>
      <c r="H220" s="882"/>
      <c r="I220" s="882"/>
      <c r="J220" s="882"/>
    </row>
    <row r="221" spans="5:10" s="482" customFormat="1" ht="12.75">
      <c r="E221" s="493"/>
      <c r="F221" s="891"/>
      <c r="G221" s="882"/>
      <c r="H221" s="882"/>
      <c r="I221" s="882"/>
      <c r="J221" s="882"/>
    </row>
    <row r="222" spans="5:10" s="482" customFormat="1" ht="12.75">
      <c r="E222" s="493"/>
      <c r="F222" s="891"/>
      <c r="G222" s="882"/>
      <c r="H222" s="882"/>
      <c r="I222" s="882"/>
      <c r="J222" s="882"/>
    </row>
    <row r="223" spans="5:10" s="482" customFormat="1" ht="12.75">
      <c r="E223" s="493"/>
      <c r="F223" s="891"/>
      <c r="G223" s="882"/>
      <c r="H223" s="882"/>
      <c r="I223" s="882"/>
      <c r="J223" s="882"/>
    </row>
    <row r="224" spans="5:10" s="482" customFormat="1" ht="12.75">
      <c r="E224" s="493"/>
      <c r="F224" s="891"/>
      <c r="G224" s="882"/>
      <c r="H224" s="882"/>
      <c r="I224" s="882"/>
      <c r="J224" s="882"/>
    </row>
    <row r="225" spans="5:10" s="482" customFormat="1" ht="12.75">
      <c r="E225" s="493"/>
      <c r="F225" s="891"/>
      <c r="G225" s="882"/>
      <c r="H225" s="882"/>
      <c r="I225" s="882"/>
      <c r="J225" s="882"/>
    </row>
    <row r="226" spans="5:10" s="482" customFormat="1" ht="12.75">
      <c r="E226" s="493"/>
      <c r="F226" s="891"/>
      <c r="G226" s="882"/>
      <c r="H226" s="882"/>
      <c r="I226" s="882"/>
      <c r="J226" s="882"/>
    </row>
    <row r="227" spans="5:10" s="482" customFormat="1" ht="12.75">
      <c r="E227" s="493"/>
      <c r="F227" s="891"/>
      <c r="G227" s="882"/>
      <c r="H227" s="882"/>
      <c r="I227" s="882"/>
      <c r="J227" s="882"/>
    </row>
    <row r="228" spans="5:10" s="482" customFormat="1" ht="12.75">
      <c r="E228" s="493"/>
      <c r="F228" s="891"/>
      <c r="G228" s="882"/>
      <c r="H228" s="882"/>
      <c r="I228" s="882"/>
      <c r="J228" s="882"/>
    </row>
    <row r="229" spans="5:10" s="482" customFormat="1" ht="12.75">
      <c r="E229" s="493"/>
      <c r="F229" s="891"/>
      <c r="G229" s="882"/>
      <c r="H229" s="882"/>
      <c r="I229" s="882"/>
      <c r="J229" s="882"/>
    </row>
    <row r="230" spans="5:10" s="482" customFormat="1" ht="12.75">
      <c r="E230" s="493"/>
      <c r="F230" s="891"/>
      <c r="G230" s="882"/>
      <c r="H230" s="882"/>
      <c r="I230" s="882"/>
      <c r="J230" s="882"/>
    </row>
    <row r="231" spans="5:10" s="482" customFormat="1" ht="12.75">
      <c r="E231" s="493"/>
      <c r="F231" s="891"/>
      <c r="G231" s="882"/>
      <c r="H231" s="882"/>
      <c r="I231" s="882"/>
      <c r="J231" s="882"/>
    </row>
    <row r="232" spans="5:10" s="482" customFormat="1" ht="12.75">
      <c r="E232" s="493"/>
      <c r="F232" s="891"/>
      <c r="G232" s="882"/>
      <c r="H232" s="882"/>
      <c r="I232" s="882"/>
      <c r="J232" s="882"/>
    </row>
    <row r="233" spans="5:10" s="482" customFormat="1" ht="12.75">
      <c r="E233" s="493"/>
      <c r="F233" s="891"/>
      <c r="G233" s="882"/>
      <c r="H233" s="882"/>
      <c r="I233" s="882"/>
      <c r="J233" s="882"/>
    </row>
    <row r="234" spans="5:10" s="482" customFormat="1" ht="12.75">
      <c r="E234" s="493"/>
      <c r="F234" s="891"/>
      <c r="G234" s="882"/>
      <c r="H234" s="882"/>
      <c r="I234" s="882"/>
      <c r="J234" s="882"/>
    </row>
    <row r="235" spans="5:10" s="482" customFormat="1" ht="12.75">
      <c r="E235" s="493"/>
      <c r="F235" s="891"/>
      <c r="G235" s="882"/>
      <c r="H235" s="882"/>
      <c r="I235" s="882"/>
      <c r="J235" s="882"/>
    </row>
    <row r="236" spans="5:10" s="482" customFormat="1" ht="12.75">
      <c r="E236" s="493"/>
      <c r="F236" s="891"/>
      <c r="G236" s="882"/>
      <c r="H236" s="882"/>
      <c r="I236" s="882"/>
      <c r="J236" s="882"/>
    </row>
    <row r="237" spans="5:10" s="482" customFormat="1" ht="12.75">
      <c r="E237" s="493"/>
      <c r="F237" s="891"/>
      <c r="G237" s="882"/>
      <c r="H237" s="882"/>
      <c r="I237" s="882"/>
      <c r="J237" s="882"/>
    </row>
    <row r="238" spans="5:10" s="482" customFormat="1" ht="12.75">
      <c r="E238" s="493"/>
      <c r="F238" s="891"/>
      <c r="G238" s="882"/>
      <c r="H238" s="882"/>
      <c r="I238" s="882"/>
      <c r="J238" s="882"/>
    </row>
    <row r="239" spans="5:10" s="482" customFormat="1" ht="12.75">
      <c r="E239" s="493"/>
      <c r="F239" s="891"/>
      <c r="G239" s="882"/>
      <c r="H239" s="882"/>
      <c r="I239" s="882"/>
      <c r="J239" s="882"/>
    </row>
    <row r="240" spans="5:10" s="482" customFormat="1" ht="12.75">
      <c r="E240" s="493"/>
      <c r="F240" s="891"/>
      <c r="G240" s="882"/>
      <c r="H240" s="882"/>
      <c r="I240" s="882"/>
      <c r="J240" s="882"/>
    </row>
    <row r="241" spans="5:10" s="482" customFormat="1" ht="12.75">
      <c r="E241" s="493"/>
      <c r="F241" s="891"/>
      <c r="G241" s="882"/>
      <c r="H241" s="882"/>
      <c r="I241" s="882"/>
      <c r="J241" s="882"/>
    </row>
    <row r="242" spans="5:10" s="482" customFormat="1" ht="12.75">
      <c r="E242" s="493"/>
      <c r="F242" s="891"/>
      <c r="G242" s="882"/>
      <c r="H242" s="882"/>
      <c r="I242" s="882"/>
      <c r="J242" s="882"/>
    </row>
    <row r="243" spans="5:10" s="482" customFormat="1" ht="12.75">
      <c r="E243" s="493"/>
      <c r="F243" s="891"/>
      <c r="G243" s="882"/>
      <c r="H243" s="882"/>
      <c r="I243" s="882"/>
      <c r="J243" s="882"/>
    </row>
    <row r="244" spans="5:10" s="482" customFormat="1" ht="12.75">
      <c r="E244" s="493"/>
      <c r="F244" s="891"/>
      <c r="G244" s="882"/>
      <c r="H244" s="882"/>
      <c r="I244" s="882"/>
      <c r="J244" s="882"/>
    </row>
    <row r="245" spans="5:10" s="482" customFormat="1" ht="12.75">
      <c r="E245" s="493"/>
      <c r="F245" s="891"/>
      <c r="G245" s="882"/>
      <c r="H245" s="882"/>
      <c r="I245" s="882"/>
      <c r="J245" s="882"/>
    </row>
    <row r="246" spans="5:10" s="482" customFormat="1" ht="12.75">
      <c r="E246" s="493"/>
      <c r="F246" s="891"/>
      <c r="G246" s="882"/>
      <c r="H246" s="882"/>
      <c r="I246" s="882"/>
      <c r="J246" s="882"/>
    </row>
    <row r="247" spans="5:10" s="482" customFormat="1" ht="12.75">
      <c r="E247" s="493"/>
      <c r="F247" s="891"/>
      <c r="G247" s="882"/>
      <c r="H247" s="882"/>
      <c r="I247" s="882"/>
      <c r="J247" s="882"/>
    </row>
    <row r="248" spans="5:10" s="482" customFormat="1" ht="12.75">
      <c r="E248" s="493"/>
      <c r="F248" s="891"/>
      <c r="G248" s="882"/>
      <c r="H248" s="882"/>
      <c r="I248" s="882"/>
      <c r="J248" s="882"/>
    </row>
    <row r="249" spans="5:10" s="482" customFormat="1" ht="12.75">
      <c r="E249" s="493"/>
      <c r="F249" s="891"/>
      <c r="G249" s="882"/>
      <c r="H249" s="882"/>
      <c r="I249" s="882"/>
      <c r="J249" s="882"/>
    </row>
    <row r="250" spans="5:10" s="482" customFormat="1" ht="12.75">
      <c r="E250" s="493"/>
      <c r="F250" s="891"/>
      <c r="G250" s="882"/>
      <c r="H250" s="882"/>
      <c r="I250" s="882"/>
      <c r="J250" s="882"/>
    </row>
    <row r="251" spans="5:10" s="482" customFormat="1" ht="12.75">
      <c r="E251" s="493"/>
      <c r="F251" s="891"/>
      <c r="G251" s="882"/>
      <c r="H251" s="882"/>
      <c r="I251" s="882"/>
      <c r="J251" s="882"/>
    </row>
    <row r="252" spans="5:10" s="482" customFormat="1" ht="12.75">
      <c r="E252" s="493"/>
      <c r="F252" s="891"/>
      <c r="G252" s="882"/>
      <c r="H252" s="882"/>
      <c r="I252" s="882"/>
      <c r="J252" s="882"/>
    </row>
    <row r="253" spans="5:10" s="482" customFormat="1" ht="12.75">
      <c r="E253" s="493"/>
      <c r="F253" s="891"/>
      <c r="G253" s="882"/>
      <c r="H253" s="882"/>
      <c r="I253" s="882"/>
      <c r="J253" s="882"/>
    </row>
    <row r="254" spans="5:10" s="482" customFormat="1" ht="12.75">
      <c r="E254" s="493"/>
      <c r="F254" s="891"/>
      <c r="G254" s="882"/>
      <c r="H254" s="882"/>
      <c r="I254" s="882"/>
      <c r="J254" s="882"/>
    </row>
    <row r="255" spans="5:10" s="482" customFormat="1" ht="12.75">
      <c r="E255" s="493"/>
      <c r="F255" s="891"/>
      <c r="G255" s="882"/>
      <c r="H255" s="882"/>
      <c r="I255" s="882"/>
      <c r="J255" s="882"/>
    </row>
    <row r="256" spans="5:10" s="482" customFormat="1" ht="12.75">
      <c r="E256" s="493"/>
      <c r="F256" s="891"/>
      <c r="G256" s="882"/>
      <c r="H256" s="882"/>
      <c r="I256" s="882"/>
      <c r="J256" s="882"/>
    </row>
    <row r="257" spans="5:10" s="482" customFormat="1" ht="12.75">
      <c r="E257" s="493"/>
      <c r="F257" s="891"/>
      <c r="G257" s="882"/>
      <c r="H257" s="882"/>
      <c r="I257" s="882"/>
      <c r="J257" s="882"/>
    </row>
    <row r="258" spans="5:10" s="482" customFormat="1" ht="12.75">
      <c r="E258" s="493"/>
      <c r="F258" s="891"/>
      <c r="G258" s="882"/>
      <c r="H258" s="882"/>
      <c r="I258" s="882"/>
      <c r="J258" s="882"/>
    </row>
    <row r="259" spans="5:10" s="482" customFormat="1" ht="12.75">
      <c r="E259" s="493"/>
      <c r="F259" s="891"/>
      <c r="G259" s="882"/>
      <c r="H259" s="882"/>
      <c r="I259" s="882"/>
      <c r="J259" s="882"/>
    </row>
    <row r="260" spans="5:10" s="482" customFormat="1" ht="12.75">
      <c r="E260" s="493"/>
      <c r="F260" s="891"/>
      <c r="G260" s="882"/>
      <c r="H260" s="882"/>
      <c r="I260" s="882"/>
      <c r="J260" s="882"/>
    </row>
    <row r="261" spans="5:10" s="482" customFormat="1" ht="12.75">
      <c r="E261" s="493"/>
      <c r="F261" s="891"/>
      <c r="G261" s="882"/>
      <c r="H261" s="882"/>
      <c r="I261" s="882"/>
      <c r="J261" s="882"/>
    </row>
    <row r="262" spans="5:10" s="482" customFormat="1" ht="12.75">
      <c r="E262" s="493"/>
      <c r="F262" s="891"/>
      <c r="G262" s="882"/>
      <c r="H262" s="882"/>
      <c r="I262" s="882"/>
      <c r="J262" s="882"/>
    </row>
    <row r="263" spans="5:10" s="482" customFormat="1" ht="12.75">
      <c r="E263" s="493"/>
      <c r="F263" s="891"/>
      <c r="G263" s="882"/>
      <c r="H263" s="882"/>
      <c r="I263" s="882"/>
      <c r="J263" s="882"/>
    </row>
    <row r="264" spans="5:10" s="482" customFormat="1" ht="12.75">
      <c r="E264" s="493"/>
      <c r="F264" s="891"/>
      <c r="G264" s="882"/>
      <c r="H264" s="882"/>
      <c r="I264" s="882"/>
      <c r="J264" s="882"/>
    </row>
    <row r="265" spans="5:10" s="482" customFormat="1" ht="12.75">
      <c r="E265" s="493"/>
      <c r="F265" s="891"/>
      <c r="G265" s="882"/>
      <c r="H265" s="882"/>
      <c r="I265" s="882"/>
      <c r="J265" s="882"/>
    </row>
    <row r="266" spans="5:10" s="482" customFormat="1" ht="12.75">
      <c r="E266" s="493"/>
      <c r="F266" s="891"/>
      <c r="G266" s="882"/>
      <c r="H266" s="882"/>
      <c r="I266" s="882"/>
      <c r="J266" s="882"/>
    </row>
    <row r="267" spans="5:10" s="482" customFormat="1" ht="12.75">
      <c r="E267" s="493"/>
      <c r="F267" s="891"/>
      <c r="G267" s="882"/>
      <c r="H267" s="882"/>
      <c r="I267" s="882"/>
      <c r="J267" s="882"/>
    </row>
    <row r="268" spans="5:10" s="482" customFormat="1" ht="12.75">
      <c r="E268" s="493"/>
      <c r="F268" s="891"/>
      <c r="G268" s="882"/>
      <c r="H268" s="882"/>
      <c r="I268" s="882"/>
      <c r="J268" s="882"/>
    </row>
    <row r="269" spans="5:10" s="482" customFormat="1" ht="12.75">
      <c r="E269" s="493"/>
      <c r="F269" s="891"/>
      <c r="G269" s="882"/>
      <c r="H269" s="882"/>
      <c r="I269" s="882"/>
      <c r="J269" s="882"/>
    </row>
    <row r="270" spans="5:10" s="482" customFormat="1" ht="12.75">
      <c r="E270" s="493"/>
      <c r="F270" s="891"/>
      <c r="G270" s="882"/>
      <c r="H270" s="882"/>
      <c r="I270" s="882"/>
      <c r="J270" s="882"/>
    </row>
    <row r="271" spans="5:10" s="482" customFormat="1" ht="12.75">
      <c r="E271" s="493"/>
      <c r="F271" s="891"/>
      <c r="G271" s="882"/>
      <c r="H271" s="882"/>
      <c r="I271" s="882"/>
      <c r="J271" s="882"/>
    </row>
    <row r="272" spans="5:10" s="482" customFormat="1" ht="12.75">
      <c r="E272" s="493"/>
      <c r="F272" s="891"/>
      <c r="G272" s="882"/>
      <c r="H272" s="882"/>
      <c r="I272" s="882"/>
      <c r="J272" s="882"/>
    </row>
    <row r="273" spans="5:10" s="482" customFormat="1" ht="12.75">
      <c r="E273" s="493"/>
      <c r="F273" s="891"/>
      <c r="G273" s="882"/>
      <c r="H273" s="882"/>
      <c r="I273" s="882"/>
      <c r="J273" s="882"/>
    </row>
    <row r="274" spans="5:10" s="482" customFormat="1" ht="12.75">
      <c r="E274" s="493"/>
      <c r="F274" s="891"/>
      <c r="G274" s="882"/>
      <c r="H274" s="882"/>
      <c r="I274" s="882"/>
      <c r="J274" s="882"/>
    </row>
    <row r="275" spans="5:10" s="482" customFormat="1" ht="12.75">
      <c r="E275" s="493"/>
      <c r="F275" s="891"/>
      <c r="G275" s="882"/>
      <c r="H275" s="882"/>
      <c r="I275" s="882"/>
      <c r="J275" s="882"/>
    </row>
    <row r="276" spans="5:10" s="482" customFormat="1" ht="12.75">
      <c r="E276" s="493"/>
      <c r="F276" s="891"/>
      <c r="G276" s="882"/>
      <c r="H276" s="882"/>
      <c r="I276" s="882"/>
      <c r="J276" s="882"/>
    </row>
    <row r="277" spans="5:10" s="482" customFormat="1" ht="12.75">
      <c r="E277" s="493"/>
      <c r="F277" s="891"/>
      <c r="G277" s="882"/>
      <c r="H277" s="882"/>
      <c r="I277" s="882"/>
      <c r="J277" s="882"/>
    </row>
    <row r="278" spans="5:10" s="482" customFormat="1" ht="12.75">
      <c r="E278" s="493"/>
      <c r="F278" s="891"/>
      <c r="G278" s="882"/>
      <c r="H278" s="882"/>
      <c r="I278" s="882"/>
      <c r="J278" s="882"/>
    </row>
    <row r="279" spans="5:10" s="482" customFormat="1" ht="12.75">
      <c r="E279" s="493"/>
      <c r="F279" s="891"/>
      <c r="G279" s="882"/>
      <c r="H279" s="882"/>
      <c r="I279" s="882"/>
      <c r="J279" s="882"/>
    </row>
    <row r="280" spans="5:10" s="482" customFormat="1" ht="12.75">
      <c r="E280" s="493"/>
      <c r="F280" s="891"/>
      <c r="G280" s="882"/>
      <c r="H280" s="882"/>
      <c r="I280" s="882"/>
      <c r="J280" s="882"/>
    </row>
    <row r="281" spans="5:10" s="482" customFormat="1" ht="12.75">
      <c r="E281" s="493"/>
      <c r="F281" s="891"/>
      <c r="G281" s="882"/>
      <c r="H281" s="882"/>
      <c r="I281" s="882"/>
      <c r="J281" s="882"/>
    </row>
    <row r="282" spans="5:10" s="482" customFormat="1" ht="12.75">
      <c r="E282" s="493"/>
      <c r="F282" s="891"/>
      <c r="G282" s="882"/>
      <c r="H282" s="882"/>
      <c r="I282" s="882"/>
      <c r="J282" s="882"/>
    </row>
    <row r="283" spans="5:10" s="482" customFormat="1" ht="12.75">
      <c r="E283" s="493"/>
      <c r="F283" s="891"/>
      <c r="G283" s="882"/>
      <c r="H283" s="882"/>
      <c r="I283" s="882"/>
      <c r="J283" s="882"/>
    </row>
    <row r="284" spans="5:10" s="482" customFormat="1" ht="12.75">
      <c r="E284" s="493"/>
      <c r="F284" s="891"/>
      <c r="G284" s="882"/>
      <c r="H284" s="882"/>
      <c r="I284" s="882"/>
      <c r="J284" s="882"/>
    </row>
    <row r="285" spans="5:10" s="482" customFormat="1" ht="12.75">
      <c r="E285" s="493"/>
      <c r="F285" s="891"/>
      <c r="G285" s="882"/>
      <c r="H285" s="882"/>
      <c r="I285" s="882"/>
      <c r="J285" s="882"/>
    </row>
    <row r="286" spans="5:10" s="482" customFormat="1" ht="12.75">
      <c r="E286" s="493"/>
      <c r="F286" s="891"/>
      <c r="G286" s="882"/>
      <c r="H286" s="882"/>
      <c r="I286" s="882"/>
      <c r="J286" s="882"/>
    </row>
    <row r="287" spans="5:10" s="482" customFormat="1" ht="12.75">
      <c r="E287" s="493"/>
      <c r="F287" s="891"/>
      <c r="G287" s="882"/>
      <c r="H287" s="882"/>
      <c r="I287" s="882"/>
      <c r="J287" s="882"/>
    </row>
    <row r="288" spans="5:10" s="482" customFormat="1" ht="12.75">
      <c r="E288" s="493"/>
      <c r="F288" s="891"/>
      <c r="G288" s="882"/>
      <c r="H288" s="882"/>
      <c r="I288" s="882"/>
      <c r="J288" s="882"/>
    </row>
    <row r="289" spans="5:10" s="482" customFormat="1" ht="12.75">
      <c r="E289" s="493"/>
      <c r="F289" s="891"/>
      <c r="G289" s="882"/>
      <c r="H289" s="882"/>
      <c r="I289" s="882"/>
      <c r="J289" s="882"/>
    </row>
    <row r="290" spans="5:10" s="482" customFormat="1" ht="12.75">
      <c r="E290" s="493"/>
      <c r="F290" s="891"/>
      <c r="G290" s="882"/>
      <c r="H290" s="882"/>
      <c r="I290" s="882"/>
      <c r="J290" s="882"/>
    </row>
    <row r="291" spans="5:10" s="482" customFormat="1" ht="12.75">
      <c r="E291" s="493"/>
      <c r="F291" s="891"/>
      <c r="G291" s="882"/>
      <c r="H291" s="882"/>
      <c r="I291" s="882"/>
      <c r="J291" s="882"/>
    </row>
    <row r="292" spans="5:10" s="482" customFormat="1" ht="12.75">
      <c r="E292" s="493"/>
      <c r="F292" s="891"/>
      <c r="G292" s="882"/>
      <c r="H292" s="882"/>
      <c r="I292" s="882"/>
      <c r="J292" s="882"/>
    </row>
    <row r="293" spans="5:10" s="482" customFormat="1" ht="12.75">
      <c r="E293" s="493"/>
      <c r="F293" s="891"/>
      <c r="G293" s="882"/>
      <c r="H293" s="882"/>
      <c r="I293" s="882"/>
      <c r="J293" s="882"/>
    </row>
    <row r="294" spans="5:10" s="482" customFormat="1" ht="12.75">
      <c r="E294" s="493"/>
      <c r="F294" s="891"/>
      <c r="G294" s="882"/>
      <c r="H294" s="882"/>
      <c r="I294" s="882"/>
      <c r="J294" s="882"/>
    </row>
    <row r="295" spans="5:10" s="482" customFormat="1" ht="12.75">
      <c r="E295" s="493"/>
      <c r="F295" s="891"/>
      <c r="G295" s="882"/>
      <c r="H295" s="882"/>
      <c r="I295" s="882"/>
      <c r="J295" s="882"/>
    </row>
    <row r="296" spans="5:10" s="482" customFormat="1" ht="12.75">
      <c r="E296" s="493"/>
      <c r="F296" s="891"/>
      <c r="G296" s="882"/>
      <c r="H296" s="882"/>
      <c r="I296" s="882"/>
      <c r="J296" s="882"/>
    </row>
    <row r="297" spans="5:10" s="482" customFormat="1" ht="12.75">
      <c r="E297" s="493"/>
      <c r="F297" s="891"/>
      <c r="G297" s="882"/>
      <c r="H297" s="882"/>
      <c r="I297" s="882"/>
      <c r="J297" s="882"/>
    </row>
    <row r="298" spans="5:10" s="482" customFormat="1" ht="12.75">
      <c r="E298" s="493"/>
      <c r="F298" s="891"/>
      <c r="G298" s="882"/>
      <c r="H298" s="882"/>
      <c r="I298" s="882"/>
      <c r="J298" s="882"/>
    </row>
    <row r="299" spans="5:10" s="482" customFormat="1" ht="12.75">
      <c r="E299" s="493"/>
      <c r="F299" s="891"/>
      <c r="G299" s="882"/>
      <c r="H299" s="882"/>
      <c r="I299" s="882"/>
      <c r="J299" s="882"/>
    </row>
    <row r="300" spans="5:10" s="482" customFormat="1" ht="12.75">
      <c r="E300" s="493"/>
      <c r="F300" s="891"/>
      <c r="G300" s="882"/>
      <c r="H300" s="882"/>
      <c r="I300" s="882"/>
      <c r="J300" s="882"/>
    </row>
    <row r="301" spans="5:10" s="482" customFormat="1" ht="12.75">
      <c r="E301" s="493"/>
      <c r="F301" s="891"/>
      <c r="G301" s="882"/>
      <c r="H301" s="882"/>
      <c r="I301" s="882"/>
      <c r="J301" s="882"/>
    </row>
    <row r="302" spans="5:10" s="482" customFormat="1" ht="12.75">
      <c r="E302" s="493"/>
      <c r="F302" s="891"/>
      <c r="G302" s="882"/>
      <c r="H302" s="882"/>
      <c r="I302" s="882"/>
      <c r="J302" s="882"/>
    </row>
    <row r="303" spans="5:10" s="482" customFormat="1" ht="12.75">
      <c r="E303" s="493"/>
      <c r="F303" s="891"/>
      <c r="G303" s="882"/>
      <c r="H303" s="882"/>
      <c r="I303" s="882"/>
      <c r="J303" s="882"/>
    </row>
    <row r="304" spans="5:10" s="482" customFormat="1" ht="12.75">
      <c r="E304" s="493"/>
      <c r="F304" s="891"/>
      <c r="G304" s="882"/>
      <c r="H304" s="882"/>
      <c r="I304" s="882"/>
      <c r="J304" s="882"/>
    </row>
    <row r="305" spans="5:10" s="482" customFormat="1" ht="12.75">
      <c r="E305" s="493"/>
      <c r="F305" s="891"/>
      <c r="G305" s="882"/>
      <c r="H305" s="882"/>
      <c r="I305" s="882"/>
      <c r="J305" s="882"/>
    </row>
    <row r="306" spans="5:10" s="482" customFormat="1" ht="12.75">
      <c r="E306" s="493"/>
      <c r="F306" s="891"/>
      <c r="G306" s="882"/>
      <c r="H306" s="882"/>
      <c r="I306" s="882"/>
      <c r="J306" s="882"/>
    </row>
    <row r="307" spans="5:10" s="482" customFormat="1" ht="12.75">
      <c r="E307" s="493"/>
      <c r="F307" s="891"/>
      <c r="G307" s="882"/>
      <c r="H307" s="882"/>
      <c r="I307" s="882"/>
      <c r="J307" s="882"/>
    </row>
    <row r="308" spans="5:10" s="482" customFormat="1" ht="12.75">
      <c r="E308" s="493"/>
      <c r="F308" s="891"/>
      <c r="G308" s="882"/>
      <c r="H308" s="882"/>
      <c r="I308" s="882"/>
      <c r="J308" s="882"/>
    </row>
    <row r="309" spans="5:10" s="482" customFormat="1" ht="12.75">
      <c r="E309" s="493"/>
      <c r="F309" s="891"/>
      <c r="G309" s="882"/>
      <c r="H309" s="882"/>
      <c r="I309" s="882"/>
      <c r="J309" s="882"/>
    </row>
    <row r="310" spans="5:10" s="482" customFormat="1" ht="12.75">
      <c r="E310" s="493"/>
      <c r="F310" s="891"/>
      <c r="G310" s="882"/>
      <c r="H310" s="882"/>
      <c r="I310" s="882"/>
      <c r="J310" s="882"/>
    </row>
    <row r="311" spans="5:10" s="482" customFormat="1" ht="12.75">
      <c r="E311" s="493"/>
      <c r="F311" s="891"/>
      <c r="G311" s="882"/>
      <c r="H311" s="882"/>
      <c r="I311" s="882"/>
      <c r="J311" s="882"/>
    </row>
    <row r="312" spans="5:10" s="482" customFormat="1" ht="12.75">
      <c r="E312" s="493"/>
      <c r="F312" s="891"/>
      <c r="G312" s="882"/>
      <c r="H312" s="882"/>
      <c r="I312" s="882"/>
      <c r="J312" s="882"/>
    </row>
    <row r="313" spans="5:10" s="482" customFormat="1" ht="12.75">
      <c r="E313" s="493"/>
      <c r="F313" s="891"/>
      <c r="G313" s="882"/>
      <c r="H313" s="882"/>
      <c r="I313" s="882"/>
      <c r="J313" s="882"/>
    </row>
    <row r="314" spans="5:10" s="482" customFormat="1" ht="12.75">
      <c r="E314" s="493"/>
      <c r="F314" s="891"/>
      <c r="G314" s="882"/>
      <c r="H314" s="882"/>
      <c r="I314" s="882"/>
      <c r="J314" s="882"/>
    </row>
    <row r="315" spans="5:10" s="482" customFormat="1" ht="12.75">
      <c r="E315" s="493"/>
      <c r="F315" s="891"/>
      <c r="G315" s="882"/>
      <c r="H315" s="882"/>
      <c r="I315" s="882"/>
      <c r="J315" s="882"/>
    </row>
    <row r="316" spans="5:10" s="482" customFormat="1" ht="12.75">
      <c r="E316" s="493"/>
      <c r="F316" s="891"/>
      <c r="G316" s="882"/>
      <c r="H316" s="882"/>
      <c r="I316" s="882"/>
      <c r="J316" s="882"/>
    </row>
    <row r="317" spans="5:10" s="482" customFormat="1" ht="12.75">
      <c r="E317" s="493"/>
      <c r="F317" s="891"/>
      <c r="G317" s="882"/>
      <c r="H317" s="882"/>
      <c r="I317" s="882"/>
      <c r="J317" s="882"/>
    </row>
    <row r="318" spans="5:10" s="482" customFormat="1" ht="12.75">
      <c r="E318" s="493"/>
      <c r="F318" s="891"/>
      <c r="G318" s="882"/>
      <c r="H318" s="882"/>
      <c r="I318" s="882"/>
      <c r="J318" s="882"/>
    </row>
    <row r="319" spans="5:10" s="482" customFormat="1" ht="12.75">
      <c r="E319" s="493"/>
      <c r="F319" s="891"/>
      <c r="G319" s="882"/>
      <c r="H319" s="882"/>
      <c r="I319" s="882"/>
      <c r="J319" s="882"/>
    </row>
    <row r="320" spans="5:10" s="482" customFormat="1" ht="12.75">
      <c r="E320" s="493"/>
      <c r="F320" s="891"/>
      <c r="G320" s="882"/>
      <c r="H320" s="882"/>
      <c r="I320" s="882"/>
      <c r="J320" s="882"/>
    </row>
    <row r="321" spans="5:10" s="482" customFormat="1" ht="12.75">
      <c r="E321" s="493"/>
      <c r="F321" s="891"/>
      <c r="G321" s="882"/>
      <c r="H321" s="882"/>
      <c r="I321" s="882"/>
      <c r="J321" s="882"/>
    </row>
    <row r="322" spans="5:10" s="482" customFormat="1" ht="12.75">
      <c r="E322" s="493"/>
      <c r="F322" s="891"/>
      <c r="G322" s="882"/>
      <c r="H322" s="882"/>
      <c r="I322" s="882"/>
      <c r="J322" s="882"/>
    </row>
    <row r="323" spans="5:10" s="482" customFormat="1" ht="12.75">
      <c r="E323" s="493"/>
      <c r="F323" s="891"/>
      <c r="G323" s="882"/>
      <c r="H323" s="882"/>
      <c r="I323" s="882"/>
      <c r="J323" s="882"/>
    </row>
    <row r="324" spans="5:10" s="482" customFormat="1" ht="12.75">
      <c r="E324" s="493"/>
      <c r="F324" s="891"/>
      <c r="G324" s="882"/>
      <c r="H324" s="882"/>
      <c r="I324" s="882"/>
      <c r="J324" s="882"/>
    </row>
    <row r="325" spans="5:10" s="482" customFormat="1" ht="12.75">
      <c r="E325" s="493"/>
      <c r="F325" s="891"/>
      <c r="G325" s="882"/>
      <c r="H325" s="882"/>
      <c r="I325" s="882"/>
      <c r="J325" s="882"/>
    </row>
    <row r="326" spans="5:10" s="482" customFormat="1" ht="12.75">
      <c r="E326" s="493"/>
      <c r="F326" s="891"/>
      <c r="G326" s="882"/>
      <c r="H326" s="882"/>
      <c r="I326" s="882"/>
      <c r="J326" s="882"/>
    </row>
    <row r="327" spans="5:10" s="482" customFormat="1" ht="12.75">
      <c r="E327" s="493"/>
      <c r="F327" s="891"/>
      <c r="G327" s="882"/>
      <c r="H327" s="882"/>
      <c r="I327" s="882"/>
      <c r="J327" s="882"/>
    </row>
    <row r="328" spans="5:10" s="482" customFormat="1" ht="12.75">
      <c r="E328" s="493"/>
      <c r="F328" s="891"/>
      <c r="G328" s="882"/>
      <c r="H328" s="882"/>
      <c r="I328" s="882"/>
      <c r="J328" s="882"/>
    </row>
    <row r="329" spans="5:10" s="482" customFormat="1" ht="12.75">
      <c r="E329" s="493"/>
      <c r="F329" s="891"/>
      <c r="G329" s="882"/>
      <c r="H329" s="882"/>
      <c r="I329" s="882"/>
      <c r="J329" s="882"/>
    </row>
    <row r="330" spans="5:10" s="482" customFormat="1" ht="12.75">
      <c r="E330" s="493"/>
      <c r="F330" s="891"/>
      <c r="G330" s="882"/>
      <c r="H330" s="882"/>
      <c r="I330" s="882"/>
      <c r="J330" s="882"/>
    </row>
    <row r="331" spans="5:10" s="482" customFormat="1" ht="12.75">
      <c r="E331" s="493"/>
      <c r="F331" s="891"/>
      <c r="G331" s="882"/>
      <c r="H331" s="882"/>
      <c r="I331" s="882"/>
      <c r="J331" s="882"/>
    </row>
    <row r="332" spans="5:10" s="482" customFormat="1" ht="12.75">
      <c r="E332" s="493"/>
      <c r="F332" s="891"/>
      <c r="G332" s="882"/>
      <c r="H332" s="882"/>
      <c r="I332" s="882"/>
      <c r="J332" s="882"/>
    </row>
    <row r="333" spans="5:10" s="482" customFormat="1" ht="12.75">
      <c r="E333" s="493"/>
      <c r="F333" s="891"/>
      <c r="G333" s="882"/>
      <c r="H333" s="882"/>
      <c r="I333" s="882"/>
      <c r="J333" s="882"/>
    </row>
    <row r="334" spans="5:10" s="482" customFormat="1" ht="12.75">
      <c r="E334" s="493"/>
      <c r="F334" s="891"/>
      <c r="G334" s="882"/>
      <c r="H334" s="882"/>
      <c r="I334" s="882"/>
      <c r="J334" s="882"/>
    </row>
    <row r="335" spans="5:10" s="482" customFormat="1" ht="12.75">
      <c r="E335" s="493"/>
      <c r="F335" s="891"/>
      <c r="G335" s="882"/>
      <c r="H335" s="882"/>
      <c r="I335" s="882"/>
      <c r="J335" s="882"/>
    </row>
    <row r="336" spans="5:10" s="482" customFormat="1" ht="12.75">
      <c r="E336" s="493"/>
      <c r="F336" s="891"/>
      <c r="G336" s="882"/>
      <c r="H336" s="882"/>
      <c r="I336" s="882"/>
      <c r="J336" s="882"/>
    </row>
    <row r="337" spans="5:10" s="482" customFormat="1" ht="12.75">
      <c r="E337" s="493"/>
      <c r="F337" s="891"/>
      <c r="G337" s="882"/>
      <c r="H337" s="882"/>
      <c r="I337" s="882"/>
      <c r="J337" s="882"/>
    </row>
    <row r="338" spans="5:10" s="482" customFormat="1" ht="12.75">
      <c r="E338" s="493"/>
      <c r="F338" s="891"/>
      <c r="G338" s="882"/>
      <c r="H338" s="882"/>
      <c r="I338" s="882"/>
      <c r="J338" s="882"/>
    </row>
    <row r="339" spans="5:10" s="482" customFormat="1" ht="12.75">
      <c r="E339" s="493"/>
      <c r="F339" s="891"/>
      <c r="G339" s="882"/>
      <c r="H339" s="882"/>
      <c r="I339" s="882"/>
      <c r="J339" s="882"/>
    </row>
    <row r="340" spans="5:10" s="482" customFormat="1" ht="12.75">
      <c r="E340" s="493"/>
      <c r="F340" s="891"/>
      <c r="G340" s="882"/>
      <c r="H340" s="882"/>
      <c r="I340" s="882"/>
      <c r="J340" s="882"/>
    </row>
    <row r="341" spans="5:10" s="482" customFormat="1" ht="12.75">
      <c r="E341" s="493"/>
      <c r="F341" s="891"/>
      <c r="G341" s="882"/>
      <c r="H341" s="882"/>
      <c r="I341" s="882"/>
      <c r="J341" s="882"/>
    </row>
    <row r="342" spans="5:10" s="482" customFormat="1" ht="12.75">
      <c r="E342" s="493"/>
      <c r="F342" s="891"/>
      <c r="G342" s="882"/>
      <c r="H342" s="882"/>
      <c r="I342" s="882"/>
      <c r="J342" s="882"/>
    </row>
    <row r="343" spans="5:10" s="482" customFormat="1" ht="12.75">
      <c r="E343" s="493"/>
      <c r="F343" s="891"/>
      <c r="G343" s="882"/>
      <c r="H343" s="882"/>
      <c r="I343" s="882"/>
      <c r="J343" s="882"/>
    </row>
    <row r="344" spans="5:10" s="482" customFormat="1" ht="12.75">
      <c r="E344" s="493"/>
      <c r="F344" s="891"/>
      <c r="G344" s="882"/>
      <c r="H344" s="882"/>
      <c r="I344" s="882"/>
      <c r="J344" s="882"/>
    </row>
    <row r="345" spans="5:10" s="482" customFormat="1" ht="12.75">
      <c r="E345" s="493"/>
      <c r="F345" s="891"/>
      <c r="G345" s="882"/>
      <c r="H345" s="882"/>
      <c r="I345" s="882"/>
      <c r="J345" s="882"/>
    </row>
    <row r="346" spans="5:10" s="482" customFormat="1" ht="12.75">
      <c r="E346" s="493"/>
      <c r="F346" s="891"/>
      <c r="G346" s="882"/>
      <c r="H346" s="882"/>
      <c r="I346" s="882"/>
      <c r="J346" s="882"/>
    </row>
    <row r="347" spans="5:10" s="482" customFormat="1" ht="12.75">
      <c r="E347" s="493"/>
      <c r="F347" s="891"/>
      <c r="G347" s="882"/>
      <c r="H347" s="882"/>
      <c r="I347" s="882"/>
      <c r="J347" s="882"/>
    </row>
    <row r="348" spans="5:10" s="482" customFormat="1" ht="12.75">
      <c r="E348" s="493"/>
      <c r="F348" s="891"/>
      <c r="G348" s="882"/>
      <c r="H348" s="882"/>
      <c r="I348" s="882"/>
      <c r="J348" s="882"/>
    </row>
    <row r="349" spans="5:10" s="482" customFormat="1" ht="12.75">
      <c r="E349" s="493"/>
      <c r="F349" s="891"/>
      <c r="G349" s="882"/>
      <c r="H349" s="882"/>
      <c r="I349" s="882"/>
      <c r="J349" s="882"/>
    </row>
    <row r="350" spans="5:10" s="482" customFormat="1" ht="12.75">
      <c r="E350" s="493"/>
      <c r="F350" s="891"/>
      <c r="G350" s="882"/>
      <c r="H350" s="882"/>
      <c r="I350" s="882"/>
      <c r="J350" s="882"/>
    </row>
    <row r="351" spans="5:10" s="482" customFormat="1" ht="12.75">
      <c r="E351" s="493"/>
      <c r="F351" s="891"/>
      <c r="G351" s="882"/>
      <c r="H351" s="882"/>
      <c r="I351" s="882"/>
      <c r="J351" s="882"/>
    </row>
    <row r="352" spans="5:10" s="482" customFormat="1" ht="12.75">
      <c r="E352" s="493"/>
      <c r="F352" s="891"/>
      <c r="G352" s="882"/>
      <c r="H352" s="882"/>
      <c r="I352" s="882"/>
      <c r="J352" s="882"/>
    </row>
    <row r="353" spans="5:10" s="482" customFormat="1" ht="12.75">
      <c r="E353" s="493"/>
      <c r="F353" s="891"/>
      <c r="G353" s="882"/>
      <c r="H353" s="882"/>
      <c r="I353" s="882"/>
      <c r="J353" s="882"/>
    </row>
    <row r="354" spans="5:10" s="482" customFormat="1" ht="12.75">
      <c r="E354" s="493"/>
      <c r="F354" s="891"/>
      <c r="G354" s="882"/>
      <c r="H354" s="882"/>
      <c r="I354" s="882"/>
      <c r="J354" s="882"/>
    </row>
    <row r="355" spans="5:10" s="482" customFormat="1" ht="12.75">
      <c r="E355" s="493"/>
      <c r="F355" s="891"/>
      <c r="G355" s="882"/>
      <c r="H355" s="882"/>
      <c r="I355" s="882"/>
      <c r="J355" s="882"/>
    </row>
    <row r="356" spans="5:10" s="482" customFormat="1" ht="12.75">
      <c r="E356" s="493"/>
      <c r="F356" s="891"/>
      <c r="G356" s="882"/>
      <c r="H356" s="882"/>
      <c r="I356" s="882"/>
      <c r="J356" s="882"/>
    </row>
    <row r="357" spans="5:10" s="482" customFormat="1" ht="12.75">
      <c r="E357" s="493"/>
      <c r="F357" s="891"/>
      <c r="G357" s="882"/>
      <c r="H357" s="882"/>
      <c r="I357" s="882"/>
      <c r="J357" s="882"/>
    </row>
    <row r="358" spans="5:10" s="482" customFormat="1" ht="12.75">
      <c r="E358" s="493"/>
      <c r="F358" s="891"/>
      <c r="G358" s="882"/>
      <c r="H358" s="882"/>
      <c r="I358" s="882"/>
      <c r="J358" s="882"/>
    </row>
    <row r="359" spans="5:10" s="482" customFormat="1" ht="12.75">
      <c r="E359" s="493"/>
      <c r="F359" s="891"/>
      <c r="G359" s="882"/>
      <c r="H359" s="882"/>
      <c r="I359" s="882"/>
      <c r="J359" s="882"/>
    </row>
    <row r="360" spans="5:10" s="482" customFormat="1" ht="12.75">
      <c r="E360" s="493"/>
      <c r="F360" s="891"/>
      <c r="G360" s="882"/>
      <c r="H360" s="882"/>
      <c r="I360" s="882"/>
      <c r="J360" s="882"/>
    </row>
    <row r="361" spans="5:10" s="482" customFormat="1" ht="12.75">
      <c r="E361" s="493"/>
      <c r="F361" s="891"/>
      <c r="G361" s="882"/>
      <c r="H361" s="882"/>
      <c r="I361" s="882"/>
      <c r="J361" s="882"/>
    </row>
    <row r="362" spans="5:10" s="482" customFormat="1" ht="12.75">
      <c r="E362" s="493"/>
      <c r="F362" s="891"/>
      <c r="G362" s="882"/>
      <c r="H362" s="882"/>
      <c r="I362" s="882"/>
      <c r="J362" s="882"/>
    </row>
    <row r="363" spans="5:10" s="482" customFormat="1" ht="12.75">
      <c r="E363" s="493"/>
      <c r="F363" s="891"/>
      <c r="G363" s="882"/>
      <c r="H363" s="882"/>
      <c r="I363" s="882"/>
      <c r="J363" s="882"/>
    </row>
    <row r="364" spans="5:10" s="482" customFormat="1" ht="12.75">
      <c r="E364" s="493"/>
      <c r="F364" s="891"/>
      <c r="G364" s="882"/>
      <c r="H364" s="882"/>
      <c r="I364" s="882"/>
      <c r="J364" s="882"/>
    </row>
    <row r="365" spans="5:10" s="482" customFormat="1" ht="12.75">
      <c r="E365" s="493"/>
      <c r="F365" s="891"/>
      <c r="G365" s="882"/>
      <c r="H365" s="882"/>
      <c r="I365" s="882"/>
      <c r="J365" s="882"/>
    </row>
    <row r="366" spans="5:10" s="482" customFormat="1" ht="12.75">
      <c r="E366" s="493"/>
      <c r="F366" s="891"/>
      <c r="G366" s="882"/>
      <c r="H366" s="882"/>
      <c r="I366" s="882"/>
      <c r="J366" s="882"/>
    </row>
    <row r="367" spans="5:10" s="482" customFormat="1" ht="12.75">
      <c r="E367" s="493"/>
      <c r="F367" s="891"/>
      <c r="G367" s="882"/>
      <c r="H367" s="882"/>
      <c r="I367" s="882"/>
      <c r="J367" s="882"/>
    </row>
    <row r="368" spans="5:10" s="482" customFormat="1" ht="12.75">
      <c r="E368" s="493"/>
      <c r="F368" s="891"/>
      <c r="G368" s="882"/>
      <c r="H368" s="882"/>
      <c r="I368" s="882"/>
      <c r="J368" s="882"/>
    </row>
    <row r="369" spans="5:10" s="482" customFormat="1" ht="12.75">
      <c r="E369" s="493"/>
      <c r="F369" s="891"/>
      <c r="G369" s="882"/>
      <c r="H369" s="882"/>
      <c r="I369" s="882"/>
      <c r="J369" s="882"/>
    </row>
    <row r="370" spans="5:10" s="482" customFormat="1" ht="12.75">
      <c r="E370" s="493"/>
      <c r="F370" s="891"/>
      <c r="G370" s="882"/>
      <c r="H370" s="882"/>
      <c r="I370" s="882"/>
      <c r="J370" s="882"/>
    </row>
    <row r="371" spans="5:10" s="482" customFormat="1" ht="12.75">
      <c r="E371" s="493"/>
      <c r="F371" s="891"/>
      <c r="G371" s="882"/>
      <c r="H371" s="882"/>
      <c r="I371" s="882"/>
      <c r="J371" s="882"/>
    </row>
    <row r="372" spans="5:10" s="482" customFormat="1" ht="12.75">
      <c r="E372" s="493"/>
      <c r="F372" s="891"/>
      <c r="G372" s="882"/>
      <c r="H372" s="882"/>
      <c r="I372" s="882"/>
      <c r="J372" s="882"/>
    </row>
    <row r="373" spans="5:10" s="482" customFormat="1" ht="12.75">
      <c r="E373" s="493"/>
      <c r="F373" s="891"/>
      <c r="G373" s="882"/>
      <c r="H373" s="882"/>
      <c r="I373" s="882"/>
      <c r="J373" s="882"/>
    </row>
    <row r="374" spans="5:10" s="482" customFormat="1" ht="12.75">
      <c r="E374" s="493"/>
      <c r="F374" s="891"/>
      <c r="G374" s="882"/>
      <c r="H374" s="882"/>
      <c r="I374" s="882"/>
      <c r="J374" s="882"/>
    </row>
    <row r="375" spans="5:10" s="482" customFormat="1" ht="12.75">
      <c r="E375" s="493"/>
      <c r="F375" s="891"/>
      <c r="G375" s="882"/>
      <c r="H375" s="882"/>
      <c r="I375" s="882"/>
      <c r="J375" s="882"/>
    </row>
    <row r="376" spans="5:10" s="482" customFormat="1" ht="12.75">
      <c r="E376" s="493"/>
      <c r="F376" s="891"/>
      <c r="G376" s="882"/>
      <c r="H376" s="882"/>
      <c r="I376" s="882"/>
      <c r="J376" s="882"/>
    </row>
    <row r="377" spans="5:10" s="482" customFormat="1" ht="12.75">
      <c r="E377" s="493"/>
      <c r="F377" s="891"/>
      <c r="G377" s="882"/>
      <c r="H377" s="882"/>
      <c r="I377" s="882"/>
      <c r="J377" s="882"/>
    </row>
    <row r="378" spans="5:10" s="482" customFormat="1" ht="12.75">
      <c r="E378" s="493"/>
      <c r="F378" s="891"/>
      <c r="G378" s="882"/>
      <c r="H378" s="882"/>
      <c r="I378" s="882"/>
      <c r="J378" s="882"/>
    </row>
    <row r="379" spans="5:10" s="482" customFormat="1" ht="12.75">
      <c r="E379" s="493"/>
      <c r="F379" s="891"/>
      <c r="G379" s="882"/>
      <c r="H379" s="882"/>
      <c r="I379" s="882"/>
      <c r="J379" s="882"/>
    </row>
    <row r="380" spans="5:10" s="482" customFormat="1" ht="12.75">
      <c r="E380" s="493"/>
      <c r="F380" s="891"/>
      <c r="G380" s="882"/>
      <c r="H380" s="882"/>
      <c r="I380" s="882"/>
      <c r="J380" s="882"/>
    </row>
    <row r="381" spans="5:10" s="482" customFormat="1" ht="12.75">
      <c r="E381" s="493"/>
      <c r="F381" s="891"/>
      <c r="G381" s="882"/>
      <c r="H381" s="882"/>
      <c r="I381" s="882"/>
      <c r="J381" s="882"/>
    </row>
    <row r="382" spans="5:10" s="482" customFormat="1" ht="12.75">
      <c r="E382" s="493"/>
      <c r="F382" s="891"/>
      <c r="G382" s="882"/>
      <c r="H382" s="882"/>
      <c r="I382" s="882"/>
      <c r="J382" s="882"/>
    </row>
    <row r="383" spans="5:10" s="482" customFormat="1" ht="12.75">
      <c r="E383" s="493"/>
      <c r="F383" s="891"/>
      <c r="G383" s="882"/>
      <c r="H383" s="882"/>
      <c r="I383" s="882"/>
      <c r="J383" s="882"/>
    </row>
    <row r="384" spans="5:10" s="482" customFormat="1" ht="12.75">
      <c r="E384" s="493"/>
      <c r="F384" s="891"/>
      <c r="G384" s="882"/>
      <c r="H384" s="882"/>
      <c r="I384" s="882"/>
      <c r="J384" s="882"/>
    </row>
    <row r="385" spans="5:10" s="482" customFormat="1" ht="12.75">
      <c r="E385" s="493"/>
      <c r="F385" s="891"/>
      <c r="G385" s="882"/>
      <c r="H385" s="882"/>
      <c r="I385" s="882"/>
      <c r="J385" s="882"/>
    </row>
    <row r="386" spans="5:10" s="482" customFormat="1" ht="12.75">
      <c r="E386" s="493"/>
      <c r="F386" s="891"/>
      <c r="G386" s="882"/>
      <c r="H386" s="882"/>
      <c r="I386" s="882"/>
      <c r="J386" s="882"/>
    </row>
    <row r="387" spans="5:10" s="482" customFormat="1" ht="12.75">
      <c r="E387" s="493"/>
      <c r="F387" s="891"/>
      <c r="G387" s="882"/>
      <c r="H387" s="882"/>
      <c r="I387" s="882"/>
      <c r="J387" s="882"/>
    </row>
    <row r="388" spans="5:10" s="482" customFormat="1" ht="12.75">
      <c r="E388" s="493"/>
      <c r="F388" s="891"/>
      <c r="G388" s="882"/>
      <c r="H388" s="882"/>
      <c r="I388" s="882"/>
      <c r="J388" s="882"/>
    </row>
    <row r="389" spans="5:10" s="482" customFormat="1" ht="12.75">
      <c r="E389" s="493"/>
      <c r="F389" s="891"/>
      <c r="G389" s="882"/>
      <c r="H389" s="882"/>
      <c r="I389" s="882"/>
      <c r="J389" s="882"/>
    </row>
    <row r="390" spans="5:10" s="482" customFormat="1" ht="12.75">
      <c r="E390" s="493"/>
      <c r="F390" s="891"/>
      <c r="G390" s="882"/>
      <c r="H390" s="882"/>
      <c r="I390" s="882"/>
      <c r="J390" s="882"/>
    </row>
    <row r="391" spans="5:10" s="482" customFormat="1" ht="12.75">
      <c r="E391" s="493"/>
      <c r="F391" s="891"/>
      <c r="G391" s="882"/>
      <c r="H391" s="882"/>
      <c r="I391" s="882"/>
      <c r="J391" s="882"/>
    </row>
    <row r="392" spans="5:10" s="482" customFormat="1" ht="12.75">
      <c r="E392" s="493"/>
      <c r="F392" s="891"/>
      <c r="G392" s="882"/>
      <c r="H392" s="882"/>
      <c r="I392" s="882"/>
      <c r="J392" s="882"/>
    </row>
    <row r="393" spans="5:10" s="482" customFormat="1" ht="12.75">
      <c r="E393" s="493"/>
      <c r="F393" s="891"/>
      <c r="G393" s="882"/>
      <c r="H393" s="882"/>
      <c r="I393" s="882"/>
      <c r="J393" s="882"/>
    </row>
    <row r="394" spans="5:10" s="482" customFormat="1" ht="12.75">
      <c r="E394" s="493"/>
      <c r="F394" s="891"/>
      <c r="G394" s="882"/>
      <c r="H394" s="882"/>
      <c r="I394" s="882"/>
      <c r="J394" s="882"/>
    </row>
    <row r="395" spans="5:10" s="482" customFormat="1" ht="12.75">
      <c r="E395" s="493"/>
      <c r="F395" s="891"/>
      <c r="G395" s="882"/>
      <c r="H395" s="882"/>
      <c r="I395" s="882"/>
      <c r="J395" s="882"/>
    </row>
    <row r="396" spans="5:10" s="482" customFormat="1" ht="12.75">
      <c r="E396" s="493"/>
      <c r="F396" s="891"/>
      <c r="G396" s="882"/>
      <c r="H396" s="882"/>
      <c r="I396" s="882"/>
      <c r="J396" s="882"/>
    </row>
    <row r="397" spans="5:10" s="482" customFormat="1" ht="12.75">
      <c r="E397" s="493"/>
      <c r="F397" s="891"/>
      <c r="G397" s="882"/>
      <c r="H397" s="882"/>
      <c r="I397" s="882"/>
      <c r="J397" s="882"/>
    </row>
    <row r="398" spans="5:10" s="482" customFormat="1" ht="12.75">
      <c r="E398" s="493"/>
      <c r="F398" s="891"/>
      <c r="G398" s="882"/>
      <c r="H398" s="882"/>
      <c r="I398" s="882"/>
      <c r="J398" s="882"/>
    </row>
    <row r="399" spans="5:10" s="482" customFormat="1" ht="12.75">
      <c r="E399" s="493"/>
      <c r="F399" s="891"/>
      <c r="G399" s="882"/>
      <c r="H399" s="882"/>
      <c r="I399" s="882"/>
      <c r="J399" s="882"/>
    </row>
    <row r="400" spans="5:10" s="482" customFormat="1" ht="12.75">
      <c r="E400" s="493"/>
      <c r="F400" s="891"/>
      <c r="G400" s="882"/>
      <c r="H400" s="882"/>
      <c r="I400" s="882"/>
      <c r="J400" s="882"/>
    </row>
    <row r="401" spans="5:10" s="482" customFormat="1" ht="12.75">
      <c r="E401" s="493"/>
      <c r="F401" s="891"/>
      <c r="G401" s="882"/>
      <c r="H401" s="882"/>
      <c r="I401" s="882"/>
      <c r="J401" s="882"/>
    </row>
    <row r="402" spans="5:10" s="482" customFormat="1" ht="12.75">
      <c r="E402" s="493"/>
      <c r="F402" s="891"/>
      <c r="G402" s="882"/>
      <c r="H402" s="882"/>
      <c r="I402" s="882"/>
      <c r="J402" s="882"/>
    </row>
    <row r="403" spans="5:10" s="482" customFormat="1" ht="12.75">
      <c r="E403" s="493"/>
      <c r="F403" s="891"/>
      <c r="G403" s="882"/>
      <c r="H403" s="882"/>
      <c r="I403" s="882"/>
      <c r="J403" s="882"/>
    </row>
    <row r="404" spans="5:10" s="482" customFormat="1" ht="12.75">
      <c r="E404" s="493"/>
      <c r="F404" s="891"/>
      <c r="G404" s="882"/>
      <c r="H404" s="882"/>
      <c r="I404" s="882"/>
      <c r="J404" s="882"/>
    </row>
    <row r="405" spans="5:10" s="482" customFormat="1" ht="12.75">
      <c r="E405" s="493"/>
      <c r="F405" s="891"/>
      <c r="G405" s="882"/>
      <c r="H405" s="882"/>
      <c r="I405" s="882"/>
      <c r="J405" s="882"/>
    </row>
    <row r="406" spans="5:10" s="482" customFormat="1" ht="12.75">
      <c r="E406" s="493"/>
      <c r="F406" s="891"/>
      <c r="G406" s="882"/>
      <c r="H406" s="882"/>
      <c r="I406" s="882"/>
      <c r="J406" s="882"/>
    </row>
    <row r="407" spans="5:10" s="482" customFormat="1" ht="12.75">
      <c r="E407" s="493"/>
      <c r="F407" s="891"/>
      <c r="G407" s="882"/>
      <c r="H407" s="882"/>
      <c r="I407" s="882"/>
      <c r="J407" s="882"/>
    </row>
    <row r="408" spans="5:10" s="482" customFormat="1" ht="12.75">
      <c r="E408" s="493"/>
      <c r="F408" s="891"/>
      <c r="G408" s="882"/>
      <c r="H408" s="882"/>
      <c r="I408" s="882"/>
      <c r="J408" s="882"/>
    </row>
    <row r="409" spans="5:10" s="482" customFormat="1" ht="12.75">
      <c r="E409" s="493"/>
      <c r="F409" s="891"/>
      <c r="G409" s="882"/>
      <c r="H409" s="882"/>
      <c r="I409" s="882"/>
      <c r="J409" s="882"/>
    </row>
    <row r="410" spans="5:10" s="482" customFormat="1" ht="12.75">
      <c r="E410" s="493"/>
      <c r="F410" s="891"/>
      <c r="G410" s="882"/>
      <c r="H410" s="882"/>
      <c r="I410" s="882"/>
      <c r="J410" s="882"/>
    </row>
    <row r="411" spans="5:10" s="482" customFormat="1" ht="12.75">
      <c r="E411" s="493"/>
      <c r="F411" s="891"/>
      <c r="G411" s="882"/>
      <c r="H411" s="882"/>
      <c r="I411" s="882"/>
      <c r="J411" s="882"/>
    </row>
    <row r="412" spans="5:10" s="482" customFormat="1" ht="12.75">
      <c r="E412" s="493"/>
      <c r="F412" s="891"/>
      <c r="G412" s="882"/>
      <c r="H412" s="882"/>
      <c r="I412" s="882"/>
      <c r="J412" s="882"/>
    </row>
    <row r="413" spans="5:10" s="482" customFormat="1" ht="12.75">
      <c r="E413" s="493"/>
      <c r="F413" s="891"/>
      <c r="G413" s="882"/>
      <c r="H413" s="882"/>
      <c r="I413" s="882"/>
      <c r="J413" s="882"/>
    </row>
    <row r="414" spans="5:10" s="482" customFormat="1" ht="12.75">
      <c r="E414" s="493"/>
      <c r="F414" s="891"/>
      <c r="G414" s="882"/>
      <c r="H414" s="882"/>
      <c r="I414" s="882"/>
      <c r="J414" s="882"/>
    </row>
    <row r="415" spans="5:10" s="482" customFormat="1" ht="12.75">
      <c r="E415" s="493"/>
      <c r="F415" s="891"/>
      <c r="G415" s="882"/>
      <c r="H415" s="882"/>
      <c r="I415" s="882"/>
      <c r="J415" s="882"/>
    </row>
    <row r="416" spans="5:10" s="482" customFormat="1" ht="12.75">
      <c r="E416" s="493"/>
      <c r="F416" s="891"/>
      <c r="G416" s="882"/>
      <c r="H416" s="882"/>
      <c r="I416" s="882"/>
      <c r="J416" s="882"/>
    </row>
    <row r="417" spans="5:10" s="482" customFormat="1" ht="12.75">
      <c r="E417" s="493"/>
      <c r="F417" s="891"/>
      <c r="G417" s="882"/>
      <c r="H417" s="882"/>
      <c r="I417" s="882"/>
      <c r="J417" s="882"/>
    </row>
    <row r="418" spans="5:10" s="482" customFormat="1" ht="12.75">
      <c r="E418" s="493"/>
      <c r="F418" s="891"/>
      <c r="G418" s="882"/>
      <c r="H418" s="882"/>
      <c r="I418" s="882"/>
      <c r="J418" s="882"/>
    </row>
    <row r="419" spans="5:10" s="482" customFormat="1" ht="12.75">
      <c r="E419" s="493"/>
      <c r="F419" s="891"/>
      <c r="G419" s="882"/>
      <c r="H419" s="882"/>
      <c r="I419" s="882"/>
      <c r="J419" s="882"/>
    </row>
    <row r="420" spans="5:10" s="482" customFormat="1" ht="12.75">
      <c r="E420" s="493"/>
      <c r="F420" s="891"/>
      <c r="G420" s="882"/>
      <c r="H420" s="882"/>
      <c r="I420" s="882"/>
      <c r="J420" s="882"/>
    </row>
    <row r="421" spans="5:10" s="482" customFormat="1" ht="12.75">
      <c r="E421" s="493"/>
      <c r="F421" s="891"/>
      <c r="G421" s="882"/>
      <c r="H421" s="882"/>
      <c r="I421" s="882"/>
      <c r="J421" s="882"/>
    </row>
    <row r="422" spans="5:10" s="482" customFormat="1" ht="12.75">
      <c r="E422" s="493"/>
      <c r="F422" s="891"/>
      <c r="G422" s="882"/>
      <c r="H422" s="882"/>
      <c r="I422" s="882"/>
      <c r="J422" s="882"/>
    </row>
    <row r="423" spans="5:10" s="482" customFormat="1" ht="12.75">
      <c r="E423" s="493"/>
      <c r="F423" s="891"/>
      <c r="G423" s="882"/>
      <c r="H423" s="882"/>
      <c r="I423" s="882"/>
      <c r="J423" s="882"/>
    </row>
    <row r="424" spans="5:10" s="482" customFormat="1" ht="12.75">
      <c r="E424" s="493"/>
      <c r="F424" s="891"/>
      <c r="G424" s="882"/>
      <c r="H424" s="882"/>
      <c r="I424" s="882"/>
      <c r="J424" s="882"/>
    </row>
    <row r="425" spans="5:10" s="482" customFormat="1" ht="12.75">
      <c r="E425" s="493"/>
      <c r="F425" s="891"/>
      <c r="G425" s="882"/>
      <c r="H425" s="882"/>
      <c r="I425" s="882"/>
      <c r="J425" s="882"/>
    </row>
    <row r="426" spans="5:10" s="482" customFormat="1" ht="12.75">
      <c r="E426" s="493"/>
      <c r="F426" s="891"/>
      <c r="G426" s="882"/>
      <c r="H426" s="882"/>
      <c r="I426" s="882"/>
      <c r="J426" s="882"/>
    </row>
    <row r="427" spans="5:10" s="482" customFormat="1" ht="12.75">
      <c r="E427" s="493"/>
      <c r="F427" s="891"/>
      <c r="G427" s="882"/>
      <c r="H427" s="882"/>
      <c r="I427" s="882"/>
      <c r="J427" s="882"/>
    </row>
    <row r="428" spans="5:10" s="482" customFormat="1" ht="12.75">
      <c r="E428" s="493"/>
      <c r="F428" s="891"/>
      <c r="G428" s="882"/>
      <c r="H428" s="882"/>
      <c r="I428" s="882"/>
      <c r="J428" s="882"/>
    </row>
    <row r="429" spans="5:10" s="482" customFormat="1" ht="12.75">
      <c r="E429" s="493"/>
      <c r="F429" s="891"/>
      <c r="G429" s="882"/>
      <c r="H429" s="882"/>
      <c r="I429" s="882"/>
      <c r="J429" s="882"/>
    </row>
    <row r="430" spans="5:10" s="482" customFormat="1" ht="12.75">
      <c r="E430" s="493"/>
      <c r="F430" s="891"/>
      <c r="G430" s="882"/>
      <c r="H430" s="882"/>
      <c r="I430" s="882"/>
      <c r="J430" s="882"/>
    </row>
    <row r="431" spans="5:10" s="482" customFormat="1" ht="12.75">
      <c r="E431" s="493"/>
      <c r="F431" s="891"/>
      <c r="G431" s="882"/>
      <c r="H431" s="882"/>
      <c r="I431" s="882"/>
      <c r="J431" s="882"/>
    </row>
    <row r="432" spans="5:10" s="482" customFormat="1" ht="12.75">
      <c r="E432" s="493"/>
      <c r="F432" s="891"/>
      <c r="G432" s="882"/>
      <c r="H432" s="882"/>
      <c r="I432" s="882"/>
      <c r="J432" s="882"/>
    </row>
    <row r="433" spans="5:10" s="482" customFormat="1" ht="12.75">
      <c r="E433" s="493"/>
      <c r="F433" s="891"/>
      <c r="G433" s="882"/>
      <c r="H433" s="882"/>
      <c r="I433" s="882"/>
      <c r="J433" s="882"/>
    </row>
    <row r="434" spans="5:10" s="482" customFormat="1" ht="12.75">
      <c r="E434" s="493"/>
      <c r="F434" s="891"/>
      <c r="G434" s="882"/>
      <c r="H434" s="882"/>
      <c r="I434" s="882"/>
      <c r="J434" s="882"/>
    </row>
    <row r="435" spans="5:10" s="482" customFormat="1" ht="12.75">
      <c r="E435" s="493"/>
      <c r="F435" s="891"/>
      <c r="G435" s="882"/>
      <c r="H435" s="882"/>
      <c r="I435" s="882"/>
      <c r="J435" s="882"/>
    </row>
    <row r="436" spans="5:10" s="482" customFormat="1" ht="12.75">
      <c r="E436" s="493"/>
      <c r="F436" s="891"/>
      <c r="G436" s="882"/>
      <c r="H436" s="882"/>
      <c r="I436" s="882"/>
      <c r="J436" s="882"/>
    </row>
    <row r="437" spans="5:10" s="482" customFormat="1" ht="12.75">
      <c r="E437" s="493"/>
      <c r="F437" s="891"/>
      <c r="G437" s="882"/>
      <c r="H437" s="882"/>
      <c r="I437" s="882"/>
      <c r="J437" s="882"/>
    </row>
    <row r="438" spans="5:10" s="482" customFormat="1" ht="12.75">
      <c r="E438" s="493"/>
      <c r="F438" s="891"/>
      <c r="G438" s="882"/>
      <c r="H438" s="882"/>
      <c r="I438" s="882"/>
      <c r="J438" s="882"/>
    </row>
    <row r="439" spans="5:10" s="482" customFormat="1" ht="12.75">
      <c r="E439" s="493"/>
      <c r="F439" s="891"/>
      <c r="G439" s="882"/>
      <c r="H439" s="882"/>
      <c r="I439" s="882"/>
      <c r="J439" s="882"/>
    </row>
    <row r="440" spans="5:10" s="482" customFormat="1" ht="12.75">
      <c r="E440" s="493"/>
      <c r="F440" s="891"/>
      <c r="G440" s="882"/>
      <c r="H440" s="882"/>
      <c r="I440" s="882"/>
      <c r="J440" s="882"/>
    </row>
    <row r="441" spans="5:10" s="482" customFormat="1" ht="12.75">
      <c r="E441" s="493"/>
      <c r="F441" s="891"/>
      <c r="G441" s="882"/>
      <c r="H441" s="882"/>
      <c r="I441" s="882"/>
      <c r="J441" s="882"/>
    </row>
    <row r="442" spans="5:10" s="482" customFormat="1" ht="12.75">
      <c r="E442" s="493"/>
      <c r="F442" s="891"/>
      <c r="G442" s="882"/>
      <c r="H442" s="882"/>
      <c r="I442" s="882"/>
      <c r="J442" s="882"/>
    </row>
    <row r="443" spans="5:10" s="482" customFormat="1" ht="12.75">
      <c r="E443" s="493"/>
      <c r="F443" s="891"/>
      <c r="G443" s="882"/>
      <c r="H443" s="882"/>
      <c r="I443" s="882"/>
      <c r="J443" s="882"/>
    </row>
    <row r="444" spans="5:10" s="482" customFormat="1" ht="12.75">
      <c r="E444" s="493"/>
      <c r="F444" s="891"/>
      <c r="G444" s="882"/>
      <c r="H444" s="882"/>
      <c r="I444" s="882"/>
      <c r="J444" s="882"/>
    </row>
    <row r="445" spans="5:10" s="482" customFormat="1" ht="12.75">
      <c r="E445" s="493"/>
      <c r="F445" s="891"/>
      <c r="G445" s="882"/>
      <c r="H445" s="882"/>
      <c r="I445" s="882"/>
      <c r="J445" s="882"/>
    </row>
    <row r="446" spans="5:10" s="482" customFormat="1" ht="12.75">
      <c r="E446" s="493"/>
      <c r="F446" s="891"/>
      <c r="G446" s="882"/>
      <c r="H446" s="882"/>
      <c r="I446" s="882"/>
      <c r="J446" s="882"/>
    </row>
    <row r="447" spans="5:10" s="482" customFormat="1" ht="12.75">
      <c r="E447" s="493"/>
      <c r="F447" s="891"/>
      <c r="G447" s="882"/>
      <c r="H447" s="882"/>
      <c r="I447" s="882"/>
      <c r="J447" s="882"/>
    </row>
    <row r="448" spans="5:10" s="482" customFormat="1" ht="12.75">
      <c r="E448" s="493"/>
      <c r="F448" s="891"/>
      <c r="G448" s="882"/>
      <c r="H448" s="882"/>
      <c r="I448" s="882"/>
      <c r="J448" s="882"/>
    </row>
    <row r="449" spans="5:10" s="482" customFormat="1" ht="12.75">
      <c r="E449" s="493"/>
      <c r="F449" s="891"/>
      <c r="G449" s="882"/>
      <c r="H449" s="882"/>
      <c r="I449" s="882"/>
      <c r="J449" s="882"/>
    </row>
    <row r="450" spans="5:10" s="482" customFormat="1" ht="12.75">
      <c r="E450" s="493"/>
      <c r="F450" s="891"/>
      <c r="G450" s="882"/>
      <c r="H450" s="882"/>
      <c r="I450" s="882"/>
      <c r="J450" s="882"/>
    </row>
    <row r="451" spans="5:10" s="482" customFormat="1" ht="12.75">
      <c r="E451" s="493"/>
      <c r="F451" s="891"/>
      <c r="G451" s="882"/>
      <c r="H451" s="882"/>
      <c r="I451" s="882"/>
      <c r="J451" s="882"/>
    </row>
    <row r="452" spans="5:10" s="482" customFormat="1" ht="12.75">
      <c r="E452" s="493"/>
      <c r="F452" s="891"/>
      <c r="G452" s="882"/>
      <c r="H452" s="882"/>
      <c r="I452" s="882"/>
      <c r="J452" s="882"/>
    </row>
    <row r="453" spans="5:10" s="482" customFormat="1" ht="12.75">
      <c r="E453" s="493"/>
      <c r="F453" s="891"/>
      <c r="G453" s="882"/>
      <c r="H453" s="882"/>
      <c r="I453" s="882"/>
      <c r="J453" s="882"/>
    </row>
    <row r="454" spans="5:10" s="482" customFormat="1" ht="12.75">
      <c r="E454" s="493"/>
      <c r="F454" s="891"/>
      <c r="G454" s="882"/>
      <c r="H454" s="882"/>
      <c r="I454" s="882"/>
      <c r="J454" s="882"/>
    </row>
    <row r="455" spans="5:10" s="482" customFormat="1" ht="12.75">
      <c r="E455" s="493"/>
      <c r="F455" s="891"/>
      <c r="G455" s="882"/>
      <c r="H455" s="882"/>
      <c r="I455" s="882"/>
      <c r="J455" s="882"/>
    </row>
    <row r="456" spans="5:10" s="482" customFormat="1" ht="12.75">
      <c r="E456" s="493"/>
      <c r="F456" s="891"/>
      <c r="G456" s="882"/>
      <c r="H456" s="882"/>
      <c r="I456" s="882"/>
      <c r="J456" s="882"/>
    </row>
    <row r="457" spans="5:10" s="482" customFormat="1" ht="12.75">
      <c r="E457" s="493"/>
      <c r="F457" s="891"/>
      <c r="G457" s="882"/>
      <c r="H457" s="882"/>
      <c r="I457" s="882"/>
      <c r="J457" s="882"/>
    </row>
    <row r="458" spans="5:10" s="482" customFormat="1" ht="12.75">
      <c r="E458" s="493"/>
      <c r="F458" s="891"/>
      <c r="G458" s="882"/>
      <c r="H458" s="882"/>
      <c r="I458" s="882"/>
      <c r="J458" s="882"/>
    </row>
    <row r="459" spans="5:10" s="482" customFormat="1" ht="12.75">
      <c r="E459" s="493"/>
      <c r="F459" s="891"/>
      <c r="G459" s="882"/>
      <c r="H459" s="882"/>
      <c r="I459" s="882"/>
      <c r="J459" s="882"/>
    </row>
    <row r="460" spans="5:10" s="482" customFormat="1" ht="12.75">
      <c r="E460" s="493"/>
      <c r="F460" s="891"/>
      <c r="G460" s="882"/>
      <c r="H460" s="882"/>
      <c r="I460" s="882"/>
      <c r="J460" s="882"/>
    </row>
    <row r="461" spans="5:10" s="482" customFormat="1" ht="12.75">
      <c r="E461" s="493"/>
      <c r="F461" s="891"/>
      <c r="G461" s="882"/>
      <c r="H461" s="882"/>
      <c r="I461" s="882"/>
      <c r="J461" s="882"/>
    </row>
    <row r="462" spans="5:10" s="482" customFormat="1" ht="12.75">
      <c r="E462" s="493"/>
      <c r="F462" s="891"/>
      <c r="G462" s="882"/>
      <c r="H462" s="882"/>
      <c r="I462" s="882"/>
      <c r="J462" s="882"/>
    </row>
    <row r="463" spans="5:10" s="482" customFormat="1" ht="12.75">
      <c r="E463" s="493"/>
      <c r="F463" s="891"/>
      <c r="G463" s="882"/>
      <c r="H463" s="882"/>
      <c r="I463" s="882"/>
      <c r="J463" s="882"/>
    </row>
    <row r="464" spans="5:10" s="482" customFormat="1" ht="12.75">
      <c r="E464" s="493"/>
      <c r="F464" s="891"/>
      <c r="G464" s="882"/>
      <c r="H464" s="882"/>
      <c r="I464" s="882"/>
      <c r="J464" s="882"/>
    </row>
    <row r="465" spans="5:10" s="482" customFormat="1" ht="12.75">
      <c r="E465" s="493"/>
      <c r="F465" s="891"/>
      <c r="G465" s="882"/>
      <c r="H465" s="882"/>
      <c r="I465" s="882"/>
      <c r="J465" s="882"/>
    </row>
    <row r="466" spans="5:10" s="482" customFormat="1" ht="12.75">
      <c r="E466" s="493"/>
      <c r="F466" s="891"/>
      <c r="G466" s="882"/>
      <c r="H466" s="882"/>
      <c r="I466" s="882"/>
      <c r="J466" s="882"/>
    </row>
    <row r="467" spans="5:10" s="482" customFormat="1" ht="12.75">
      <c r="E467" s="493"/>
      <c r="F467" s="891"/>
      <c r="G467" s="882"/>
      <c r="H467" s="882"/>
      <c r="I467" s="882"/>
      <c r="J467" s="882"/>
    </row>
    <row r="468" spans="5:10" s="482" customFormat="1" ht="12.75">
      <c r="E468" s="493"/>
      <c r="F468" s="891"/>
      <c r="G468" s="882"/>
      <c r="H468" s="882"/>
      <c r="I468" s="882"/>
      <c r="J468" s="882"/>
    </row>
    <row r="469" spans="5:10" s="482" customFormat="1" ht="12.75">
      <c r="E469" s="493"/>
      <c r="F469" s="891"/>
      <c r="G469" s="882"/>
      <c r="H469" s="882"/>
      <c r="I469" s="882"/>
      <c r="J469" s="882"/>
    </row>
    <row r="470" spans="5:10" s="482" customFormat="1" ht="12.75">
      <c r="E470" s="493"/>
      <c r="F470" s="891"/>
      <c r="G470" s="882"/>
      <c r="H470" s="882"/>
      <c r="I470" s="882"/>
      <c r="J470" s="882"/>
    </row>
    <row r="471" spans="5:10" s="482" customFormat="1" ht="12.75">
      <c r="E471" s="493"/>
      <c r="F471" s="891"/>
      <c r="G471" s="882"/>
      <c r="H471" s="882"/>
      <c r="I471" s="882"/>
      <c r="J471" s="882"/>
    </row>
    <row r="472" spans="5:10" s="482" customFormat="1" ht="12.75">
      <c r="E472" s="493"/>
      <c r="F472" s="891"/>
      <c r="G472" s="882"/>
      <c r="H472" s="882"/>
      <c r="I472" s="882"/>
      <c r="J472" s="882"/>
    </row>
    <row r="473" spans="5:10" s="482" customFormat="1" ht="12.75">
      <c r="E473" s="493"/>
      <c r="F473" s="891"/>
      <c r="G473" s="882"/>
      <c r="H473" s="882"/>
      <c r="I473" s="882"/>
      <c r="J473" s="882"/>
    </row>
    <row r="474" spans="5:10" s="482" customFormat="1" ht="12.75">
      <c r="E474" s="493"/>
      <c r="F474" s="891"/>
      <c r="G474" s="882"/>
      <c r="H474" s="882"/>
      <c r="I474" s="882"/>
      <c r="J474" s="882"/>
    </row>
    <row r="475" spans="5:10" s="482" customFormat="1" ht="12.75">
      <c r="E475" s="493"/>
      <c r="F475" s="891"/>
      <c r="G475" s="882"/>
      <c r="H475" s="882"/>
      <c r="I475" s="882"/>
      <c r="J475" s="882"/>
    </row>
    <row r="476" spans="5:10" s="482" customFormat="1" ht="12.75">
      <c r="E476" s="493"/>
      <c r="F476" s="891"/>
      <c r="G476" s="882"/>
      <c r="H476" s="882"/>
      <c r="I476" s="882"/>
      <c r="J476" s="882"/>
    </row>
    <row r="477" spans="5:10" s="482" customFormat="1" ht="12.75">
      <c r="E477" s="493"/>
      <c r="F477" s="891"/>
      <c r="G477" s="882"/>
      <c r="H477" s="882"/>
      <c r="I477" s="882"/>
      <c r="J477" s="882"/>
    </row>
    <row r="478" spans="5:10" s="482" customFormat="1" ht="12.75">
      <c r="E478" s="493"/>
      <c r="F478" s="891"/>
      <c r="G478" s="882"/>
      <c r="H478" s="882"/>
      <c r="I478" s="882"/>
      <c r="J478" s="882"/>
    </row>
    <row r="479" spans="5:10" s="482" customFormat="1" ht="12.75">
      <c r="E479" s="493"/>
      <c r="F479" s="891"/>
      <c r="G479" s="882"/>
      <c r="H479" s="882"/>
      <c r="I479" s="882"/>
      <c r="J479" s="882"/>
    </row>
    <row r="480" spans="5:10" s="482" customFormat="1" ht="12.75">
      <c r="E480" s="493"/>
      <c r="F480" s="891"/>
      <c r="G480" s="882"/>
      <c r="H480" s="882"/>
      <c r="I480" s="882"/>
      <c r="J480" s="882"/>
    </row>
    <row r="481" spans="5:10" s="482" customFormat="1" ht="12.75">
      <c r="E481" s="493"/>
      <c r="F481" s="891"/>
      <c r="G481" s="882"/>
      <c r="H481" s="882"/>
      <c r="I481" s="882"/>
      <c r="J481" s="882"/>
    </row>
    <row r="482" spans="5:10" s="482" customFormat="1" ht="12.75">
      <c r="E482" s="493"/>
      <c r="F482" s="891"/>
      <c r="G482" s="882"/>
      <c r="H482" s="882"/>
      <c r="I482" s="882"/>
      <c r="J482" s="882"/>
    </row>
    <row r="483" spans="5:10" s="482" customFormat="1" ht="12.75">
      <c r="E483" s="493"/>
      <c r="F483" s="891"/>
      <c r="G483" s="882"/>
      <c r="H483" s="882"/>
      <c r="I483" s="882"/>
      <c r="J483" s="882"/>
    </row>
    <row r="484" spans="5:10" s="482" customFormat="1" ht="12.75">
      <c r="E484" s="493"/>
      <c r="F484" s="891"/>
      <c r="G484" s="882"/>
      <c r="H484" s="882"/>
      <c r="I484" s="882"/>
      <c r="J484" s="882"/>
    </row>
    <row r="485" spans="5:10" s="482" customFormat="1" ht="12.75">
      <c r="E485" s="493"/>
      <c r="F485" s="891"/>
      <c r="G485" s="882"/>
      <c r="H485" s="882"/>
      <c r="I485" s="882"/>
      <c r="J485" s="882"/>
    </row>
    <row r="486" spans="5:10" s="482" customFormat="1" ht="12.75">
      <c r="E486" s="493"/>
      <c r="F486" s="891"/>
      <c r="G486" s="882"/>
      <c r="H486" s="882"/>
      <c r="I486" s="882"/>
      <c r="J486" s="882"/>
    </row>
    <row r="487" spans="5:10" s="482" customFormat="1" ht="12.75">
      <c r="E487" s="493"/>
      <c r="F487" s="891"/>
      <c r="G487" s="882"/>
      <c r="H487" s="882"/>
      <c r="I487" s="882"/>
      <c r="J487" s="882"/>
    </row>
    <row r="488" spans="5:10" s="482" customFormat="1" ht="12.75">
      <c r="E488" s="493"/>
      <c r="F488" s="891"/>
      <c r="G488" s="882"/>
      <c r="H488" s="882"/>
      <c r="I488" s="882"/>
      <c r="J488" s="882"/>
    </row>
    <row r="489" spans="5:10" s="482" customFormat="1" ht="12.75">
      <c r="E489" s="493"/>
      <c r="F489" s="891"/>
      <c r="G489" s="882"/>
      <c r="H489" s="882"/>
      <c r="I489" s="882"/>
      <c r="J489" s="882"/>
    </row>
    <row r="490" spans="5:10" s="482" customFormat="1" ht="12.75">
      <c r="E490" s="493"/>
      <c r="F490" s="891"/>
      <c r="G490" s="882"/>
      <c r="H490" s="882"/>
      <c r="I490" s="882"/>
      <c r="J490" s="882"/>
    </row>
    <row r="491" spans="5:10" s="482" customFormat="1" ht="12.75">
      <c r="E491" s="493"/>
      <c r="F491" s="891"/>
      <c r="G491" s="882"/>
      <c r="H491" s="882"/>
      <c r="I491" s="882"/>
      <c r="J491" s="882"/>
    </row>
    <row r="492" spans="5:10" s="482" customFormat="1" ht="12.75">
      <c r="E492" s="493"/>
      <c r="F492" s="891"/>
      <c r="G492" s="882"/>
      <c r="H492" s="882"/>
      <c r="I492" s="882"/>
      <c r="J492" s="882"/>
    </row>
    <row r="493" spans="5:10" s="482" customFormat="1" ht="12.75">
      <c r="E493" s="493"/>
      <c r="F493" s="891"/>
      <c r="G493" s="882"/>
      <c r="H493" s="882"/>
      <c r="I493" s="882"/>
      <c r="J493" s="882"/>
    </row>
    <row r="494" spans="5:10" s="482" customFormat="1" ht="12.75">
      <c r="E494" s="493"/>
      <c r="F494" s="891"/>
      <c r="G494" s="882"/>
      <c r="H494" s="882"/>
      <c r="I494" s="882"/>
      <c r="J494" s="882"/>
    </row>
    <row r="495" spans="5:10" s="482" customFormat="1" ht="12.75">
      <c r="E495" s="493"/>
      <c r="F495" s="891"/>
      <c r="G495" s="882"/>
      <c r="H495" s="882"/>
      <c r="I495" s="882"/>
      <c r="J495" s="882"/>
    </row>
    <row r="496" spans="5:10" s="482" customFormat="1" ht="12.75">
      <c r="E496" s="493"/>
      <c r="F496" s="891"/>
      <c r="G496" s="882"/>
      <c r="H496" s="882"/>
      <c r="I496" s="882"/>
      <c r="J496" s="882"/>
    </row>
    <row r="497" spans="5:10" s="482" customFormat="1" ht="12.75">
      <c r="E497" s="493"/>
      <c r="F497" s="891"/>
      <c r="G497" s="882"/>
      <c r="H497" s="882"/>
      <c r="I497" s="882"/>
      <c r="J497" s="882"/>
    </row>
    <row r="498" spans="5:10" s="482" customFormat="1" ht="12.75">
      <c r="E498" s="493"/>
      <c r="F498" s="891"/>
      <c r="G498" s="882"/>
      <c r="H498" s="882"/>
      <c r="I498" s="882"/>
      <c r="J498" s="882"/>
    </row>
    <row r="499" spans="5:10" s="482" customFormat="1" ht="12.75">
      <c r="E499" s="493"/>
      <c r="F499" s="891"/>
      <c r="G499" s="882"/>
      <c r="H499" s="882"/>
      <c r="I499" s="882"/>
      <c r="J499" s="882"/>
    </row>
    <row r="500" spans="5:10" s="482" customFormat="1" ht="12.75">
      <c r="E500" s="493"/>
      <c r="F500" s="891"/>
      <c r="G500" s="882"/>
      <c r="H500" s="882"/>
      <c r="I500" s="882"/>
      <c r="J500" s="882"/>
    </row>
    <row r="501" spans="5:10" s="482" customFormat="1" ht="12.75">
      <c r="E501" s="493"/>
      <c r="F501" s="891"/>
      <c r="G501" s="882"/>
      <c r="H501" s="882"/>
      <c r="I501" s="882"/>
      <c r="J501" s="882"/>
    </row>
    <row r="502" spans="5:10" s="482" customFormat="1" ht="12.75">
      <c r="E502" s="493"/>
      <c r="F502" s="891"/>
      <c r="G502" s="882"/>
      <c r="H502" s="882"/>
      <c r="I502" s="882"/>
      <c r="J502" s="882"/>
    </row>
    <row r="503" spans="5:10" s="482" customFormat="1" ht="12.75">
      <c r="E503" s="493"/>
      <c r="F503" s="891"/>
      <c r="G503" s="882"/>
      <c r="H503" s="882"/>
      <c r="I503" s="882"/>
      <c r="J503" s="882"/>
    </row>
    <row r="504" spans="5:10" s="482" customFormat="1" ht="12.75">
      <c r="E504" s="493"/>
      <c r="F504" s="891"/>
      <c r="G504" s="882"/>
      <c r="H504" s="882"/>
      <c r="I504" s="882"/>
      <c r="J504" s="882"/>
    </row>
    <row r="505" spans="5:10" s="482" customFormat="1" ht="12.75">
      <c r="E505" s="493"/>
      <c r="F505" s="891"/>
      <c r="G505" s="882"/>
      <c r="H505" s="882"/>
      <c r="I505" s="882"/>
      <c r="J505" s="882"/>
    </row>
    <row r="506" spans="5:10" s="482" customFormat="1" ht="12.75">
      <c r="E506" s="493"/>
      <c r="F506" s="891"/>
      <c r="G506" s="882"/>
      <c r="H506" s="882"/>
      <c r="I506" s="882"/>
      <c r="J506" s="882"/>
    </row>
    <row r="507" spans="5:10" s="482" customFormat="1" ht="12.75">
      <c r="E507" s="493"/>
      <c r="F507" s="891"/>
      <c r="G507" s="882"/>
      <c r="H507" s="882"/>
      <c r="I507" s="882"/>
      <c r="J507" s="882"/>
    </row>
    <row r="508" spans="5:10" s="482" customFormat="1" ht="12.75">
      <c r="E508" s="493"/>
      <c r="F508" s="891"/>
      <c r="G508" s="882"/>
      <c r="H508" s="882"/>
      <c r="I508" s="882"/>
      <c r="J508" s="882"/>
    </row>
    <row r="509" spans="5:10" s="482" customFormat="1" ht="12.75">
      <c r="E509" s="493"/>
      <c r="F509" s="891"/>
      <c r="G509" s="882"/>
      <c r="H509" s="882"/>
      <c r="I509" s="882"/>
      <c r="J509" s="882"/>
    </row>
    <row r="510" spans="5:10" s="482" customFormat="1" ht="12.75">
      <c r="E510" s="493"/>
      <c r="F510" s="891"/>
      <c r="G510" s="882"/>
      <c r="H510" s="882"/>
      <c r="I510" s="882"/>
      <c r="J510" s="882"/>
    </row>
    <row r="511" spans="5:10" s="482" customFormat="1" ht="12.75">
      <c r="E511" s="493"/>
      <c r="F511" s="891"/>
      <c r="G511" s="882"/>
      <c r="H511" s="882"/>
      <c r="I511" s="882"/>
      <c r="J511" s="882"/>
    </row>
    <row r="512" spans="5:10" s="482" customFormat="1" ht="12.75">
      <c r="E512" s="493"/>
      <c r="F512" s="891"/>
      <c r="G512" s="882"/>
      <c r="H512" s="882"/>
      <c r="I512" s="882"/>
      <c r="J512" s="882"/>
    </row>
    <row r="513" spans="5:10" s="482" customFormat="1" ht="12.75">
      <c r="E513" s="493"/>
      <c r="F513" s="891"/>
      <c r="G513" s="882"/>
      <c r="H513" s="882"/>
      <c r="I513" s="882"/>
      <c r="J513" s="882"/>
    </row>
    <row r="514" spans="5:10" s="482" customFormat="1" ht="12.75">
      <c r="E514" s="493"/>
      <c r="F514" s="891"/>
      <c r="G514" s="882"/>
      <c r="H514" s="882"/>
      <c r="I514" s="882"/>
      <c r="J514" s="882"/>
    </row>
    <row r="515" spans="5:10" s="482" customFormat="1" ht="12.75">
      <c r="E515" s="493"/>
      <c r="F515" s="891"/>
      <c r="G515" s="882"/>
      <c r="H515" s="882"/>
      <c r="I515" s="882"/>
      <c r="J515" s="882"/>
    </row>
    <row r="516" spans="5:10" s="482" customFormat="1" ht="12.75">
      <c r="E516" s="493"/>
      <c r="F516" s="891"/>
      <c r="G516" s="882"/>
      <c r="H516" s="882"/>
      <c r="I516" s="882"/>
      <c r="J516" s="882"/>
    </row>
    <row r="517" spans="5:10" s="482" customFormat="1" ht="12.75">
      <c r="E517" s="493"/>
      <c r="F517" s="891"/>
      <c r="G517" s="882"/>
      <c r="H517" s="882"/>
      <c r="I517" s="882"/>
      <c r="J517" s="882"/>
    </row>
    <row r="518" spans="5:10" s="482" customFormat="1" ht="12.75">
      <c r="E518" s="493"/>
      <c r="F518" s="891"/>
      <c r="G518" s="882"/>
      <c r="H518" s="882"/>
      <c r="I518" s="882"/>
      <c r="J518" s="882"/>
    </row>
    <row r="519" spans="5:10" s="482" customFormat="1" ht="12.75">
      <c r="E519" s="493"/>
      <c r="F519" s="891"/>
      <c r="G519" s="882"/>
      <c r="H519" s="882"/>
      <c r="I519" s="882"/>
      <c r="J519" s="882"/>
    </row>
    <row r="520" spans="5:10" s="482" customFormat="1" ht="12.75">
      <c r="E520" s="493"/>
      <c r="F520" s="891"/>
      <c r="G520" s="882"/>
      <c r="H520" s="882"/>
      <c r="I520" s="882"/>
      <c r="J520" s="882"/>
    </row>
    <row r="521" spans="5:10" s="482" customFormat="1" ht="12.75">
      <c r="E521" s="493"/>
      <c r="F521" s="891"/>
      <c r="G521" s="882"/>
      <c r="H521" s="882"/>
      <c r="I521" s="882"/>
      <c r="J521" s="882"/>
    </row>
    <row r="522" spans="5:10" s="482" customFormat="1" ht="12.75">
      <c r="E522" s="493"/>
      <c r="F522" s="891"/>
      <c r="G522" s="882"/>
      <c r="H522" s="882"/>
      <c r="I522" s="882"/>
      <c r="J522" s="882"/>
    </row>
    <row r="523" spans="5:10" s="482" customFormat="1" ht="12.75">
      <c r="E523" s="493"/>
      <c r="F523" s="891"/>
      <c r="G523" s="882"/>
      <c r="H523" s="882"/>
      <c r="I523" s="882"/>
      <c r="J523" s="882"/>
    </row>
    <row r="524" spans="5:10" s="482" customFormat="1" ht="12.75">
      <c r="E524" s="493"/>
      <c r="F524" s="891"/>
      <c r="G524" s="882"/>
      <c r="H524" s="882"/>
      <c r="I524" s="882"/>
      <c r="J524" s="882"/>
    </row>
    <row r="525" spans="5:10" s="482" customFormat="1" ht="12.75">
      <c r="E525" s="493"/>
      <c r="F525" s="891"/>
      <c r="G525" s="882"/>
      <c r="H525" s="882"/>
      <c r="I525" s="882"/>
      <c r="J525" s="882"/>
    </row>
    <row r="526" spans="5:10" s="482" customFormat="1" ht="12.75">
      <c r="E526" s="493"/>
      <c r="F526" s="891"/>
      <c r="G526" s="882"/>
      <c r="H526" s="882"/>
      <c r="I526" s="882"/>
      <c r="J526" s="882"/>
    </row>
    <row r="527" spans="5:10" s="482" customFormat="1" ht="12.75">
      <c r="E527" s="493"/>
      <c r="F527" s="891"/>
      <c r="G527" s="882"/>
      <c r="H527" s="882"/>
      <c r="I527" s="882"/>
      <c r="J527" s="882"/>
    </row>
    <row r="528" spans="5:10" s="482" customFormat="1" ht="12.75">
      <c r="E528" s="493"/>
      <c r="F528" s="891"/>
      <c r="G528" s="882"/>
      <c r="H528" s="882"/>
      <c r="I528" s="882"/>
      <c r="J528" s="882"/>
    </row>
    <row r="529" spans="5:10" s="482" customFormat="1" ht="12.75">
      <c r="E529" s="493"/>
      <c r="F529" s="891"/>
      <c r="G529" s="882"/>
      <c r="H529" s="882"/>
      <c r="I529" s="882"/>
      <c r="J529" s="882"/>
    </row>
    <row r="530" spans="5:10" s="482" customFormat="1" ht="12.75">
      <c r="E530" s="493"/>
      <c r="F530" s="891"/>
      <c r="G530" s="882"/>
      <c r="H530" s="882"/>
      <c r="I530" s="882"/>
      <c r="J530" s="882"/>
    </row>
    <row r="531" spans="5:10" s="482" customFormat="1" ht="12.75">
      <c r="E531" s="493"/>
      <c r="F531" s="891"/>
      <c r="G531" s="882"/>
      <c r="H531" s="882"/>
      <c r="I531" s="882"/>
      <c r="J531" s="882"/>
    </row>
    <row r="532" spans="5:10" s="482" customFormat="1" ht="12.75">
      <c r="E532" s="493"/>
      <c r="F532" s="891"/>
      <c r="G532" s="882"/>
      <c r="H532" s="882"/>
      <c r="I532" s="882"/>
      <c r="J532" s="882"/>
    </row>
    <row r="533" spans="5:10" s="482" customFormat="1" ht="12.75">
      <c r="E533" s="493"/>
      <c r="F533" s="891"/>
      <c r="G533" s="882"/>
      <c r="H533" s="882"/>
      <c r="I533" s="882"/>
      <c r="J533" s="882"/>
    </row>
    <row r="534" spans="5:10" s="482" customFormat="1" ht="12.75">
      <c r="E534" s="493"/>
      <c r="F534" s="891"/>
      <c r="G534" s="882"/>
      <c r="H534" s="882"/>
      <c r="I534" s="882"/>
      <c r="J534" s="882"/>
    </row>
    <row r="535" spans="5:10" s="482" customFormat="1" ht="12.75">
      <c r="E535" s="493"/>
      <c r="F535" s="891"/>
      <c r="G535" s="882"/>
      <c r="H535" s="882"/>
      <c r="I535" s="882"/>
      <c r="J535" s="882"/>
    </row>
    <row r="536" spans="5:10" s="482" customFormat="1" ht="12.75">
      <c r="E536" s="493"/>
      <c r="F536" s="891"/>
      <c r="G536" s="882"/>
      <c r="H536" s="882"/>
      <c r="I536" s="882"/>
      <c r="J536" s="882"/>
    </row>
    <row r="537" spans="5:10" s="482" customFormat="1" ht="12.75">
      <c r="E537" s="493"/>
      <c r="F537" s="891"/>
      <c r="G537" s="882"/>
      <c r="H537" s="882"/>
      <c r="I537" s="882"/>
      <c r="J537" s="882"/>
    </row>
    <row r="538" spans="5:10" s="482" customFormat="1" ht="12.75">
      <c r="E538" s="493"/>
      <c r="F538" s="891"/>
      <c r="G538" s="882"/>
      <c r="H538" s="882"/>
      <c r="I538" s="882"/>
      <c r="J538" s="882"/>
    </row>
    <row r="539" spans="5:10" s="482" customFormat="1" ht="12.75">
      <c r="E539" s="493"/>
      <c r="F539" s="891"/>
      <c r="G539" s="882"/>
      <c r="H539" s="882"/>
      <c r="I539" s="882"/>
      <c r="J539" s="882"/>
    </row>
    <row r="540" spans="5:10" s="482" customFormat="1" ht="12.75">
      <c r="E540" s="493"/>
      <c r="F540" s="891"/>
      <c r="G540" s="882"/>
      <c r="H540" s="882"/>
      <c r="I540" s="882"/>
      <c r="J540" s="882"/>
    </row>
    <row r="541" spans="5:10" s="482" customFormat="1" ht="12.75">
      <c r="E541" s="493"/>
      <c r="F541" s="891"/>
      <c r="G541" s="882"/>
      <c r="H541" s="882"/>
      <c r="I541" s="882"/>
      <c r="J541" s="882"/>
    </row>
    <row r="542" spans="5:10" s="482" customFormat="1" ht="12.75">
      <c r="E542" s="493"/>
      <c r="F542" s="891"/>
      <c r="G542" s="882"/>
      <c r="H542" s="882"/>
      <c r="I542" s="882"/>
      <c r="J542" s="882"/>
    </row>
    <row r="543" spans="5:10" s="482" customFormat="1" ht="12.75">
      <c r="E543" s="493"/>
      <c r="F543" s="891"/>
      <c r="G543" s="882"/>
      <c r="H543" s="882"/>
      <c r="I543" s="882"/>
      <c r="J543" s="882"/>
    </row>
    <row r="544" spans="5:10" s="482" customFormat="1" ht="12.75">
      <c r="E544" s="493"/>
      <c r="F544" s="891"/>
      <c r="G544" s="882"/>
      <c r="H544" s="882"/>
      <c r="I544" s="882"/>
      <c r="J544" s="882"/>
    </row>
    <row r="545" spans="5:10" s="482" customFormat="1" ht="12.75">
      <c r="E545" s="493"/>
      <c r="F545" s="891"/>
      <c r="G545" s="882"/>
      <c r="H545" s="882"/>
      <c r="I545" s="882"/>
      <c r="J545" s="882"/>
    </row>
    <row r="546" spans="5:10" s="482" customFormat="1" ht="12.75">
      <c r="E546" s="493"/>
      <c r="F546" s="891"/>
      <c r="G546" s="882"/>
      <c r="H546" s="882"/>
      <c r="I546" s="882"/>
      <c r="J546" s="882"/>
    </row>
    <row r="547" spans="5:10" s="482" customFormat="1" ht="12.75">
      <c r="E547" s="493"/>
      <c r="F547" s="891"/>
      <c r="G547" s="882"/>
      <c r="H547" s="882"/>
      <c r="I547" s="882"/>
      <c r="J547" s="882"/>
    </row>
    <row r="548" spans="5:10" s="482" customFormat="1" ht="12.75">
      <c r="E548" s="493"/>
      <c r="F548" s="891"/>
      <c r="G548" s="882"/>
      <c r="H548" s="882"/>
      <c r="I548" s="882"/>
      <c r="J548" s="882"/>
    </row>
    <row r="549" spans="5:10" s="482" customFormat="1" ht="12.75">
      <c r="E549" s="493"/>
      <c r="F549" s="891"/>
      <c r="G549" s="882"/>
      <c r="H549" s="882"/>
      <c r="I549" s="882"/>
      <c r="J549" s="882"/>
    </row>
    <row r="550" spans="5:10" s="482" customFormat="1" ht="12.75">
      <c r="E550" s="493"/>
      <c r="F550" s="891"/>
      <c r="G550" s="882"/>
      <c r="H550" s="882"/>
      <c r="I550" s="882"/>
      <c r="J550" s="882"/>
    </row>
    <row r="551" spans="5:10" s="482" customFormat="1" ht="12.75">
      <c r="E551" s="493"/>
      <c r="F551" s="891"/>
      <c r="G551" s="882"/>
      <c r="H551" s="882"/>
      <c r="I551" s="882"/>
      <c r="J551" s="882"/>
    </row>
    <row r="552" spans="5:10" s="482" customFormat="1" ht="12.75">
      <c r="E552" s="493"/>
      <c r="F552" s="891"/>
      <c r="G552" s="882"/>
      <c r="H552" s="882"/>
      <c r="I552" s="882"/>
      <c r="J552" s="882"/>
    </row>
    <row r="553" spans="5:10" s="482" customFormat="1" ht="12.75">
      <c r="E553" s="493"/>
      <c r="F553" s="891"/>
      <c r="G553" s="882"/>
      <c r="H553" s="882"/>
      <c r="I553" s="882"/>
      <c r="J553" s="882"/>
    </row>
    <row r="554" spans="5:10" s="482" customFormat="1" ht="12.75">
      <c r="E554" s="493"/>
      <c r="F554" s="891"/>
      <c r="G554" s="882"/>
      <c r="H554" s="882"/>
      <c r="I554" s="882"/>
      <c r="J554" s="882"/>
    </row>
    <row r="555" spans="5:10" s="482" customFormat="1" ht="12.75">
      <c r="E555" s="493"/>
      <c r="F555" s="891"/>
      <c r="G555" s="882"/>
      <c r="H555" s="882"/>
      <c r="I555" s="882"/>
      <c r="J555" s="882"/>
    </row>
    <row r="556" spans="5:10" s="482" customFormat="1" ht="12.75">
      <c r="E556" s="493"/>
      <c r="F556" s="891"/>
      <c r="G556" s="882"/>
      <c r="H556" s="882"/>
      <c r="I556" s="882"/>
      <c r="J556" s="882"/>
    </row>
    <row r="557" spans="5:10" s="482" customFormat="1" ht="12.75">
      <c r="E557" s="493"/>
      <c r="F557" s="891"/>
      <c r="G557" s="882"/>
      <c r="H557" s="882"/>
      <c r="I557" s="882"/>
      <c r="J557" s="882"/>
    </row>
    <row r="558" spans="5:10" s="482" customFormat="1" ht="12.75">
      <c r="E558" s="493"/>
      <c r="F558" s="891"/>
      <c r="G558" s="882"/>
      <c r="H558" s="882"/>
      <c r="I558" s="882"/>
      <c r="J558" s="882"/>
    </row>
    <row r="559" spans="5:10" s="482" customFormat="1" ht="12.75">
      <c r="E559" s="493"/>
      <c r="F559" s="891"/>
      <c r="G559" s="882"/>
      <c r="H559" s="882"/>
      <c r="I559" s="882"/>
      <c r="J559" s="882"/>
    </row>
    <row r="560" spans="5:10" s="482" customFormat="1" ht="12.75">
      <c r="E560" s="493"/>
      <c r="F560" s="891"/>
      <c r="G560" s="882"/>
      <c r="H560" s="882"/>
      <c r="I560" s="882"/>
      <c r="J560" s="882"/>
    </row>
    <row r="561" spans="5:10" s="482" customFormat="1" ht="12.75">
      <c r="E561" s="493"/>
      <c r="F561" s="891"/>
      <c r="G561" s="882"/>
      <c r="H561" s="882"/>
      <c r="I561" s="882"/>
      <c r="J561" s="882"/>
    </row>
    <row r="562" spans="5:10" s="482" customFormat="1" ht="12.75">
      <c r="E562" s="493"/>
      <c r="F562" s="891"/>
      <c r="G562" s="882"/>
      <c r="H562" s="882"/>
      <c r="I562" s="882"/>
      <c r="J562" s="882"/>
    </row>
    <row r="563" spans="5:10" s="482" customFormat="1" ht="12.75">
      <c r="E563" s="493"/>
      <c r="F563" s="891"/>
      <c r="G563" s="882"/>
      <c r="H563" s="882"/>
      <c r="I563" s="882"/>
      <c r="J563" s="882"/>
    </row>
    <row r="564" spans="5:10" s="482" customFormat="1" ht="12.75">
      <c r="E564" s="493"/>
      <c r="F564" s="891"/>
      <c r="G564" s="882"/>
      <c r="H564" s="882"/>
      <c r="I564" s="882"/>
      <c r="J564" s="882"/>
    </row>
    <row r="565" spans="5:10" s="482" customFormat="1" ht="12.75">
      <c r="E565" s="493"/>
      <c r="F565" s="891"/>
      <c r="G565" s="882"/>
      <c r="H565" s="882"/>
      <c r="I565" s="882"/>
      <c r="J565" s="882"/>
    </row>
    <row r="566" spans="5:10" s="482" customFormat="1" ht="12.75">
      <c r="E566" s="493"/>
      <c r="F566" s="891"/>
      <c r="G566" s="882"/>
      <c r="H566" s="882"/>
      <c r="I566" s="882"/>
      <c r="J566" s="882"/>
    </row>
    <row r="567" spans="5:10" s="482" customFormat="1" ht="12.75">
      <c r="E567" s="493"/>
      <c r="F567" s="891"/>
      <c r="G567" s="882"/>
      <c r="H567" s="882"/>
      <c r="I567" s="882"/>
      <c r="J567" s="882"/>
    </row>
    <row r="568" spans="5:10" s="482" customFormat="1" ht="12.75">
      <c r="E568" s="493"/>
      <c r="F568" s="891"/>
      <c r="G568" s="882"/>
      <c r="H568" s="882"/>
      <c r="I568" s="882"/>
      <c r="J568" s="882"/>
    </row>
    <row r="569" spans="1:5" ht="12.75">
      <c r="A569" s="482"/>
      <c r="B569" s="482"/>
      <c r="C569" s="482"/>
      <c r="D569" s="482"/>
      <c r="E569" s="493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2"/>
  <sheetViews>
    <sheetView showGridLines="0" zoomScalePageLayoutView="0" workbookViewId="0" topLeftCell="A1">
      <selection activeCell="C4" sqref="C4"/>
    </sheetView>
  </sheetViews>
  <sheetFormatPr defaultColWidth="11.57421875" defaultRowHeight="12.75"/>
  <cols>
    <col min="1" max="1" width="66.00390625" style="380" customWidth="1"/>
    <col min="2" max="2" width="0.42578125" style="380" hidden="1" customWidth="1"/>
    <col min="3" max="3" width="15.8515625" style="380" customWidth="1"/>
    <col min="4" max="4" width="20.7109375" style="380" customWidth="1"/>
    <col min="5" max="5" width="10.28125" style="380" customWidth="1"/>
    <col min="6" max="6" width="11.57421875" style="382" customWidth="1"/>
    <col min="7" max="16384" width="11.57421875" style="380" customWidth="1"/>
  </cols>
  <sheetData>
    <row r="1" spans="1:7" ht="12.75">
      <c r="A1" s="822"/>
      <c r="B1" s="822"/>
      <c r="C1" s="825" t="s">
        <v>674</v>
      </c>
      <c r="E1" s="822"/>
      <c r="F1" s="822"/>
      <c r="G1" s="822"/>
    </row>
    <row r="2" spans="1:7" ht="25.5" customHeight="1">
      <c r="A2" s="822"/>
      <c r="B2" s="822"/>
      <c r="C2" s="991" t="s">
        <v>675</v>
      </c>
      <c r="D2" s="991"/>
      <c r="E2" s="822"/>
      <c r="F2" s="822"/>
      <c r="G2" s="822"/>
    </row>
    <row r="3" spans="1:7" ht="12.75">
      <c r="A3" s="822"/>
      <c r="B3" s="826"/>
      <c r="C3" s="822"/>
      <c r="D3" s="822"/>
      <c r="E3" s="822"/>
      <c r="F3" s="822"/>
      <c r="G3" s="822"/>
    </row>
    <row r="4" spans="1:6" ht="12.75">
      <c r="A4" s="822" t="s">
        <v>525</v>
      </c>
      <c r="B4" s="822"/>
      <c r="C4" s="827">
        <v>42339</v>
      </c>
      <c r="D4" s="822"/>
      <c r="E4" s="822"/>
      <c r="F4" s="822"/>
    </row>
    <row r="5" spans="1:6" ht="12.75">
      <c r="A5" s="822" t="s">
        <v>673</v>
      </c>
      <c r="B5" s="822"/>
      <c r="C5" s="828" t="s">
        <v>676</v>
      </c>
      <c r="D5" s="822"/>
      <c r="E5" s="822"/>
      <c r="F5" s="822"/>
    </row>
    <row r="6" spans="1:4" ht="13.5" thickBot="1">
      <c r="A6" s="381"/>
      <c r="B6" s="381"/>
      <c r="C6" s="381"/>
      <c r="D6" s="381"/>
    </row>
    <row r="7" spans="1:6" s="384" customFormat="1" ht="35.25" customHeight="1">
      <c r="A7" s="994" t="s">
        <v>305</v>
      </c>
      <c r="B7" s="995"/>
      <c r="C7" s="996"/>
      <c r="D7" s="383">
        <v>2016</v>
      </c>
      <c r="F7" s="385"/>
    </row>
    <row r="8" spans="1:4" ht="25.5" customHeight="1" thickBot="1">
      <c r="A8" s="997" t="str">
        <f>CPYG!A8</f>
        <v>SPET, TURISMO DE TENERIFE, S.A.</v>
      </c>
      <c r="B8" s="998"/>
      <c r="C8" s="998"/>
      <c r="D8" s="386" t="s">
        <v>415</v>
      </c>
    </row>
    <row r="9" spans="1:4" ht="30" customHeight="1">
      <c r="A9" s="999" t="s">
        <v>668</v>
      </c>
      <c r="B9" s="1000"/>
      <c r="C9" s="1000"/>
      <c r="D9" s="1001"/>
    </row>
    <row r="10" spans="1:4" ht="36" customHeight="1" thickBot="1">
      <c r="A10" s="387"/>
      <c r="B10" s="388"/>
      <c r="C10" s="389" t="s">
        <v>786</v>
      </c>
      <c r="D10" s="390" t="s">
        <v>787</v>
      </c>
    </row>
    <row r="11" spans="1:4" ht="17.25" customHeight="1" thickBot="1">
      <c r="A11" s="391" t="s">
        <v>680</v>
      </c>
      <c r="B11" s="392"/>
      <c r="C11" s="393"/>
      <c r="D11" s="394"/>
    </row>
    <row r="12" spans="1:4" ht="12.75">
      <c r="A12" s="395" t="s">
        <v>416</v>
      </c>
      <c r="B12" s="396"/>
      <c r="C12" s="615">
        <f>+CPYG!D111</f>
        <v>-1903196.010000001</v>
      </c>
      <c r="D12" s="616">
        <f>+CPYG!C111</f>
        <v>-1903196.0100000007</v>
      </c>
    </row>
    <row r="13" spans="1:4" ht="12.75">
      <c r="A13" s="397" t="s">
        <v>417</v>
      </c>
      <c r="B13" s="398"/>
      <c r="C13" s="625">
        <f>SUM(C14:C24)</f>
        <v>85129.12999999999</v>
      </c>
      <c r="D13" s="761">
        <f>SUM(D14:D24)</f>
        <v>100690.95</v>
      </c>
    </row>
    <row r="14" spans="1:4" ht="12.75">
      <c r="A14" s="399" t="s">
        <v>418</v>
      </c>
      <c r="B14" s="398"/>
      <c r="C14" s="617">
        <f>-CPYG!D59</f>
        <v>90969.62</v>
      </c>
      <c r="D14" s="618">
        <f>-CPYG!C59</f>
        <v>106186.93</v>
      </c>
    </row>
    <row r="15" spans="1:4" ht="12.75">
      <c r="A15" s="399" t="s">
        <v>419</v>
      </c>
      <c r="B15" s="398"/>
      <c r="C15" s="617"/>
      <c r="D15" s="618"/>
    </row>
    <row r="16" spans="1:4" ht="12.75">
      <c r="A16" s="399" t="s">
        <v>420</v>
      </c>
      <c r="B16" s="398"/>
      <c r="C16" s="617"/>
      <c r="D16" s="618"/>
    </row>
    <row r="17" spans="1:4" ht="12.75">
      <c r="A17" s="399" t="s">
        <v>421</v>
      </c>
      <c r="B17" s="398"/>
      <c r="C17" s="617">
        <f>-CPYG!D63</f>
        <v>-5840.49</v>
      </c>
      <c r="D17" s="618">
        <f>-CPYG!C63</f>
        <v>-5826.05</v>
      </c>
    </row>
    <row r="18" spans="1:4" ht="12.75">
      <c r="A18" s="399" t="s">
        <v>422</v>
      </c>
      <c r="B18" s="398"/>
      <c r="C18" s="617"/>
      <c r="D18" s="618"/>
    </row>
    <row r="19" spans="1:4" ht="12.75">
      <c r="A19" s="399" t="s">
        <v>423</v>
      </c>
      <c r="B19" s="398"/>
      <c r="C19" s="617"/>
      <c r="D19" s="618"/>
    </row>
    <row r="20" spans="1:4" ht="12.75">
      <c r="A20" s="399" t="s">
        <v>424</v>
      </c>
      <c r="B20" s="398"/>
      <c r="C20" s="617">
        <f>-CPYG!D83</f>
        <v>-3000</v>
      </c>
      <c r="D20" s="618">
        <f>-CPYG!C83</f>
        <v>-2520</v>
      </c>
    </row>
    <row r="21" spans="1:4" ht="12.75">
      <c r="A21" s="399" t="s">
        <v>425</v>
      </c>
      <c r="B21" s="398"/>
      <c r="C21" s="617">
        <f>-CPYG!D91</f>
        <v>3000</v>
      </c>
      <c r="D21" s="618">
        <f>-CPYG!C91</f>
        <v>2850.07</v>
      </c>
    </row>
    <row r="22" spans="1:4" ht="12.75">
      <c r="A22" s="399" t="s">
        <v>426</v>
      </c>
      <c r="B22" s="398"/>
      <c r="C22" s="617"/>
      <c r="D22" s="618"/>
    </row>
    <row r="23" spans="1:4" ht="12.75">
      <c r="A23" s="400" t="s">
        <v>427</v>
      </c>
      <c r="B23" s="398"/>
      <c r="C23" s="617"/>
      <c r="D23" s="618"/>
    </row>
    <row r="24" spans="1:4" ht="12.75">
      <c r="A24" s="400" t="s">
        <v>428</v>
      </c>
      <c r="B24" s="398"/>
      <c r="C24" s="617"/>
      <c r="D24" s="618"/>
    </row>
    <row r="25" spans="1:5" ht="12.75">
      <c r="A25" s="397" t="s">
        <v>429</v>
      </c>
      <c r="B25" s="398"/>
      <c r="C25" s="625">
        <f>SUM(C26:C31)</f>
        <v>-34799.14999999991</v>
      </c>
      <c r="D25" s="761">
        <f>SUM(D26:D31)</f>
        <v>-111814.33000000028</v>
      </c>
      <c r="E25" s="401"/>
    </row>
    <row r="26" spans="1:5" ht="12.75" customHeight="1">
      <c r="A26" s="399" t="s">
        <v>430</v>
      </c>
      <c r="B26" s="398"/>
      <c r="C26" s="617"/>
      <c r="D26" s="618"/>
      <c r="E26" s="401"/>
    </row>
    <row r="27" spans="1:5" ht="12.75" customHeight="1">
      <c r="A27" s="399" t="s">
        <v>431</v>
      </c>
      <c r="B27" s="398"/>
      <c r="C27" s="617">
        <f>+ACTIVO!C38-ACTIVO!D38</f>
        <v>280232.9500000002</v>
      </c>
      <c r="D27" s="618">
        <f>+ACTIVO!B38-ACTIVO!C38</f>
        <v>-1028962.4000000001</v>
      </c>
      <c r="E27" s="401"/>
    </row>
    <row r="28" spans="1:5" ht="12.75" customHeight="1">
      <c r="A28" s="399" t="s">
        <v>432</v>
      </c>
      <c r="B28" s="398"/>
      <c r="C28" s="617">
        <f>+ACTIVO!C44-ACTIVO!D44</f>
        <v>25000</v>
      </c>
      <c r="D28" s="618">
        <f>+ACTIVO!B44-ACTIVO!C44</f>
        <v>-19655.73000000001</v>
      </c>
      <c r="E28" s="401"/>
    </row>
    <row r="29" spans="1:5" ht="12.75" customHeight="1">
      <c r="A29" s="399" t="s">
        <v>433</v>
      </c>
      <c r="B29" s="398"/>
      <c r="C29" s="617">
        <f>+PASIVO!D60-PASIVO!C60</f>
        <v>-340572.1000000001</v>
      </c>
      <c r="D29" s="618">
        <f>-PASIVO!C60+PASIVO!B60</f>
        <v>900544.3399999999</v>
      </c>
      <c r="E29" s="401"/>
    </row>
    <row r="30" spans="1:5" ht="12.75" customHeight="1">
      <c r="A30" s="399" t="s">
        <v>434</v>
      </c>
      <c r="B30" s="398"/>
      <c r="C30" s="617">
        <f>+PASIVO!D63-PASIVO!C63</f>
        <v>2000</v>
      </c>
      <c r="D30" s="618">
        <f>+PASIVO!C63-PASIVO!B63</f>
        <v>684.929999999993</v>
      </c>
      <c r="E30" s="401"/>
    </row>
    <row r="31" spans="1:5" ht="12.75" customHeight="1">
      <c r="A31" s="399" t="s">
        <v>435</v>
      </c>
      <c r="B31" s="398"/>
      <c r="C31" s="617">
        <v>-1460</v>
      </c>
      <c r="D31" s="618">
        <v>35574.53</v>
      </c>
      <c r="E31" s="401"/>
    </row>
    <row r="32" spans="1:5" ht="12.75">
      <c r="A32" s="397" t="s">
        <v>438</v>
      </c>
      <c r="B32" s="398"/>
      <c r="C32" s="625">
        <f>SUM(C33:C37)</f>
        <v>0</v>
      </c>
      <c r="D32" s="761">
        <f>SUM(D33:D37)</f>
        <v>0</v>
      </c>
      <c r="E32" s="401"/>
    </row>
    <row r="33" spans="1:5" ht="12.75" customHeight="1">
      <c r="A33" s="399" t="s">
        <v>439</v>
      </c>
      <c r="B33" s="398"/>
      <c r="C33" s="617"/>
      <c r="D33" s="618"/>
      <c r="E33" s="401"/>
    </row>
    <row r="34" spans="1:5" ht="12.75" customHeight="1">
      <c r="A34" s="399" t="s">
        <v>440</v>
      </c>
      <c r="B34" s="398"/>
      <c r="C34" s="617"/>
      <c r="D34" s="618"/>
      <c r="E34" s="401"/>
    </row>
    <row r="35" spans="1:4" ht="12.75" customHeight="1">
      <c r="A35" s="399" t="s">
        <v>441</v>
      </c>
      <c r="B35" s="398"/>
      <c r="C35" s="617"/>
      <c r="D35" s="618"/>
    </row>
    <row r="36" spans="1:4" ht="12.75" customHeight="1">
      <c r="A36" s="399" t="s">
        <v>442</v>
      </c>
      <c r="B36" s="398"/>
      <c r="C36" s="617"/>
      <c r="D36" s="618"/>
    </row>
    <row r="37" spans="1:4" ht="13.5" thickBot="1">
      <c r="A37" s="399" t="s">
        <v>443</v>
      </c>
      <c r="B37" s="402"/>
      <c r="C37" s="617"/>
      <c r="D37" s="618"/>
    </row>
    <row r="38" spans="1:4" ht="15" customHeight="1" thickBot="1" thickTop="1">
      <c r="A38" s="1002" t="s">
        <v>444</v>
      </c>
      <c r="B38" s="1003"/>
      <c r="C38" s="626">
        <f>C12+C13+C25+C32</f>
        <v>-1852866.030000001</v>
      </c>
      <c r="D38" s="627">
        <f>D12+D13+D25+D32</f>
        <v>-1914319.390000001</v>
      </c>
    </row>
    <row r="39" spans="1:4" ht="17.25" customHeight="1" thickBot="1">
      <c r="A39" s="391" t="s">
        <v>452</v>
      </c>
      <c r="B39" s="392"/>
      <c r="C39" s="628"/>
      <c r="D39" s="629"/>
    </row>
    <row r="40" spans="1:4" ht="12.75">
      <c r="A40" s="395" t="s">
        <v>453</v>
      </c>
      <c r="B40" s="403"/>
      <c r="C40" s="630">
        <f>SUM(C41:C48)</f>
        <v>0</v>
      </c>
      <c r="D40" s="762">
        <f>SUM(D41:D48)</f>
        <v>-26777.05</v>
      </c>
    </row>
    <row r="41" spans="1:4" ht="12.75">
      <c r="A41" s="399" t="s">
        <v>454</v>
      </c>
      <c r="B41" s="404"/>
      <c r="C41" s="617"/>
      <c r="D41" s="618"/>
    </row>
    <row r="42" spans="1:4" ht="12.75">
      <c r="A42" s="399" t="s">
        <v>455</v>
      </c>
      <c r="B42" s="404"/>
      <c r="C42" s="617"/>
      <c r="D42" s="618">
        <f>-'Inv. NO FIN'!C13</f>
        <v>-20000</v>
      </c>
    </row>
    <row r="43" spans="1:4" ht="12.75">
      <c r="A43" s="399" t="s">
        <v>456</v>
      </c>
      <c r="B43" s="404"/>
      <c r="C43" s="617"/>
      <c r="D43" s="618">
        <f>-'Inv. NO FIN'!C14</f>
        <v>-6777.05</v>
      </c>
    </row>
    <row r="44" spans="1:4" ht="12.75">
      <c r="A44" s="399" t="s">
        <v>457</v>
      </c>
      <c r="B44" s="404"/>
      <c r="C44" s="617"/>
      <c r="D44" s="618"/>
    </row>
    <row r="45" spans="1:4" ht="12.75">
      <c r="A45" s="399" t="s">
        <v>458</v>
      </c>
      <c r="B45" s="404"/>
      <c r="C45" s="617"/>
      <c r="D45" s="618"/>
    </row>
    <row r="46" spans="1:4" ht="12.75">
      <c r="A46" s="399" t="s">
        <v>459</v>
      </c>
      <c r="B46" s="404"/>
      <c r="C46" s="617"/>
      <c r="D46" s="618"/>
    </row>
    <row r="47" spans="1:4" ht="12.75">
      <c r="A47" s="399" t="s">
        <v>460</v>
      </c>
      <c r="B47" s="404"/>
      <c r="C47" s="617"/>
      <c r="D47" s="618"/>
    </row>
    <row r="48" spans="1:4" ht="12.75">
      <c r="A48" s="399" t="s">
        <v>461</v>
      </c>
      <c r="B48" s="404"/>
      <c r="C48" s="617"/>
      <c r="D48" s="618"/>
    </row>
    <row r="49" spans="1:4" ht="12.75">
      <c r="A49" s="397" t="s">
        <v>462</v>
      </c>
      <c r="B49" s="404"/>
      <c r="C49" s="625">
        <f>SUM(C50:C57)</f>
        <v>0</v>
      </c>
      <c r="D49" s="761">
        <f>SUM(D50:D57)</f>
        <v>0</v>
      </c>
    </row>
    <row r="50" spans="1:4" ht="12.75">
      <c r="A50" s="399" t="s">
        <v>463</v>
      </c>
      <c r="B50" s="404"/>
      <c r="C50" s="617"/>
      <c r="D50" s="618"/>
    </row>
    <row r="51" spans="1:4" ht="12.75">
      <c r="A51" s="399" t="s">
        <v>455</v>
      </c>
      <c r="B51" s="404"/>
      <c r="C51" s="617"/>
      <c r="D51" s="618"/>
    </row>
    <row r="52" spans="1:4" ht="12.75">
      <c r="A52" s="399" t="s">
        <v>456</v>
      </c>
      <c r="B52" s="404"/>
      <c r="C52" s="617"/>
      <c r="D52" s="618"/>
    </row>
    <row r="53" spans="1:4" ht="12.75">
      <c r="A53" s="399" t="s">
        <v>457</v>
      </c>
      <c r="B53" s="404"/>
      <c r="C53" s="617"/>
      <c r="D53" s="618"/>
    </row>
    <row r="54" spans="1:4" ht="12.75">
      <c r="A54" s="399" t="s">
        <v>458</v>
      </c>
      <c r="B54" s="404"/>
      <c r="C54" s="617"/>
      <c r="D54" s="618"/>
    </row>
    <row r="55" spans="1:4" ht="12.75">
      <c r="A55" s="399" t="s">
        <v>459</v>
      </c>
      <c r="B55" s="404"/>
      <c r="C55" s="617"/>
      <c r="D55" s="618"/>
    </row>
    <row r="56" spans="1:4" ht="12.75">
      <c r="A56" s="399" t="s">
        <v>460</v>
      </c>
      <c r="B56" s="404"/>
      <c r="C56" s="617"/>
      <c r="D56" s="618"/>
    </row>
    <row r="57" spans="1:4" ht="12.75">
      <c r="A57" s="399" t="s">
        <v>461</v>
      </c>
      <c r="B57" s="404"/>
      <c r="C57" s="617"/>
      <c r="D57" s="618"/>
    </row>
    <row r="58" spans="1:4" ht="13.5" thickBot="1">
      <c r="A58" s="405" t="s">
        <v>464</v>
      </c>
      <c r="B58" s="406"/>
      <c r="C58" s="626">
        <f>C40+C49</f>
        <v>0</v>
      </c>
      <c r="D58" s="627">
        <f>D40+D49</f>
        <v>-26777.05</v>
      </c>
    </row>
    <row r="59" spans="1:4" ht="17.25" customHeight="1" thickBot="1">
      <c r="A59" s="391" t="s">
        <v>465</v>
      </c>
      <c r="B59" s="392"/>
      <c r="C59" s="628"/>
      <c r="D59" s="629"/>
    </row>
    <row r="60" spans="1:4" ht="12.75">
      <c r="A60" s="407" t="s">
        <v>466</v>
      </c>
      <c r="B60" s="408"/>
      <c r="C60" s="631">
        <f>SUM(C61:C66)</f>
        <v>1903196.01</v>
      </c>
      <c r="D60" s="763">
        <f>SUM(D61:D66)</f>
        <v>1903196.01</v>
      </c>
    </row>
    <row r="61" spans="1:4" ht="12.75">
      <c r="A61" s="399" t="s">
        <v>467</v>
      </c>
      <c r="B61" s="404"/>
      <c r="C61" s="617"/>
      <c r="D61" s="618"/>
    </row>
    <row r="62" spans="1:4" ht="12.75">
      <c r="A62" s="399" t="s">
        <v>468</v>
      </c>
      <c r="B62" s="404"/>
      <c r="C62" s="617"/>
      <c r="D62" s="618"/>
    </row>
    <row r="63" spans="1:4" ht="12.75">
      <c r="A63" s="399" t="s">
        <v>469</v>
      </c>
      <c r="B63" s="404"/>
      <c r="C63" s="617"/>
      <c r="D63" s="618"/>
    </row>
    <row r="64" spans="1:4" ht="12.75">
      <c r="A64" s="399" t="s">
        <v>470</v>
      </c>
      <c r="B64" s="404"/>
      <c r="C64" s="617"/>
      <c r="D64" s="618"/>
    </row>
    <row r="65" spans="1:4" ht="12.75" customHeight="1">
      <c r="A65" s="399" t="s">
        <v>471</v>
      </c>
      <c r="B65" s="404"/>
      <c r="C65" s="617"/>
      <c r="D65" s="618"/>
    </row>
    <row r="66" spans="1:4" ht="12.75" customHeight="1">
      <c r="A66" s="399" t="s">
        <v>734</v>
      </c>
      <c r="B66" s="404"/>
      <c r="C66" s="617">
        <v>1903196.01</v>
      </c>
      <c r="D66" s="618">
        <f>+PASIVO!D24</f>
        <v>1903196.01</v>
      </c>
    </row>
    <row r="67" spans="1:4" ht="12.75">
      <c r="A67" s="397" t="s">
        <v>472</v>
      </c>
      <c r="B67" s="404"/>
      <c r="C67" s="625">
        <f>C68+C74</f>
        <v>-22329.979999999996</v>
      </c>
      <c r="D67" s="761">
        <f>D68+D74</f>
        <v>-41398.46000000001</v>
      </c>
    </row>
    <row r="68" spans="1:4" ht="12.75">
      <c r="A68" s="399" t="s">
        <v>473</v>
      </c>
      <c r="B68" s="404"/>
      <c r="C68" s="625">
        <f>SUM(C69:C73)</f>
        <v>0</v>
      </c>
      <c r="D68" s="761">
        <f>SUM(D69:D73)</f>
        <v>0</v>
      </c>
    </row>
    <row r="69" spans="1:4" ht="12.75" customHeight="1">
      <c r="A69" s="399" t="s">
        <v>474</v>
      </c>
      <c r="B69" s="404"/>
      <c r="C69" s="617"/>
      <c r="D69" s="618"/>
    </row>
    <row r="70" spans="1:4" ht="12.75" customHeight="1">
      <c r="A70" s="399" t="s">
        <v>475</v>
      </c>
      <c r="B70" s="404"/>
      <c r="C70" s="617"/>
      <c r="D70" s="618"/>
    </row>
    <row r="71" spans="1:4" ht="12.75" customHeight="1">
      <c r="A71" s="399" t="s">
        <v>476</v>
      </c>
      <c r="B71" s="404"/>
      <c r="C71" s="617"/>
      <c r="D71" s="618"/>
    </row>
    <row r="72" spans="1:4" ht="12.75" customHeight="1">
      <c r="A72" s="399" t="s">
        <v>477</v>
      </c>
      <c r="B72" s="404"/>
      <c r="C72" s="617"/>
      <c r="D72" s="618"/>
    </row>
    <row r="73" spans="1:4" ht="12.75" customHeight="1">
      <c r="A73" s="399" t="s">
        <v>478</v>
      </c>
      <c r="B73" s="404"/>
      <c r="C73" s="617"/>
      <c r="D73" s="618"/>
    </row>
    <row r="74" spans="1:4" ht="12.75">
      <c r="A74" s="399" t="s">
        <v>479</v>
      </c>
      <c r="B74" s="404"/>
      <c r="C74" s="625">
        <f>SUM(C75:C79)</f>
        <v>-22329.979999999996</v>
      </c>
      <c r="D74" s="761">
        <f>SUM(D75:D79)</f>
        <v>-41398.46000000001</v>
      </c>
    </row>
    <row r="75" spans="1:4" ht="12.75" customHeight="1">
      <c r="A75" s="399" t="s">
        <v>480</v>
      </c>
      <c r="B75" s="404"/>
      <c r="C75" s="617"/>
      <c r="D75" s="618"/>
    </row>
    <row r="76" spans="1:4" ht="12.75" customHeight="1">
      <c r="A76" s="399" t="s">
        <v>481</v>
      </c>
      <c r="B76" s="404"/>
      <c r="C76" s="617">
        <f>+PASIVO!D56-PASIVO!C56+PASIVO!D40-PASIVO!C40</f>
        <v>-22329.979999999996</v>
      </c>
      <c r="D76" s="618">
        <f>+PASIVO!C40-PASIVO!B40+PASIVO!C56-PASIVO!B56</f>
        <v>-41398.46000000001</v>
      </c>
    </row>
    <row r="77" spans="1:4" ht="12.75" customHeight="1">
      <c r="A77" s="399" t="s">
        <v>482</v>
      </c>
      <c r="B77" s="404"/>
      <c r="C77" s="617"/>
      <c r="D77" s="618"/>
    </row>
    <row r="78" spans="1:4" ht="12.75" customHeight="1">
      <c r="A78" s="399" t="s">
        <v>483</v>
      </c>
      <c r="B78" s="404"/>
      <c r="C78" s="617"/>
      <c r="D78" s="618"/>
    </row>
    <row r="79" spans="1:4" ht="12.75" customHeight="1">
      <c r="A79" s="399" t="s">
        <v>484</v>
      </c>
      <c r="B79" s="404"/>
      <c r="C79" s="617"/>
      <c r="D79" s="618"/>
    </row>
    <row r="80" spans="1:4" ht="25.5">
      <c r="A80" s="397" t="s">
        <v>485</v>
      </c>
      <c r="B80" s="404"/>
      <c r="C80" s="625">
        <f>SUM(C81:C82)</f>
        <v>0</v>
      </c>
      <c r="D80" s="761">
        <f>SUM(D81:D82)</f>
        <v>0</v>
      </c>
    </row>
    <row r="81" spans="1:4" ht="15" customHeight="1">
      <c r="A81" s="399" t="s">
        <v>486</v>
      </c>
      <c r="B81" s="409" t="s">
        <v>467</v>
      </c>
      <c r="C81" s="617"/>
      <c r="D81" s="618"/>
    </row>
    <row r="82" spans="1:4" ht="12.75">
      <c r="A82" s="399" t="s">
        <v>487</v>
      </c>
      <c r="B82" s="409" t="s">
        <v>468</v>
      </c>
      <c r="C82" s="617"/>
      <c r="D82" s="618"/>
    </row>
    <row r="83" spans="1:4" ht="23.25" customHeight="1" thickBot="1">
      <c r="A83" s="992" t="s">
        <v>488</v>
      </c>
      <c r="B83" s="993"/>
      <c r="C83" s="632">
        <f>C60+C67+C80</f>
        <v>1880866.03</v>
      </c>
      <c r="D83" s="633">
        <f>D60+D67+D80</f>
        <v>1861797.55</v>
      </c>
    </row>
    <row r="84" spans="1:4" ht="17.25" customHeight="1" thickBot="1">
      <c r="A84" s="410" t="s">
        <v>489</v>
      </c>
      <c r="B84" s="411"/>
      <c r="C84" s="619"/>
      <c r="D84" s="620"/>
    </row>
    <row r="85" spans="1:4" ht="25.5" customHeight="1" thickBot="1">
      <c r="A85" s="412" t="s">
        <v>490</v>
      </c>
      <c r="B85" s="413"/>
      <c r="C85" s="634">
        <f>C38+C58+C83+C84</f>
        <v>27999.99999999907</v>
      </c>
      <c r="D85" s="635">
        <f>D38+D58+D83+D84</f>
        <v>-79298.89000000106</v>
      </c>
    </row>
    <row r="86" spans="1:4" ht="12.75">
      <c r="A86" s="414" t="s">
        <v>491</v>
      </c>
      <c r="B86" s="415"/>
      <c r="C86" s="621">
        <f>+D87</f>
        <v>550000</v>
      </c>
      <c r="D86" s="622">
        <f>+ACTIVO!B45</f>
        <v>629298.89</v>
      </c>
    </row>
    <row r="87" spans="1:4" ht="13.5" customHeight="1" thickBot="1">
      <c r="A87" s="416" t="s">
        <v>492</v>
      </c>
      <c r="B87" s="417"/>
      <c r="C87" s="623">
        <f>+ACTIVO!D45</f>
        <v>578000</v>
      </c>
      <c r="D87" s="624">
        <f>+ACTIVO!C45</f>
        <v>550000</v>
      </c>
    </row>
    <row r="88" spans="3:4" ht="12.75">
      <c r="C88" s="382"/>
      <c r="D88" s="382"/>
    </row>
    <row r="89" spans="3:4" ht="12.75">
      <c r="C89" s="418"/>
      <c r="D89" s="418"/>
    </row>
    <row r="90" spans="3:4" ht="12.75">
      <c r="C90" s="418"/>
      <c r="D90" s="418"/>
    </row>
    <row r="91" spans="3:4" ht="12.75">
      <c r="C91" s="418"/>
      <c r="D91" s="418"/>
    </row>
    <row r="92" spans="3:4" ht="12.75">
      <c r="C92" s="418"/>
      <c r="D92" s="418"/>
    </row>
    <row r="93" spans="3:4" ht="12.75">
      <c r="C93" s="418"/>
      <c r="D93" s="418"/>
    </row>
    <row r="94" spans="3:4" ht="12.75">
      <c r="C94" s="418"/>
      <c r="D94" s="418"/>
    </row>
    <row r="95" spans="3:4" ht="12.75">
      <c r="C95" s="418"/>
      <c r="D95" s="418"/>
    </row>
    <row r="96" spans="3:4" ht="12.75">
      <c r="C96" s="418"/>
      <c r="D96" s="418"/>
    </row>
    <row r="97" spans="3:4" ht="12.75">
      <c r="C97" s="418"/>
      <c r="D97" s="418"/>
    </row>
    <row r="98" spans="3:4" ht="12.75">
      <c r="C98" s="418"/>
      <c r="D98" s="418"/>
    </row>
    <row r="99" spans="3:4" ht="12.75">
      <c r="C99" s="418"/>
      <c r="D99" s="418"/>
    </row>
    <row r="100" spans="3:4" ht="12.75">
      <c r="C100" s="418"/>
      <c r="D100" s="418"/>
    </row>
    <row r="101" spans="3:4" ht="12.75">
      <c r="C101" s="418"/>
      <c r="D101" s="418"/>
    </row>
    <row r="102" spans="3:4" ht="12.75">
      <c r="C102" s="418"/>
      <c r="D102" s="418"/>
    </row>
  </sheetData>
  <sheetProtection/>
  <mergeCells count="6">
    <mergeCell ref="C2:D2"/>
    <mergeCell ref="A83:B83"/>
    <mergeCell ref="A7:C7"/>
    <mergeCell ref="A8:C8"/>
    <mergeCell ref="A9:D9"/>
    <mergeCell ref="A38:B38"/>
  </mergeCells>
  <printOptions horizontalCentered="1" verticalCentered="1"/>
  <pageMargins left="0.7480314960629921" right="0.2362204724409449" top="0.57" bottom="0.984251968503937" header="0" footer="0"/>
  <pageSetup orientation="portrait" paperSize="9" scale="60" r:id="rId2"/>
  <headerFooter alignWithMargins="0">
    <oddFooter>&amp;L&amp;7Plaza de España, 1
38003 Santa Cruz de Tenerife
Teléfono: 901 501 901
www.tenerife.es</oddFooter>
  </headerFooter>
  <colBreaks count="1" manualBreakCount="1">
    <brk id="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zoomScale="70" zoomScaleNormal="70" zoomScalePageLayoutView="0" workbookViewId="0" topLeftCell="A1">
      <selection activeCell="C5" sqref="C5"/>
    </sheetView>
  </sheetViews>
  <sheetFormatPr defaultColWidth="11.57421875" defaultRowHeight="12.75"/>
  <cols>
    <col min="1" max="1" width="15.7109375" style="133" customWidth="1"/>
    <col min="2" max="2" width="43.28125" style="133" customWidth="1"/>
    <col min="3" max="3" width="10.7109375" style="133" bestFit="1" customWidth="1"/>
    <col min="4" max="4" width="8.140625" style="133" bestFit="1" customWidth="1"/>
    <col min="5" max="5" width="10.421875" style="133" customWidth="1"/>
    <col min="6" max="6" width="14.140625" style="133" customWidth="1"/>
    <col min="7" max="7" width="12.00390625" style="133" bestFit="1" customWidth="1"/>
    <col min="8" max="13" width="11.57421875" style="133" customWidth="1"/>
    <col min="14" max="14" width="13.00390625" style="133" bestFit="1" customWidth="1"/>
    <col min="15" max="16384" width="11.57421875" style="133" customWidth="1"/>
  </cols>
  <sheetData>
    <row r="1" spans="1:7" ht="15">
      <c r="A1" s="830"/>
      <c r="B1" s="830"/>
      <c r="C1" s="820" t="s">
        <v>674</v>
      </c>
      <c r="D1" s="830"/>
      <c r="E1" s="830"/>
      <c r="F1" s="830"/>
      <c r="G1" s="830"/>
    </row>
    <row r="2" spans="1:7" ht="14.25">
      <c r="A2" s="830"/>
      <c r="B2" s="830"/>
      <c r="C2" s="821" t="s">
        <v>675</v>
      </c>
      <c r="D2" s="830"/>
      <c r="E2" s="830"/>
      <c r="F2" s="830"/>
      <c r="G2" s="830"/>
    </row>
    <row r="3" spans="1:7" ht="14.25">
      <c r="A3" s="830"/>
      <c r="B3" s="830"/>
      <c r="C3" s="830"/>
      <c r="D3" s="830"/>
      <c r="E3" s="830"/>
      <c r="F3" s="830"/>
      <c r="G3" s="830"/>
    </row>
    <row r="4" spans="1:7" ht="14.25">
      <c r="A4" s="830"/>
      <c r="B4" s="830"/>
      <c r="C4" s="830"/>
      <c r="D4" s="830"/>
      <c r="E4" s="830"/>
      <c r="F4" s="830"/>
      <c r="G4" s="830"/>
    </row>
    <row r="5" spans="1:7" ht="15">
      <c r="A5" s="819" t="s">
        <v>525</v>
      </c>
      <c r="B5" s="830"/>
      <c r="C5" s="824">
        <v>42339</v>
      </c>
      <c r="D5" s="830"/>
      <c r="E5" s="830"/>
      <c r="F5" s="830"/>
      <c r="G5" s="830"/>
    </row>
    <row r="6" spans="1:7" ht="15">
      <c r="A6" s="819" t="s">
        <v>673</v>
      </c>
      <c r="B6" s="830"/>
      <c r="C6" s="823" t="s">
        <v>676</v>
      </c>
      <c r="D6" s="830"/>
      <c r="E6" s="830"/>
      <c r="F6" s="830"/>
      <c r="G6" s="830"/>
    </row>
    <row r="7" ht="13.5" thickBot="1"/>
    <row r="8" spans="1:16" ht="12.75">
      <c r="A8" s="1005" t="s">
        <v>493</v>
      </c>
      <c r="B8" s="1006"/>
      <c r="C8" s="1006"/>
      <c r="D8" s="1006"/>
      <c r="E8" s="1006"/>
      <c r="F8" s="1006"/>
      <c r="G8" s="1006"/>
      <c r="H8" s="1006"/>
      <c r="I8" s="1006"/>
      <c r="J8" s="1006"/>
      <c r="K8" s="1006"/>
      <c r="L8" s="1006"/>
      <c r="M8" s="1006"/>
      <c r="N8" s="1005">
        <v>2016</v>
      </c>
      <c r="O8" s="1006"/>
      <c r="P8" s="1014"/>
    </row>
    <row r="9" spans="1:16" ht="15.75" customHeight="1">
      <c r="A9" s="1007" t="s">
        <v>494</v>
      </c>
      <c r="B9" s="1008"/>
      <c r="C9" s="1008"/>
      <c r="D9" s="1008"/>
      <c r="E9" s="1008"/>
      <c r="F9" s="1008"/>
      <c r="G9" s="1008"/>
      <c r="H9" s="1008"/>
      <c r="I9" s="1008"/>
      <c r="J9" s="1008"/>
      <c r="K9" s="1008"/>
      <c r="L9" s="1008"/>
      <c r="M9" s="1008"/>
      <c r="N9" s="1007"/>
      <c r="O9" s="1008"/>
      <c r="P9" s="1015"/>
    </row>
    <row r="10" spans="1:16" ht="19.5" customHeight="1" thickBot="1">
      <c r="A10" s="1009" t="str">
        <f>CPYG!A8</f>
        <v>SPET, TURISMO DE TENERIFE, S.A.</v>
      </c>
      <c r="B10" s="1010"/>
      <c r="C10" s="1010"/>
      <c r="D10" s="1010"/>
      <c r="E10" s="1010"/>
      <c r="F10" s="1010"/>
      <c r="G10" s="1010"/>
      <c r="H10" s="1010"/>
      <c r="I10" s="1010"/>
      <c r="J10" s="1010"/>
      <c r="K10" s="1010"/>
      <c r="L10" s="1010"/>
      <c r="M10" s="1010"/>
      <c r="N10" s="1011" t="s">
        <v>495</v>
      </c>
      <c r="O10" s="1012"/>
      <c r="P10" s="1013"/>
    </row>
    <row r="11" spans="1:16" ht="23.25" customHeight="1">
      <c r="A11" s="1016" t="s">
        <v>496</v>
      </c>
      <c r="B11" s="1017"/>
      <c r="C11" s="210"/>
      <c r="D11" s="210"/>
      <c r="E11" s="210"/>
      <c r="F11" s="211"/>
      <c r="G11" s="1016" t="s">
        <v>497</v>
      </c>
      <c r="H11" s="1017"/>
      <c r="I11" s="1017"/>
      <c r="J11" s="1017"/>
      <c r="K11" s="1018"/>
      <c r="L11" s="1016" t="s">
        <v>498</v>
      </c>
      <c r="M11" s="1017"/>
      <c r="N11" s="1017"/>
      <c r="O11" s="1017"/>
      <c r="P11" s="1018"/>
    </row>
    <row r="12" spans="1:16" ht="53.25" customHeight="1" thickBot="1">
      <c r="A12" s="212" t="s">
        <v>499</v>
      </c>
      <c r="B12" s="213" t="s">
        <v>500</v>
      </c>
      <c r="C12" s="214" t="s">
        <v>501</v>
      </c>
      <c r="D12" s="214" t="s">
        <v>502</v>
      </c>
      <c r="E12" s="214" t="s">
        <v>503</v>
      </c>
      <c r="F12" s="215" t="s">
        <v>788</v>
      </c>
      <c r="G12" s="213">
        <v>2016</v>
      </c>
      <c r="H12" s="213">
        <v>2017</v>
      </c>
      <c r="I12" s="213">
        <v>2018</v>
      </c>
      <c r="J12" s="213">
        <v>2019</v>
      </c>
      <c r="K12" s="216" t="s">
        <v>504</v>
      </c>
      <c r="L12" s="213">
        <v>2016</v>
      </c>
      <c r="M12" s="213">
        <v>2017</v>
      </c>
      <c r="N12" s="213">
        <v>2018</v>
      </c>
      <c r="O12" s="213">
        <v>2019</v>
      </c>
      <c r="P12" s="216" t="s">
        <v>504</v>
      </c>
    </row>
    <row r="13" spans="1:16" ht="19.5" customHeight="1">
      <c r="A13" s="636"/>
      <c r="B13" s="637"/>
      <c r="C13" s="637"/>
      <c r="D13" s="637"/>
      <c r="E13" s="638"/>
      <c r="F13" s="639"/>
      <c r="G13" s="640"/>
      <c r="H13" s="638"/>
      <c r="I13" s="638"/>
      <c r="J13" s="638"/>
      <c r="K13" s="639"/>
      <c r="L13" s="640"/>
      <c r="M13" s="638"/>
      <c r="N13" s="638"/>
      <c r="O13" s="638"/>
      <c r="P13" s="639"/>
    </row>
    <row r="14" spans="1:16" ht="19.5" customHeight="1">
      <c r="A14" s="641"/>
      <c r="B14" s="642"/>
      <c r="C14" s="642"/>
      <c r="D14" s="642"/>
      <c r="E14" s="643"/>
      <c r="F14" s="644"/>
      <c r="G14" s="645"/>
      <c r="H14" s="643"/>
      <c r="I14" s="643"/>
      <c r="J14" s="643"/>
      <c r="K14" s="644"/>
      <c r="L14" s="645"/>
      <c r="M14" s="643"/>
      <c r="N14" s="643"/>
      <c r="O14" s="643"/>
      <c r="P14" s="644"/>
    </row>
    <row r="15" spans="1:16" ht="19.5" customHeight="1">
      <c r="A15" s="641"/>
      <c r="B15" s="642"/>
      <c r="C15" s="642"/>
      <c r="D15" s="642"/>
      <c r="E15" s="643"/>
      <c r="F15" s="644"/>
      <c r="G15" s="645"/>
      <c r="H15" s="643"/>
      <c r="I15" s="643"/>
      <c r="J15" s="643"/>
      <c r="K15" s="644"/>
      <c r="L15" s="645"/>
      <c r="M15" s="643"/>
      <c r="N15" s="643"/>
      <c r="O15" s="643"/>
      <c r="P15" s="644"/>
    </row>
    <row r="16" spans="1:16" ht="19.5" customHeight="1">
      <c r="A16" s="641"/>
      <c r="B16" s="642"/>
      <c r="C16" s="642"/>
      <c r="D16" s="642"/>
      <c r="E16" s="643"/>
      <c r="F16" s="644"/>
      <c r="G16" s="645"/>
      <c r="H16" s="643"/>
      <c r="I16" s="643"/>
      <c r="J16" s="643"/>
      <c r="K16" s="644"/>
      <c r="L16" s="645"/>
      <c r="M16" s="643"/>
      <c r="N16" s="643"/>
      <c r="O16" s="643"/>
      <c r="P16" s="644"/>
    </row>
    <row r="17" spans="1:16" ht="19.5" customHeight="1">
      <c r="A17" s="641"/>
      <c r="B17" s="642"/>
      <c r="C17" s="642"/>
      <c r="D17" s="642"/>
      <c r="E17" s="643"/>
      <c r="F17" s="644"/>
      <c r="G17" s="645"/>
      <c r="H17" s="643"/>
      <c r="I17" s="643"/>
      <c r="J17" s="643"/>
      <c r="K17" s="644"/>
      <c r="L17" s="645"/>
      <c r="M17" s="643"/>
      <c r="N17" s="643"/>
      <c r="O17" s="643"/>
      <c r="P17" s="644"/>
    </row>
    <row r="18" spans="1:16" ht="19.5" customHeight="1">
      <c r="A18" s="641"/>
      <c r="B18" s="642"/>
      <c r="C18" s="642"/>
      <c r="D18" s="642"/>
      <c r="E18" s="643"/>
      <c r="F18" s="644"/>
      <c r="G18" s="645"/>
      <c r="H18" s="643"/>
      <c r="I18" s="643"/>
      <c r="J18" s="643"/>
      <c r="K18" s="644"/>
      <c r="L18" s="645"/>
      <c r="M18" s="643"/>
      <c r="N18" s="643"/>
      <c r="O18" s="643"/>
      <c r="P18" s="644"/>
    </row>
    <row r="19" spans="1:16" ht="19.5" customHeight="1">
      <c r="A19" s="641"/>
      <c r="B19" s="642"/>
      <c r="C19" s="642"/>
      <c r="D19" s="642"/>
      <c r="E19" s="643"/>
      <c r="F19" s="644"/>
      <c r="G19" s="645"/>
      <c r="H19" s="643"/>
      <c r="I19" s="643"/>
      <c r="J19" s="643"/>
      <c r="K19" s="644"/>
      <c r="L19" s="645"/>
      <c r="M19" s="643"/>
      <c r="N19" s="643"/>
      <c r="O19" s="643"/>
      <c r="P19" s="644"/>
    </row>
    <row r="20" spans="1:16" ht="19.5" customHeight="1">
      <c r="A20" s="641"/>
      <c r="B20" s="642"/>
      <c r="C20" s="642"/>
      <c r="D20" s="642"/>
      <c r="E20" s="643"/>
      <c r="F20" s="644"/>
      <c r="G20" s="645"/>
      <c r="H20" s="643"/>
      <c r="I20" s="643"/>
      <c r="J20" s="643"/>
      <c r="K20" s="644"/>
      <c r="L20" s="645"/>
      <c r="M20" s="643"/>
      <c r="N20" s="643"/>
      <c r="O20" s="643"/>
      <c r="P20" s="644"/>
    </row>
    <row r="21" spans="1:16" ht="19.5" customHeight="1">
      <c r="A21" s="641"/>
      <c r="B21" s="642"/>
      <c r="C21" s="642"/>
      <c r="D21" s="642"/>
      <c r="E21" s="643"/>
      <c r="F21" s="644"/>
      <c r="G21" s="645"/>
      <c r="H21" s="643"/>
      <c r="I21" s="643"/>
      <c r="J21" s="643"/>
      <c r="K21" s="644"/>
      <c r="L21" s="645"/>
      <c r="M21" s="643"/>
      <c r="N21" s="643"/>
      <c r="O21" s="643"/>
      <c r="P21" s="644"/>
    </row>
    <row r="22" spans="1:16" ht="19.5" customHeight="1">
      <c r="A22" s="641"/>
      <c r="B22" s="642"/>
      <c r="C22" s="642"/>
      <c r="D22" s="642"/>
      <c r="E22" s="643"/>
      <c r="F22" s="644"/>
      <c r="G22" s="645"/>
      <c r="H22" s="643"/>
      <c r="I22" s="643"/>
      <c r="J22" s="643"/>
      <c r="K22" s="644"/>
      <c r="L22" s="645"/>
      <c r="M22" s="643"/>
      <c r="N22" s="643"/>
      <c r="O22" s="643"/>
      <c r="P22" s="644"/>
    </row>
    <row r="23" spans="1:16" ht="19.5" customHeight="1">
      <c r="A23" s="641"/>
      <c r="B23" s="642"/>
      <c r="C23" s="642"/>
      <c r="D23" s="642"/>
      <c r="E23" s="643"/>
      <c r="F23" s="644"/>
      <c r="G23" s="645"/>
      <c r="H23" s="643"/>
      <c r="I23" s="643"/>
      <c r="J23" s="643"/>
      <c r="K23" s="644"/>
      <c r="L23" s="645"/>
      <c r="M23" s="643"/>
      <c r="N23" s="643"/>
      <c r="O23" s="643"/>
      <c r="P23" s="644"/>
    </row>
    <row r="24" spans="1:16" ht="19.5" customHeight="1">
      <c r="A24" s="641"/>
      <c r="B24" s="642"/>
      <c r="C24" s="642"/>
      <c r="D24" s="642"/>
      <c r="E24" s="643"/>
      <c r="F24" s="644"/>
      <c r="G24" s="645"/>
      <c r="H24" s="643"/>
      <c r="I24" s="643"/>
      <c r="J24" s="643"/>
      <c r="K24" s="644"/>
      <c r="L24" s="645"/>
      <c r="M24" s="643"/>
      <c r="N24" s="643"/>
      <c r="O24" s="643"/>
      <c r="P24" s="644"/>
    </row>
    <row r="25" spans="1:16" ht="19.5" customHeight="1">
      <c r="A25" s="641"/>
      <c r="B25" s="642"/>
      <c r="C25" s="642"/>
      <c r="D25" s="642"/>
      <c r="E25" s="643"/>
      <c r="F25" s="644"/>
      <c r="G25" s="645"/>
      <c r="H25" s="643"/>
      <c r="I25" s="643"/>
      <c r="J25" s="643"/>
      <c r="K25" s="644"/>
      <c r="L25" s="645"/>
      <c r="M25" s="643"/>
      <c r="N25" s="643"/>
      <c r="O25" s="643"/>
      <c r="P25" s="644"/>
    </row>
    <row r="26" spans="1:16" ht="19.5" customHeight="1">
      <c r="A26" s="641"/>
      <c r="B26" s="642"/>
      <c r="C26" s="642"/>
      <c r="D26" s="642"/>
      <c r="E26" s="643"/>
      <c r="F26" s="644"/>
      <c r="G26" s="645"/>
      <c r="H26" s="643"/>
      <c r="I26" s="643"/>
      <c r="J26" s="643"/>
      <c r="K26" s="644"/>
      <c r="L26" s="645"/>
      <c r="M26" s="643"/>
      <c r="N26" s="643"/>
      <c r="O26" s="643"/>
      <c r="P26" s="644"/>
    </row>
    <row r="27" spans="1:16" ht="19.5" customHeight="1">
      <c r="A27" s="641"/>
      <c r="B27" s="642"/>
      <c r="C27" s="642"/>
      <c r="D27" s="642"/>
      <c r="E27" s="643"/>
      <c r="F27" s="644"/>
      <c r="G27" s="645"/>
      <c r="H27" s="643"/>
      <c r="I27" s="643"/>
      <c r="J27" s="643"/>
      <c r="K27" s="644"/>
      <c r="L27" s="645"/>
      <c r="M27" s="643"/>
      <c r="N27" s="643"/>
      <c r="O27" s="643"/>
      <c r="P27" s="644"/>
    </row>
    <row r="28" spans="1:16" ht="19.5" customHeight="1">
      <c r="A28" s="641"/>
      <c r="B28" s="642"/>
      <c r="C28" s="642"/>
      <c r="D28" s="642"/>
      <c r="E28" s="643"/>
      <c r="F28" s="644"/>
      <c r="G28" s="645"/>
      <c r="H28" s="643"/>
      <c r="I28" s="643"/>
      <c r="J28" s="643"/>
      <c r="K28" s="644"/>
      <c r="L28" s="645"/>
      <c r="M28" s="643"/>
      <c r="N28" s="643"/>
      <c r="O28" s="643"/>
      <c r="P28" s="644"/>
    </row>
    <row r="29" spans="1:16" ht="19.5" customHeight="1">
      <c r="A29" s="641"/>
      <c r="B29" s="642"/>
      <c r="C29" s="642"/>
      <c r="D29" s="642"/>
      <c r="E29" s="643"/>
      <c r="F29" s="644"/>
      <c r="G29" s="645"/>
      <c r="H29" s="643"/>
      <c r="I29" s="643"/>
      <c r="J29" s="643"/>
      <c r="K29" s="644"/>
      <c r="L29" s="645"/>
      <c r="M29" s="643"/>
      <c r="N29" s="643"/>
      <c r="O29" s="643"/>
      <c r="P29" s="644"/>
    </row>
    <row r="30" spans="1:16" ht="19.5" customHeight="1">
      <c r="A30" s="641"/>
      <c r="B30" s="642"/>
      <c r="C30" s="642"/>
      <c r="D30" s="642"/>
      <c r="E30" s="643"/>
      <c r="F30" s="644"/>
      <c r="G30" s="645"/>
      <c r="H30" s="643"/>
      <c r="I30" s="643"/>
      <c r="J30" s="643"/>
      <c r="K30" s="644"/>
      <c r="L30" s="645"/>
      <c r="M30" s="643"/>
      <c r="N30" s="643"/>
      <c r="O30" s="643"/>
      <c r="P30" s="644"/>
    </row>
    <row r="31" spans="1:16" ht="19.5" customHeight="1">
      <c r="A31" s="641"/>
      <c r="B31" s="642"/>
      <c r="C31" s="642"/>
      <c r="D31" s="642"/>
      <c r="E31" s="643"/>
      <c r="F31" s="644"/>
      <c r="G31" s="645"/>
      <c r="H31" s="643"/>
      <c r="I31" s="643"/>
      <c r="J31" s="643"/>
      <c r="K31" s="644"/>
      <c r="L31" s="645"/>
      <c r="M31" s="643"/>
      <c r="N31" s="643"/>
      <c r="O31" s="643"/>
      <c r="P31" s="644"/>
    </row>
    <row r="32" spans="1:16" ht="19.5" customHeight="1">
      <c r="A32" s="641"/>
      <c r="B32" s="642"/>
      <c r="C32" s="642"/>
      <c r="D32" s="642"/>
      <c r="E32" s="643"/>
      <c r="F32" s="644"/>
      <c r="G32" s="645"/>
      <c r="H32" s="643"/>
      <c r="I32" s="643"/>
      <c r="J32" s="643"/>
      <c r="K32" s="644"/>
      <c r="L32" s="645"/>
      <c r="M32" s="643"/>
      <c r="N32" s="643"/>
      <c r="O32" s="643"/>
      <c r="P32" s="644"/>
    </row>
    <row r="33" spans="1:16" ht="19.5" customHeight="1" thickBot="1">
      <c r="A33" s="646"/>
      <c r="B33" s="647"/>
      <c r="C33" s="647"/>
      <c r="D33" s="647"/>
      <c r="E33" s="648"/>
      <c r="F33" s="649"/>
      <c r="G33" s="650"/>
      <c r="H33" s="648"/>
      <c r="I33" s="648"/>
      <c r="J33" s="648"/>
      <c r="K33" s="649"/>
      <c r="L33" s="650"/>
      <c r="M33" s="648"/>
      <c r="N33" s="648"/>
      <c r="O33" s="648"/>
      <c r="P33" s="649"/>
    </row>
    <row r="34" spans="1:6" ht="12.75">
      <c r="A34" s="158"/>
      <c r="B34" s="158"/>
      <c r="C34" s="158"/>
      <c r="D34" s="158"/>
      <c r="E34" s="158"/>
      <c r="F34" s="158"/>
    </row>
    <row r="35" s="866" customFormat="1" ht="12.75" hidden="1">
      <c r="A35" s="866" t="s">
        <v>505</v>
      </c>
    </row>
    <row r="36" spans="1:10" s="866" customFormat="1" ht="12.75" hidden="1">
      <c r="A36" s="1004" t="s">
        <v>506</v>
      </c>
      <c r="B36" s="1004"/>
      <c r="C36" s="1004"/>
      <c r="D36" s="1004"/>
      <c r="E36" s="1004"/>
      <c r="F36" s="1004"/>
      <c r="G36" s="1004"/>
      <c r="H36" s="1004"/>
      <c r="I36" s="1004"/>
      <c r="J36" s="1004"/>
    </row>
    <row r="37" spans="1:9" s="866" customFormat="1" ht="12.75" hidden="1">
      <c r="A37" s="1004" t="s">
        <v>507</v>
      </c>
      <c r="B37" s="1004"/>
      <c r="C37" s="1004"/>
      <c r="D37" s="1004"/>
      <c r="E37" s="1004"/>
      <c r="F37" s="1004"/>
      <c r="G37" s="1004"/>
      <c r="H37" s="1004"/>
      <c r="I37" s="1004"/>
    </row>
    <row r="38" s="866" customFormat="1" ht="12.75" hidden="1"/>
  </sheetData>
  <sheetProtection/>
  <mergeCells count="10">
    <mergeCell ref="N10:P10"/>
    <mergeCell ref="N8:P9"/>
    <mergeCell ref="A11:B11"/>
    <mergeCell ref="G11:K11"/>
    <mergeCell ref="L11:P11"/>
    <mergeCell ref="A37:I37"/>
    <mergeCell ref="A8:M8"/>
    <mergeCell ref="A9:M9"/>
    <mergeCell ref="A10:M10"/>
    <mergeCell ref="A36:J36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jruiz</cp:lastModifiedBy>
  <cp:lastPrinted>2015-11-29T11:34:48Z</cp:lastPrinted>
  <dcterms:created xsi:type="dcterms:W3CDTF">2004-09-28T16:33:32Z</dcterms:created>
  <dcterms:modified xsi:type="dcterms:W3CDTF">2016-03-07T10:17:35Z</dcterms:modified>
  <cp:category/>
  <cp:version/>
  <cp:contentType/>
  <cp:contentStatus/>
</cp:coreProperties>
</file>