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776" yWindow="600" windowWidth="23136" windowHeight="13056" tabRatio="850" firstSheet="15" activeTab="22"/>
  </bookViews>
  <sheets>
    <sheet name="_GENERAL" sheetId="1" r:id="rId1"/>
    <sheet name="_CHECK_LIST" sheetId="2" r:id="rId2"/>
    <sheet name="FC-1_ORGANOS_GOBIERNO" sheetId="3" r:id="rId3"/>
    <sheet name="FC-2_ACCIONISTAS" sheetId="4" r:id="rId4"/>
    <sheet name="FC-3_CPyG" sheetId="5" r:id="rId5"/>
    <sheet name="FC-3_1_INF_ADIC_CPyG" sheetId="6" r:id="rId6"/>
    <sheet name="FC-4_ACTIVO" sheetId="7" r:id="rId7"/>
    <sheet name="FC-4_PASIVO" sheetId="8" r:id="rId8"/>
    <sheet name="FC-4_1_MOV_FP" sheetId="9" r:id="rId9"/>
    <sheet name="FC-5_EFE" sheetId="10" r:id="rId10"/>
    <sheet name="FC-6_Inversiones" sheetId="11" r:id="rId11"/>
    <sheet name="FC-7_INF" sheetId="12" r:id="rId12"/>
    <sheet name="FC-8_INV_FINANCIERAS" sheetId="13" r:id="rId13"/>
    <sheet name="FC-9_TRANS_SUBV" sheetId="14" r:id="rId14"/>
    <sheet name="FC-10_DEUDAS" sheetId="15" r:id="rId15"/>
    <sheet name="FC-11_DEUDA_VIVA" sheetId="16" r:id="rId16"/>
    <sheet name="FC-12_PERFIL_VTO_DEUDA" sheetId="17" r:id="rId17"/>
    <sheet name="FC-13_PERSONAL" sheetId="18" r:id="rId18"/>
    <sheet name="FC-14_OPER_INTERNAS" sheetId="19" r:id="rId19"/>
    <sheet name="FC-15_ENCOMIENDAS" sheetId="20" r:id="rId20"/>
    <sheet name="_FC-16_ESTAB_PRESUP" sheetId="21" r:id="rId21"/>
    <sheet name="FC-17_FINANCIACIÓN" sheetId="22" r:id="rId22"/>
    <sheet name="FC-90" sheetId="23" r:id="rId23"/>
    <sheet name="_FC-90_DETALLE" sheetId="24" r:id="rId24"/>
  </sheets>
  <definedNames>
    <definedName name="_xlnm.Print_Area" localSheetId="1">'_CHECK_LIST'!$B$5:$H$59</definedName>
    <definedName name="_xlnm.Print_Area" localSheetId="20">'_FC-16_ESTAB_PRESUP'!$B$1:$H$55</definedName>
    <definedName name="_xlnm.Print_Area" localSheetId="0">'_GENERAL'!$B$5:$N$44</definedName>
    <definedName name="_xlnm.Print_Area" localSheetId="2">'FC-1_ORGANOS_GOBIERNO'!$B$1:$I$48</definedName>
    <definedName name="_xlnm.Print_Area" localSheetId="14">'FC-10_DEUDAS'!$B$5:$T$120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'FC-15_ENCOMIENDAS'!$B$1:$H$41</definedName>
    <definedName name="_xlnm.Print_Area" localSheetId="21">'FC-17_FINANCIACIÓN'!$B$1:$F$46</definedName>
    <definedName name="_xlnm.Print_Area" localSheetId="3">'FC-2_ACCIONISTAS'!$B$1:$Q$61</definedName>
    <definedName name="_xlnm.Print_Area" localSheetId="5">'FC-3_1_INF_ADIC_CPyG'!$B$1:$N$107</definedName>
    <definedName name="_xlnm.Print_Area" localSheetId="4">'FC-3_CPyG'!$B$1:$H$92</definedName>
    <definedName name="_xlnm.Print_Area" localSheetId="8">'FC-4_1_MOV_FP'!$B$5:$Q$58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'FC-7_INF'!$B$1:$O$52</definedName>
    <definedName name="_xlnm.Print_Area" localSheetId="12">'FC-8_INV_FINANCIERAS'!$B$1:$N$85</definedName>
    <definedName name="_xlnm.Print_Area" localSheetId="13">'FC-9_TRANS_SUBV'!$B$1:$Q$139</definedName>
    <definedName name="_xlnm.Print_Area" localSheetId="22">'FC-90'!$B$1:$F$70</definedName>
    <definedName name="DEPENDENCIA">'_GENERAL'!$H$15</definedName>
    <definedName name="ejercicio">'_GENERAL'!$D$15</definedName>
    <definedName name="Entidad">'_GENERAL'!$D$13</definedName>
  </definedNames>
  <calcPr fullCalcOnLoad="1"/>
</workbook>
</file>

<file path=xl/sharedStrings.xml><?xml version="1.0" encoding="utf-8"?>
<sst xmlns="http://schemas.openxmlformats.org/spreadsheetml/2006/main" count="2303" uniqueCount="1190">
  <si>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</si>
  <si>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</si>
  <si>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</si>
  <si>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</si>
  <si>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</si>
  <si>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</si>
  <si>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</si>
  <si>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</si>
  <si>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</si>
  <si>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indexed="8"/>
        <rFont val="Arial"/>
        <family val="2"/>
      </rPr>
      <t xml:space="preserve"> importes estimados</t>
    </r>
    <r>
      <rPr>
        <sz val="9"/>
        <color indexed="8"/>
        <rFont val="Arial"/>
        <family val="2"/>
      </rPr>
      <t xml:space="preserve"> son los correspondientes a:</t>
    </r>
  </si>
  <si>
    <r>
      <t>Cuando se refiere a</t>
    </r>
    <r>
      <rPr>
        <b/>
        <sz val="9"/>
        <color indexed="8"/>
        <rFont val="Arial"/>
        <family val="2"/>
      </rPr>
      <t xml:space="preserve"> importes previsibles</t>
    </r>
    <r>
      <rPr>
        <sz val="9"/>
        <color indexed="8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</si>
  <si>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</si>
  <si>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</si>
  <si>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</si>
  <si>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</si>
  <si>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</si>
  <si>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</si>
  <si>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</si>
  <si>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</si>
  <si>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</si>
  <si>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</si>
  <si>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indexed="8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</si>
  <si>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</si>
  <si>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</si>
  <si>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</si>
  <si>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 val="single"/>
        <sz val="12"/>
        <color indexed="8"/>
        <rFont val="Arial"/>
        <family val="2"/>
      </rPr>
      <t>positivo</t>
    </r>
  </si>
  <si>
    <r>
      <t xml:space="preserve">DETALLE DE GASTOS (Cta 678) (3).     Cifras en </t>
    </r>
    <r>
      <rPr>
        <b/>
        <u val="single"/>
        <sz val="12"/>
        <color indexed="8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</si>
  <si>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</si>
  <si>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</si>
  <si>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</si>
  <si>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</si>
  <si>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</si>
  <si>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</si>
  <si>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</si>
  <si>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</si>
  <si>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</si>
  <si>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</si>
  <si>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</si>
  <si>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</si>
  <si>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</si>
  <si>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</si>
  <si>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</si>
  <si>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</si>
  <si>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Detalle de ingresos y gastos excepcionales. INGRESOS 778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</si>
  <si>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</si>
  <si>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</si>
  <si>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</si>
  <si>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</si>
  <si>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</si>
  <si>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</si>
  <si>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</si>
  <si>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</si>
  <si>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</si>
  <si>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</si>
  <si>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</si>
  <si>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</si>
  <si>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</si>
  <si>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</si>
  <si>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</si>
  <si>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</si>
  <si>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</si>
  <si>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</si>
  <si>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</si>
  <si>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</si>
  <si>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</si>
  <si>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</si>
  <si>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</si>
  <si>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</si>
  <si>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</si>
  <si>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</si>
  <si>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</si>
  <si>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</si>
  <si>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</si>
  <si>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</si>
  <si>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</si>
  <si>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</si>
  <si>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</si>
  <si>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</si>
  <si>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</si>
  <si>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</si>
  <si>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</si>
  <si>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</si>
  <si>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</si>
  <si>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</si>
  <si>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Detalle de ingresos y gastos excepcionales. GASTOS 678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</si>
  <si>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</si>
  <si>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</si>
  <si>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</si>
  <si>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</si>
  <si>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</si>
  <si>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</si>
  <si>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</si>
  <si>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</si>
  <si>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</si>
  <si>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</si>
  <si>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</si>
  <si>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</si>
  <si>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</si>
  <si>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</si>
  <si>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</si>
  <si>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</si>
  <si>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</si>
  <si>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</si>
  <si>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</si>
  <si>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</si>
  <si>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</si>
  <si>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</si>
  <si>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</si>
  <si>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</si>
  <si>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</si>
  <si>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</si>
  <si>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</si>
  <si>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</si>
  <si>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</si>
  <si>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</si>
  <si>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</si>
  <si>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</si>
  <si>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</si>
  <si>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</si>
  <si>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</si>
  <si>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</si>
  <si>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</si>
  <si>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</si>
  <si>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</si>
  <si>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</si>
  <si>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</si>
  <si>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</si>
  <si>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</si>
  <si>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</si>
  <si>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</si>
  <si>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</si>
  <si>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</si>
  <si>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</si>
  <si>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</si>
  <si>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</si>
  <si>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</si>
  <si>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</si>
  <si>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</si>
  <si>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</si>
  <si>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</si>
  <si>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</si>
  <si>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</si>
  <si>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</si>
  <si>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</si>
  <si>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</si>
  <si>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indexed="8"/>
        <rFont val="Arial"/>
        <family val="2"/>
      </rPr>
      <t xml:space="preserve">Largo Plazo </t>
    </r>
    <r>
      <rPr>
        <sz val="12"/>
        <color indexed="8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</si>
  <si>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indexed="8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</si>
  <si>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</si>
  <si>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</si>
  <si>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</si>
  <si>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</si>
  <si>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</si>
  <si>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indexed="8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</si>
  <si>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</si>
  <si>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</si>
  <si>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</si>
  <si>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</si>
  <si>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</si>
  <si>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</si>
  <si>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</si>
  <si>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</si>
  <si>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</si>
  <si>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</si>
  <si>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indexed="8"/>
        <rFont val="Arial"/>
        <family val="2"/>
      </rPr>
      <t>ubvenciones capital</t>
    </r>
    <r>
      <rPr>
        <sz val="12"/>
        <color indexed="8"/>
        <rFont val="Arial"/>
        <family val="2"/>
      </rPr>
      <t xml:space="preserve"> concedidas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= </t>
    </r>
    <r>
      <rPr>
        <sz val="12"/>
        <color indexed="8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</si>
  <si>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indexed="8"/>
        <rFont val="Arial"/>
        <family val="2"/>
      </rPr>
      <t>( B) II. 5. )</t>
    </r>
    <r>
      <rPr>
        <sz val="10"/>
        <color indexed="8"/>
        <rFont val="Arial"/>
        <family val="2"/>
      </rPr>
      <t xml:space="preserve">  y a corto plazo</t>
    </r>
    <r>
      <rPr>
        <b/>
        <sz val="10"/>
        <color indexed="8"/>
        <rFont val="Arial"/>
        <family val="2"/>
      </rPr>
      <t xml:space="preserve"> ( C) III. 5. )</t>
    </r>
    <r>
      <rPr>
        <sz val="10"/>
        <color indexed="8"/>
        <rFont val="Arial"/>
        <family val="2"/>
      </rPr>
      <t>, y  deudas con empresas del grupo y asociadas a largo plazo</t>
    </r>
    <r>
      <rPr>
        <b/>
        <sz val="10"/>
        <color indexed="8"/>
        <rFont val="Arial"/>
        <family val="2"/>
      </rPr>
      <t xml:space="preserve"> ( B) III. ) </t>
    </r>
    <r>
      <rPr>
        <sz val="10"/>
        <color indexed="8"/>
        <rFont val="Arial"/>
        <family val="2"/>
      </rPr>
      <t xml:space="preserve">y a corto plazo </t>
    </r>
    <r>
      <rPr>
        <b/>
        <sz val="10"/>
        <color indexed="8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</si>
  <si>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indexed="8"/>
        <rFont val="Arial"/>
        <family val="2"/>
      </rPr>
      <t>B) II.2. - B) II.3. )</t>
    </r>
    <r>
      <rPr>
        <sz val="10"/>
        <color indexed="8"/>
        <rFont val="Arial"/>
        <family val="2"/>
      </rPr>
      <t xml:space="preserve"> y a corto plazo</t>
    </r>
    <r>
      <rPr>
        <b/>
        <sz val="10"/>
        <color indexed="8"/>
        <rFont val="Arial"/>
        <family val="2"/>
      </rPr>
      <t xml:space="preserve"> (  C) III.2  C) III.3.  )</t>
    </r>
    <r>
      <rPr>
        <sz val="10"/>
        <color indexed="8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</si>
  <si>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</si>
  <si>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</si>
  <si>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</si>
  <si>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</si>
  <si>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</si>
  <si>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</si>
  <si>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</si>
  <si>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</si>
  <si>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</si>
  <si>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r>
      <rPr>
        <sz val="12"/>
        <color indexed="8"/>
        <rFont val="Arial"/>
        <family val="2"/>
      </rPr>
      <t xml:space="preserve">Deudas entidades crédito </t>
    </r>
    <r>
      <rPr>
        <sz val="12"/>
        <color indexed="8"/>
        <rFont val="Arial"/>
        <family val="2"/>
      </rPr>
      <t>Clasificación CP+LP = Total deuda a 31-12-2018 en FC-10</t>
    </r>
  </si>
  <si>
    <r>
      <t xml:space="preserve">Otros pasivos financieros </t>
    </r>
    <r>
      <rPr>
        <sz val="12"/>
        <color indexed="8"/>
        <rFont val="Arial"/>
        <family val="2"/>
      </rPr>
      <t>Clasificación CP+LP = Total deuda a 31-12-2018 en FC-10</t>
    </r>
  </si>
  <si>
    <r>
      <t xml:space="preserve">Deudas empresas grupo </t>
    </r>
    <r>
      <rPr>
        <sz val="12"/>
        <color indexed="8"/>
        <rFont val="Arial"/>
        <family val="2"/>
      </rPr>
      <t>Clasificación CP+LP = Total deuda a 31-12-2018 en FC-10</t>
    </r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</si>
  <si>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</si>
  <si>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</si>
  <si>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</si>
  <si>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</si>
  <si>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</si>
  <si>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</si>
  <si>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</si>
  <si>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</si>
  <si>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</si>
  <si>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</si>
  <si>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</si>
  <si>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</si>
  <si>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</si>
  <si>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</si>
  <si>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</si>
  <si>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</si>
  <si>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</si>
  <si>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</si>
  <si>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</si>
  <si>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</si>
  <si>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indexed="8"/>
        <rFont val="Arial"/>
        <family val="2"/>
      </rPr>
      <t>portaciones socios en FC-4</t>
    </r>
    <r>
      <rPr>
        <sz val="12"/>
        <color indexed="8"/>
        <rFont val="Arial"/>
        <family val="2"/>
      </rPr>
      <t>.1 Movimiento Fondos Propios</t>
    </r>
    <r>
      <rPr>
        <sz val="12"/>
        <color indexed="8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</si>
  <si>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</si>
  <si>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</si>
  <si>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</si>
  <si>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</si>
  <si>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</si>
  <si>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CORREGIR EN PLANTILLA PAIF</t>
  </si>
  <si>
    <t>INTRODUCCIÓN FORMULADA TRAS ANÁLISIS DE MOVIMIENTOS</t>
  </si>
  <si>
    <t>(Aportación de socios)</t>
  </si>
  <si>
    <t>Rtdo. Ejercicio</t>
  </si>
  <si>
    <t>y otras Variaciones</t>
  </si>
  <si>
    <t>Notas explicativas</t>
  </si>
  <si>
    <t>Concedido (4)</t>
  </si>
  <si>
    <r>
      <rPr>
        <b/>
        <sz val="11"/>
        <color indexed="8"/>
        <rFont val="Arial"/>
        <family val="2"/>
      </rPr>
      <t>Capital Amort.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</si>
  <si>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</si>
  <si>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</si>
  <si>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</si>
  <si>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</si>
  <si>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indexed="8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</si>
  <si>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</si>
  <si>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</si>
  <si>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</si>
  <si>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</si>
  <si>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</si>
  <si>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</si>
  <si>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</si>
  <si>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Ancero Auditores</t>
  </si>
  <si>
    <t>INSTITUTO TECNOLOGICO Y DE ENERGIAS RENOVABLES S.A.</t>
  </si>
  <si>
    <t>CANARIAS SUBMARINE LINK</t>
  </si>
  <si>
    <t>INSTITUTO TECNOLOGICO Y DE TELECOMUNICACIONES</t>
  </si>
  <si>
    <t>INSTITUTO VOLCANOLOGICO DE CANARIAS</t>
  </si>
  <si>
    <t>POL. IND DE GRANADILLA</t>
  </si>
  <si>
    <t>EOLICAS DE TENERIFE</t>
  </si>
  <si>
    <t>AYUNTAMIENTO DE GRANADILLA</t>
  </si>
  <si>
    <t>AYUNTAMIENTO DE ADEJE</t>
  </si>
  <si>
    <t>CANALINK AFRICA</t>
  </si>
  <si>
    <t>Liq. Gobcan IGIC import DUA fuera plazo</t>
  </si>
  <si>
    <t>Genomica Analisis Masivo Datos</t>
  </si>
  <si>
    <t>Cabildo</t>
  </si>
  <si>
    <t>TDT Cabildo TV</t>
  </si>
  <si>
    <t>TF Vinos</t>
  </si>
  <si>
    <t>TF Aguas</t>
  </si>
  <si>
    <t>Tenair</t>
  </si>
  <si>
    <t>Volriskmac</t>
  </si>
  <si>
    <t>Union Europea</t>
  </si>
  <si>
    <t>Sosturmac</t>
  </si>
  <si>
    <t>Seafuel</t>
  </si>
  <si>
    <t>Africa Autosuficiencia Energetica</t>
  </si>
  <si>
    <t>Analisis Masivo Datos Genómicos</t>
  </si>
  <si>
    <t>TDT Cultura</t>
  </si>
  <si>
    <t>TDT Informática</t>
  </si>
  <si>
    <t>TDT Promocion Contenido</t>
  </si>
  <si>
    <t>Electrificacion Senegal</t>
  </si>
  <si>
    <t>CEDEI</t>
  </si>
  <si>
    <t>Aires de Tenerife</t>
  </si>
  <si>
    <t>Vinos de Tenerife</t>
  </si>
  <si>
    <t>Canal TV</t>
  </si>
  <si>
    <t>Soluciones Movilidad Tenerife</t>
  </si>
  <si>
    <t>MICINN</t>
  </si>
  <si>
    <t>Torres Quevedo Lucca</t>
  </si>
  <si>
    <t>UDIGEN</t>
  </si>
  <si>
    <t>Termovolcan</t>
  </si>
  <si>
    <t>GRIDER</t>
  </si>
  <si>
    <t>Timanfaya</t>
  </si>
  <si>
    <t>MPM-SYSTEM</t>
  </si>
  <si>
    <t>M3-Control</t>
  </si>
  <si>
    <t>NATURDRON</t>
  </si>
  <si>
    <t>MEC</t>
  </si>
  <si>
    <t>Retos Vertegas</t>
  </si>
  <si>
    <t>Retos Spiterm 2018</t>
  </si>
  <si>
    <t>Retos Spiterm 2019</t>
  </si>
  <si>
    <t>Ayuda Doctorado</t>
  </si>
  <si>
    <t>Formacion Profesorado Universitario</t>
  </si>
  <si>
    <t>Retos Heliodron</t>
  </si>
  <si>
    <t>Ayuda Contratacion Personal Apoyo</t>
  </si>
  <si>
    <t>Retos Simmula</t>
  </si>
  <si>
    <t>Retos Aisovol</t>
  </si>
  <si>
    <t>Smartlodging4guest</t>
  </si>
  <si>
    <t>CDTI</t>
  </si>
  <si>
    <t>Geoatlantic</t>
  </si>
  <si>
    <t>Préstamo</t>
  </si>
  <si>
    <t>Banesto-BSCH</t>
  </si>
  <si>
    <t>2.B.II</t>
  </si>
  <si>
    <t>No</t>
  </si>
  <si>
    <t>Caixabank</t>
  </si>
  <si>
    <t>Póliza Préstamo</t>
  </si>
  <si>
    <t>Banco Sabadell</t>
  </si>
  <si>
    <t>Ministerio</t>
  </si>
  <si>
    <t>Prestamo</t>
  </si>
  <si>
    <t>2.C.II</t>
  </si>
  <si>
    <t>INSTITUTO TECNOLOGICO Y DE TELECOMUNICACIONES DE TENERIFE, SL</t>
  </si>
  <si>
    <t>INSTITUTO VOLCANOLOGICO DE CANARIAS SA</t>
  </si>
  <si>
    <t>EÓLICAS DE TENERIFE</t>
  </si>
  <si>
    <t>ENERGIA VERDE DE LA MACARONESIA, SL</t>
  </si>
  <si>
    <t>EVM2 ENERGIAS RENOVABLES, SL</t>
  </si>
  <si>
    <t>SOLTEN II GRANADILLA, SA</t>
  </si>
  <si>
    <t>PARQUES EOLICOS DE GRANADILLA AIE</t>
  </si>
  <si>
    <t>CDAD DE AGUAS UNION NORTE</t>
  </si>
  <si>
    <t>PARQUE EOLICOS PUNTA DE TENO</t>
  </si>
  <si>
    <t>CAIXABANK</t>
  </si>
  <si>
    <t>Creditos L/P: CB REGAI y Personal</t>
  </si>
  <si>
    <t>Fianzas y depósitos</t>
  </si>
  <si>
    <t>Oblig Caixabank</t>
  </si>
  <si>
    <t>Cta Corriente emp vic, fianzas y depósitos</t>
  </si>
  <si>
    <t>Deuda efecto impositivo</t>
  </si>
  <si>
    <t>ITER</t>
  </si>
  <si>
    <t>2.C.IV</t>
  </si>
  <si>
    <t>Nave Euclides</t>
  </si>
  <si>
    <t>Centro de Ensayo</t>
  </si>
  <si>
    <t>Sistema Acumulacion y Gestion Carga</t>
  </si>
  <si>
    <t>Sistema Climatizacion NAP</t>
  </si>
  <si>
    <t>Parque Eolico de Arico</t>
  </si>
  <si>
    <t>Parques Eólicos de Granadilla</t>
  </si>
  <si>
    <t>Proyecto Fotobat 5+5 Arico</t>
  </si>
  <si>
    <t>Equipamiento Genómica Analisis Masivo Datos</t>
  </si>
  <si>
    <t>Equipos Proyectos Autosuf. Energetica África</t>
  </si>
  <si>
    <t>Equipos e Infraestructuras Proyecto Volriskmac</t>
  </si>
  <si>
    <t>Equipos e Infraestructuras Proyecto Seafuel</t>
  </si>
  <si>
    <t>Fianzas y depósitos recibidos / partidas pdtes aplicación</t>
  </si>
  <si>
    <t>Carlos Enrique Alonso Rodríguez</t>
  </si>
  <si>
    <t xml:space="preserve">Antonio Miguel García Marichal </t>
  </si>
  <si>
    <t>Manuel Fernández Vega</t>
  </si>
  <si>
    <t>Aurelio Abreu Expósito</t>
  </si>
  <si>
    <t>Miguel Ángel Pérez Hernández</t>
  </si>
  <si>
    <t>Miguel Becerra Domínguez</t>
  </si>
  <si>
    <t>José Luis Rivero Plasencia</t>
  </si>
  <si>
    <t>Felix Fariña Rodríguez</t>
  </si>
  <si>
    <t>Gabriel Megias Martinez</t>
  </si>
  <si>
    <t>Manuel Cendagorta-Galarza López</t>
  </si>
  <si>
    <t>Jose Antonio Duque Diaz</t>
  </si>
  <si>
    <t>Eduardo Ballesteros Ruíz-Benítez de Lugo</t>
  </si>
  <si>
    <t>Fernando Sabaté Bel</t>
  </si>
  <si>
    <t>Serafín Corral Quintana</t>
  </si>
  <si>
    <t>Eólicas de Tenerife</t>
  </si>
  <si>
    <t>V38402574</t>
  </si>
  <si>
    <t>-</t>
  </si>
  <si>
    <t>Energía Verde de la Macaronesia SL</t>
  </si>
  <si>
    <t>B38927976</t>
  </si>
  <si>
    <t>EVM2 Energías Renovables SL</t>
  </si>
  <si>
    <t>B38927463</t>
  </si>
  <si>
    <t>Solten II Granadilla SA</t>
  </si>
  <si>
    <t>A38928610</t>
  </si>
  <si>
    <t>A=60 / B=9664</t>
  </si>
  <si>
    <t>Parque Eólico Punta de Teno</t>
  </si>
  <si>
    <t>A38555454</t>
  </si>
  <si>
    <t>Parques Eólicos de Granadilla AIE</t>
  </si>
  <si>
    <t>G38799748</t>
  </si>
  <si>
    <t>Instituto Volcanológico de Canarias SAU</t>
  </si>
  <si>
    <t>A-76519925</t>
  </si>
  <si>
    <t>Tech Development Europe SA</t>
  </si>
  <si>
    <t>A38592354</t>
  </si>
  <si>
    <t>Instituto Tecnológico y de Telecomunicaciones de Tenerife SL</t>
  </si>
  <si>
    <t>B-38982310</t>
  </si>
  <si>
    <t>P3800001D</t>
  </si>
  <si>
    <t>A</t>
  </si>
  <si>
    <t>B</t>
  </si>
  <si>
    <t>Instituto Tecnológico de Canarias</t>
  </si>
  <si>
    <t>A35313170</t>
  </si>
  <si>
    <t>AUTOCARTERA</t>
  </si>
  <si>
    <t>Porcentaje Final 93,46 %</t>
  </si>
  <si>
    <t>Porcentaje Final 1,47 %</t>
  </si>
  <si>
    <t>Porcentaje Final 2,23 %</t>
  </si>
  <si>
    <t>Porcentaje  Final 2,84 %</t>
  </si>
  <si>
    <t>Ampliacion capital + prima emisión</t>
  </si>
  <si>
    <t>OK</t>
  </si>
  <si>
    <t>?</t>
  </si>
  <si>
    <t>Cred emp grupo efto imp IT3</t>
  </si>
  <si>
    <t>Cred emp grupo efto imp IVC</t>
  </si>
  <si>
    <t>Cred emp grup eft imp Canalink</t>
  </si>
  <si>
    <t>Cred emp grup eft imp C.Africa</t>
  </si>
  <si>
    <t>Cred emp grup eft imp C.Bahari</t>
  </si>
  <si>
    <t>AGENCIA INSULAR DE ENERGIA</t>
  </si>
  <si>
    <t>EOLICAS DE TENERIFE AIE</t>
  </si>
  <si>
    <t>IT3</t>
  </si>
  <si>
    <t>INST.VOLCANOLOGICO DE CANARIAS</t>
  </si>
  <si>
    <t>EVM2 ENERGIAS RENOVABLES</t>
  </si>
  <si>
    <t>ENERGIA VERDE MACARONESIA</t>
  </si>
  <si>
    <t>PARQUES EOLIC.GRANADILLA AIE</t>
  </si>
  <si>
    <t>Ptmo IT3</t>
  </si>
  <si>
    <t>Intereses devengados IT3</t>
  </si>
  <si>
    <t>Intereses devengados Canalink</t>
  </si>
  <si>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</si>
  <si>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</si>
  <si>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</si>
  <si>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</si>
  <si>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</si>
  <si>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</si>
  <si>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</si>
  <si>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</si>
  <si>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</si>
  <si>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</si>
  <si>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</si>
  <si>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</si>
  <si>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</si>
  <si>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</si>
  <si>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</si>
  <si>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</si>
  <si>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</si>
  <si>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</si>
  <si>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</si>
  <si>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</si>
  <si>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</si>
  <si>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</si>
  <si>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</si>
  <si>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</si>
  <si>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</si>
  <si>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</si>
  <si>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</si>
  <si>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</si>
  <si>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</si>
  <si>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</si>
  <si>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</si>
  <si>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</si>
  <si>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</si>
  <si>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</si>
  <si>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</si>
  <si>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</si>
  <si>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</si>
  <si>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</si>
  <si>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</si>
  <si>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</si>
  <si>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</si>
  <si>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</si>
  <si>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</si>
  <si>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</si>
  <si>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</si>
  <si>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</si>
  <si>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</si>
  <si>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</si>
  <si>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</si>
  <si>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</si>
  <si>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</si>
  <si>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</si>
  <si>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</si>
  <si>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</si>
  <si>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</si>
  <si>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</si>
  <si>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</si>
  <si>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</si>
  <si>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</si>
  <si>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</si>
  <si>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</si>
  <si>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</si>
  <si>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</si>
  <si>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</si>
  <si>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</si>
  <si>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</si>
  <si>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</si>
  <si>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</si>
  <si>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</si>
  <si>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</si>
  <si>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</si>
  <si>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</si>
  <si>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</si>
  <si>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</si>
  <si>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</si>
  <si>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</si>
  <si>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</si>
  <si>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</si>
  <si>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</si>
  <si>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</si>
  <si>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</si>
  <si>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</si>
  <si>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</si>
  <si>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</si>
  <si>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</si>
  <si>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</si>
  <si>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</si>
  <si>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</si>
  <si>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</si>
  <si>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</si>
  <si>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</si>
  <si>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</si>
  <si>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</si>
  <si>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</si>
  <si>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</si>
  <si>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</si>
  <si>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</si>
  <si>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</si>
  <si>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</si>
  <si>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</si>
  <si>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</si>
  <si>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</si>
  <si>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</si>
  <si>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</si>
  <si>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</si>
  <si>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</si>
  <si>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</si>
  <si>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</si>
  <si>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</si>
  <si>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</si>
  <si>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</si>
  <si>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</si>
  <si>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</si>
  <si>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</si>
  <si>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</si>
  <si>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</si>
  <si>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</si>
  <si>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</si>
  <si>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</si>
  <si>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</si>
  <si>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</si>
  <si>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</si>
  <si>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</si>
  <si>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</si>
  <si>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</si>
  <si>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</si>
  <si>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</si>
  <si>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</si>
  <si>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</si>
  <si>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</si>
  <si>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</si>
  <si>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</si>
  <si>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</si>
  <si>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</si>
  <si>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</si>
  <si>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</si>
  <si>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</si>
  <si>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</si>
  <si>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</si>
  <si>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</si>
  <si>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</si>
  <si>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</si>
  <si>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</si>
  <si>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</si>
  <si>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</si>
  <si>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</si>
  <si>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</si>
  <si>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</si>
  <si>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</si>
  <si>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</si>
  <si>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</si>
  <si>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</si>
  <si>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</si>
  <si>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</si>
  <si>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</si>
  <si>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</si>
  <si>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</si>
  <si>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</si>
  <si>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</si>
  <si>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</si>
  <si>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</si>
  <si>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</si>
  <si>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</si>
  <si>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</si>
  <si>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</si>
  <si>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</si>
  <si>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</si>
  <si>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</si>
  <si>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</si>
  <si>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</si>
  <si>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</si>
  <si>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</si>
  <si>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</si>
  <si>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</si>
  <si>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</si>
  <si>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</si>
  <si>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</si>
  <si>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</si>
  <si>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</si>
  <si>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</si>
  <si>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</si>
  <si>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</si>
  <si>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</si>
  <si>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</si>
  <si>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</si>
  <si>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</si>
  <si>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</si>
  <si>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</si>
  <si>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</si>
  <si>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</si>
  <si>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</si>
  <si>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</si>
  <si>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</si>
  <si>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</si>
  <si>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</si>
  <si>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</si>
  <si>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</si>
  <si>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</si>
  <si>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</si>
  <si>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</si>
  <si>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</si>
  <si>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</si>
  <si>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</si>
  <si>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</si>
  <si>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</si>
  <si>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</si>
  <si>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</si>
  <si>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</si>
  <si>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</si>
  <si>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</si>
  <si>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</si>
  <si>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</si>
  <si>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</si>
  <si>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</si>
  <si>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</si>
  <si>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</si>
  <si>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</si>
  <si>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</si>
  <si>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</si>
  <si>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</si>
  <si>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</si>
  <si>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</si>
  <si>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</si>
  <si>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</si>
  <si>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</si>
  <si>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</si>
  <si>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</si>
  <si>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</si>
  <si>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</si>
  <si>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</si>
  <si>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</si>
  <si>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</si>
  <si>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</si>
  <si>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</si>
  <si>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</si>
  <si>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</si>
  <si>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</si>
  <si>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</si>
  <si>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</si>
  <si>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</si>
  <si>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</si>
  <si>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</si>
  <si>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</si>
  <si>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</si>
  <si>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</si>
  <si>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</si>
  <si>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</si>
  <si>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</si>
  <si>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</si>
  <si>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</si>
  <si>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</si>
  <si>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</si>
  <si>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</si>
  <si>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</si>
  <si>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</si>
  <si>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</si>
  <si>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</si>
  <si>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</si>
  <si>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</si>
  <si>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</si>
  <si>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</si>
  <si>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</si>
  <si>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</si>
  <si>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</si>
  <si>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</si>
  <si>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</si>
  <si>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</si>
  <si>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</si>
  <si>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</si>
  <si>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</si>
  <si>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</si>
  <si>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</si>
  <si>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</si>
  <si>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</si>
  <si>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</si>
  <si>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</si>
  <si>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</si>
  <si>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</si>
  <si>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</si>
  <si>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</si>
  <si>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</si>
  <si>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</si>
  <si>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</si>
  <si>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</si>
  <si>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</si>
  <si>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</si>
  <si>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</si>
  <si>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</si>
  <si>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</si>
  <si>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</si>
  <si>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</si>
  <si>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</si>
  <si>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</si>
  <si>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</si>
  <si>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</si>
  <si>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</si>
  <si>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</si>
  <si>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</si>
  <si>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</si>
  <si>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</si>
  <si>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</si>
  <si>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</si>
  <si>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</si>
  <si>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</si>
  <si>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</si>
  <si>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</si>
  <si>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</si>
  <si>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</si>
  <si>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</si>
  <si>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</si>
  <si>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</si>
  <si>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</si>
  <si>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</si>
  <si>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</si>
  <si>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</si>
  <si>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</si>
  <si>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</si>
  <si>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</si>
  <si>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</si>
  <si>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</si>
  <si>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</si>
  <si>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</si>
  <si>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</si>
  <si>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</si>
  <si>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</si>
  <si>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</si>
  <si>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</si>
  <si>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</si>
  <si>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</si>
  <si>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</si>
  <si>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</si>
  <si>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</si>
  <si>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</si>
  <si>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</si>
  <si>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</si>
  <si>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</si>
  <si>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</si>
  <si>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</si>
  <si>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</si>
  <si>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</si>
  <si>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</si>
  <si>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</si>
  <si>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</si>
  <si>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</si>
  <si>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</si>
  <si>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</si>
  <si>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</si>
  <si>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</si>
  <si>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</si>
  <si>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</si>
  <si>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</si>
  <si>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</si>
  <si>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</si>
  <si>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</si>
  <si>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</si>
  <si>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</si>
  <si>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</si>
  <si>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</si>
  <si>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</si>
  <si>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</si>
  <si>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</si>
  <si>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</si>
  <si>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</si>
  <si>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</si>
  <si>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</si>
  <si>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</si>
  <si>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</si>
  <si>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</si>
  <si>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</si>
  <si>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</si>
  <si>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</si>
  <si>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</si>
  <si>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</si>
  <si>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</si>
  <si>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 xml:space="preserve">    Área de Presidencia</t>
  </si>
  <si>
    <t xml:space="preserve">    Dirección Insular de Hacienda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</si>
  <si>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</si>
  <si>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</si>
  <si>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</si>
  <si>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</si>
  <si>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</si>
  <si>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</si>
  <si>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</si>
  <si>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</si>
  <si>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</si>
  <si>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</si>
  <si>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</si>
  <si>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</si>
  <si>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</si>
  <si>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</si>
  <si>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</si>
  <si>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</si>
  <si>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</si>
  <si>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</si>
  <si>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</si>
  <si>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</si>
  <si>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</si>
  <si>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</si>
  <si>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</si>
  <si>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</si>
  <si>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</si>
  <si>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</si>
  <si>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</si>
  <si>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</si>
  <si>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</si>
  <si>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</si>
  <si>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</si>
  <si>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</si>
  <si>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</si>
  <si>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</si>
  <si>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indexed="8"/>
        <rFont val="Arial"/>
        <family val="2"/>
      </rPr>
      <t>(1)</t>
    </r>
  </si>
  <si>
    <r>
      <t xml:space="preserve">Saldo final </t>
    </r>
    <r>
      <rPr>
        <b/>
        <sz val="9"/>
        <color indexed="8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</si>
  <si>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</si>
  <si>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</si>
  <si>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</si>
  <si>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</si>
  <si>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</si>
  <si>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</si>
  <si>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</si>
  <si>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</si>
  <si>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</si>
  <si>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</si>
  <si>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</si>
  <si>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</si>
  <si>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</si>
  <si>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</si>
  <si>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</si>
  <si>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</si>
  <si>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</si>
  <si>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</si>
  <si>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</si>
  <si>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</si>
  <si>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</si>
  <si>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</si>
  <si>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</si>
  <si>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</si>
  <si>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</si>
  <si>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</si>
  <si>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</si>
  <si>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</si>
  <si>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</si>
  <si>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</si>
  <si>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</si>
  <si>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</si>
  <si>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</si>
  <si>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</si>
  <si>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</si>
  <si>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</si>
  <si>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</si>
  <si>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</si>
  <si>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</si>
  <si>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</si>
  <si>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</si>
  <si>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</si>
  <si>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</si>
  <si>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</si>
  <si>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</si>
  <si>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</si>
  <si>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</si>
  <si>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</si>
  <si>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</si>
  <si>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</si>
  <si>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indexed="8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</si>
  <si>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</si>
  <si>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</si>
  <si>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</si>
  <si>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</si>
  <si>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indexed="8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</si>
  <si>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</si>
  <si>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</si>
  <si>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</si>
  <si>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</si>
  <si>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</si>
  <si>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</si>
  <si>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</si>
  <si>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</si>
  <si>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</si>
  <si>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</si>
  <si>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</si>
  <si>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</si>
  <si>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</si>
  <si>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</si>
  <si>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</si>
  <si>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</si>
  <si>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</si>
  <si>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</si>
  <si>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</si>
  <si>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</si>
  <si>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</si>
  <si>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</si>
  <si>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</si>
  <si>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</si>
  <si>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</si>
  <si>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</si>
  <si>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</si>
  <si>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</si>
  <si>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</si>
  <si>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</si>
  <si>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</si>
  <si>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</si>
  <si>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</si>
  <si>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</si>
  <si>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</si>
  <si>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</si>
  <si>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</si>
  <si>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</si>
  <si>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</si>
  <si>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</si>
  <si>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</si>
  <si>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</si>
  <si>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</si>
  <si>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</si>
  <si>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</si>
  <si>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</si>
  <si>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</si>
  <si>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</si>
  <si>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</si>
  <si>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</si>
  <si>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</si>
  <si>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</si>
  <si>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indexed="8"/>
        <rFont val="Arial"/>
        <family val="2"/>
      </rPr>
      <t>Todas los datos económicos deben expresarse en EUROS</t>
    </r>
    <r>
      <rPr>
        <sz val="12"/>
        <color indexed="8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</si>
  <si>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</si>
  <si>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</si>
  <si>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</si>
  <si>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</si>
  <si>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</si>
  <si>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</si>
  <si>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</si>
  <si>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</si>
  <si>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</si>
  <si>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</si>
  <si>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</si>
  <si>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</si>
  <si>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</si>
  <si>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</si>
  <si>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</si>
  <si>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</si>
  <si>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</si>
  <si>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</si>
  <si>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</si>
  <si>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</si>
  <si>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</si>
  <si>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</si>
  <si>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</si>
  <si>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</si>
  <si>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</si>
  <si>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</si>
  <si>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</si>
  <si>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</si>
  <si>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</si>
  <si>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</si>
  <si>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</si>
  <si>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</si>
  <si>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</si>
  <si>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</si>
  <si>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</si>
  <si>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</si>
  <si>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</si>
  <si>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</si>
  <si>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</si>
  <si>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</si>
  <si>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</si>
  <si>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</si>
  <si>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</si>
  <si>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</si>
  <si>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</si>
  <si>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</si>
  <si>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</si>
  <si>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</si>
  <si>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</si>
  <si>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</si>
  <si>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</si>
  <si>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</si>
  <si>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</si>
  <si>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</si>
  <si>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</si>
  <si>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</si>
  <si>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</si>
  <si>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</si>
  <si>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</si>
  <si>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</si>
  <si>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</si>
  <si>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</si>
  <si>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</si>
  <si>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</si>
  <si>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</si>
  <si>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</si>
  <si>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</si>
  <si>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</si>
  <si>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</si>
  <si>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</si>
  <si>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</si>
  <si>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</si>
  <si>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</si>
  <si>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</si>
  <si>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</si>
  <si>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</si>
  <si>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</si>
  <si>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</si>
  <si>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</si>
  <si>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</si>
  <si>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</si>
  <si>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</si>
  <si>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</si>
  <si>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</si>
  <si>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</si>
  <si>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</si>
  <si>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</si>
  <si>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</si>
  <si>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</si>
  <si>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</si>
  <si>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</si>
  <si>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</si>
  <si>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</si>
  <si>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</si>
  <si>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</si>
  <si>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</si>
  <si>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</si>
  <si>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</si>
  <si>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</si>
  <si>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</si>
  <si>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</si>
  <si>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</si>
  <si>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</si>
  <si>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</si>
  <si>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</si>
  <si>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</si>
  <si>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</si>
  <si>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</si>
  <si>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</si>
  <si>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</si>
  <si>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</si>
  <si>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</si>
  <si>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</si>
  <si>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</si>
  <si>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</si>
  <si>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</si>
  <si>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</si>
  <si>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</si>
  <si>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</si>
  <si>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</si>
  <si>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</si>
  <si>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</si>
  <si>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</si>
  <si>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</si>
  <si>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</si>
  <si>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</si>
  <si>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</si>
  <si>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</si>
  <si>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</si>
  <si>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</si>
  <si>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</si>
  <si>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</si>
  <si>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</si>
  <si>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</si>
  <si>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</si>
  <si>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</si>
  <si>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</si>
  <si>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</si>
  <si>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</si>
  <si>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</si>
  <si>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</si>
  <si>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</si>
  <si>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</si>
  <si>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</si>
  <si>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</si>
  <si>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</si>
  <si>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</si>
  <si>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</si>
  <si>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</si>
  <si>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</si>
  <si>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</si>
  <si>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</si>
  <si>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</si>
  <si>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</si>
  <si>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</si>
  <si>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</si>
  <si>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</si>
  <si>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</si>
  <si>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</si>
  <si>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</si>
  <si>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indexed="8"/>
        <rFont val="Arial"/>
        <family val="2"/>
      </rPr>
      <t>14</t>
    </r>
  </si>
  <si>
    <r>
      <t>FC-</t>
    </r>
    <r>
      <rPr>
        <sz val="12"/>
        <color indexed="8"/>
        <rFont val="Arial"/>
        <family val="2"/>
      </rPr>
      <t>15</t>
    </r>
  </si>
  <si>
    <r>
      <t>FC-</t>
    </r>
    <r>
      <rPr>
        <sz val="12"/>
        <color indexed="8"/>
        <rFont val="Arial"/>
        <family val="2"/>
      </rPr>
      <t>16</t>
    </r>
  </si>
  <si>
    <r>
      <t>FC-</t>
    </r>
    <r>
      <rPr>
        <sz val="12"/>
        <color indexed="8"/>
        <rFont val="Arial"/>
        <family val="2"/>
      </rPr>
      <t>17</t>
    </r>
  </si>
  <si>
    <r>
      <t>Deuda a</t>
    </r>
    <r>
      <rPr>
        <sz val="12"/>
        <color indexed="8"/>
        <rFont val="Arial"/>
        <family val="2"/>
      </rPr>
      <t xml:space="preserve"> corto y</t>
    </r>
    <r>
      <rPr>
        <sz val="12"/>
        <color indexed="8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</si>
  <si>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</si>
  <si>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</si>
  <si>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</si>
  <si>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</si>
  <si>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</si>
  <si>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</si>
  <si>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</si>
  <si>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</si>
  <si>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</si>
  <si>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</si>
  <si>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</si>
  <si>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</si>
  <si>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</si>
  <si>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</si>
  <si>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</si>
  <si>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</si>
  <si>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</si>
  <si>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</si>
  <si>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</si>
  <si>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</si>
  <si>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indexed="8"/>
        <rFont val="Arial"/>
        <family val="2"/>
      </rPr>
      <t>-</t>
    </r>
    <r>
      <rPr>
        <sz val="12"/>
        <color indexed="8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</si>
  <si>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</si>
  <si>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</si>
  <si>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</si>
  <si>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</si>
  <si>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</si>
  <si>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</si>
  <si>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</si>
  <si>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</si>
  <si>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</si>
  <si>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</si>
  <si>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indexed="8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</si>
  <si>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</si>
  <si>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</si>
  <si>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</si>
  <si>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</si>
  <si>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</si>
  <si>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</si>
  <si>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</si>
  <si>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</si>
  <si>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</si>
  <si>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</si>
  <si>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</si>
  <si>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</si>
  <si>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</si>
  <si>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</si>
  <si>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</si>
  <si>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</si>
  <si>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indexed="8"/>
        <rFont val="Arial"/>
        <family val="2"/>
      </rPr>
      <t>"SUBVENCIONES"</t>
    </r>
    <r>
      <rPr>
        <b/>
        <sz val="14"/>
        <color indexed="8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</si>
  <si>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</si>
  <si>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indexed="8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</si>
  <si>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</si>
  <si>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</si>
  <si>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</si>
  <si>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</si>
  <si>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</si>
  <si>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</si>
  <si>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</si>
  <si>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</si>
  <si>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</si>
  <si>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</si>
  <si>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</si>
  <si>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</si>
  <si>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</si>
  <si>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</si>
  <si>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</si>
  <si>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 val="single"/>
        <sz val="12"/>
        <rFont val="Arial"/>
        <family val="2"/>
      </rPr>
      <t>adjudicadas</t>
    </r>
    <r>
      <rPr>
        <sz val="12"/>
        <color indexed="8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</si>
  <si>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</si>
  <si>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</si>
  <si>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</si>
  <si>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</si>
  <si>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</si>
  <si>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</si>
  <si>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</si>
  <si>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</si>
  <si>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</si>
  <si>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</si>
  <si>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</si>
  <si>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</si>
  <si>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</si>
  <si>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</si>
  <si>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</si>
  <si>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</si>
  <si>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</si>
  <si>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</si>
  <si>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</si>
  <si>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</si>
  <si>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</si>
  <si>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indexed="8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</si>
  <si>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</si>
  <si>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</si>
  <si>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</si>
  <si>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</si>
  <si>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</si>
  <si>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</si>
  <si>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indexed="8"/>
        <rFont val="Arial"/>
        <family val="2"/>
      </rPr>
      <t xml:space="preserve">(1) Los datos están referenciados al Activo del Balance de Situación, excepto el dato inicial del periodo n-2 que </t>
    </r>
    <r>
      <rPr>
        <b/>
        <u val="single"/>
        <sz val="10"/>
        <color indexed="8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</si>
  <si>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</si>
  <si>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</si>
  <si>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</si>
  <si>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</si>
  <si>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indexed="8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</si>
  <si>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</si>
  <si>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</si>
  <si>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</si>
  <si>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</si>
  <si>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</si>
  <si>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</si>
  <si>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</si>
  <si>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</si>
  <si>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</si>
  <si>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>Ajuste de impuesto de beneficio sin efecto presupuestario</t>
  </si>
  <si>
    <t>0702</t>
  </si>
  <si>
    <t>4632</t>
  </si>
  <si>
    <t>44931</t>
  </si>
  <si>
    <t>0731</t>
  </si>
  <si>
    <t>3343</t>
  </si>
  <si>
    <t>0711</t>
  </si>
  <si>
    <t>9261</t>
  </si>
  <si>
    <t>0161</t>
  </si>
  <si>
    <t>4911</t>
  </si>
  <si>
    <t>0153</t>
  </si>
  <si>
    <t>4401</t>
  </si>
  <si>
    <t>74142</t>
  </si>
  <si>
    <t>0911</t>
  </si>
  <si>
    <t>4391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</si>
</sst>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"/>
    <numFmt numFmtId="165" formatCode="dd\-mm\-yy;@"/>
    <numFmt numFmtId="166" formatCode="#,##0.0_);\(#,##0.0\)"/>
    <numFmt numFmtId="167" formatCode="m\-d\-yy"/>
    <numFmt numFmtId="168" formatCode="m/yy"/>
    <numFmt numFmtId="169" formatCode="#,##0_%_);\(#,##0\)_%;#,##0_%_);@_%_)"/>
    <numFmt numFmtId="170" formatCode="#,##0_%_);\(#,##0\)_%;**;@_%_)"/>
    <numFmt numFmtId="171" formatCode="_(* #,##0.00_);_(* \(#,##0.00\);_(* &quot;-&quot;??_);_(@_)"/>
    <numFmt numFmtId="172" formatCode="_-* #,##0.00\ _F_-;\-* #,##0.00\ _F_-;_-* &quot;-&quot;??\ _F_-;_-@_-"/>
    <numFmt numFmtId="173" formatCode="#,##0.0_%_);\(#,##0.0\)_%;#,##0.0_%_);@_%_)"/>
    <numFmt numFmtId="174" formatCode="_-* #,##0.00_-;\-* #,##0.00_-;_-* &quot;-&quot;??_-;_-@_-"/>
    <numFmt numFmtId="175" formatCode="_-* #,##0.00\ _ _-;\-* #,##0.00\ _ _-;_-* &quot;-&quot;??\ _ _-;_-@_-"/>
    <numFmt numFmtId="176" formatCode="&quot;$&quot;#,##0.00_);[Red]\(&quot;$&quot;#,##0.00\)"/>
    <numFmt numFmtId="177" formatCode="&quot;$&quot;#,##0_%_);\(&quot;$&quot;#,##0\)_%;&quot;$&quot;#,##0_%_);@_%_)"/>
    <numFmt numFmtId="178" formatCode="&quot;$&quot;#,##0.00_%_);\(&quot;$&quot;#,##0.00\)_%;&quot;$&quot;#,##0.00_%_);@_%_)"/>
    <numFmt numFmtId="179" formatCode="m/d/yy_%_)"/>
    <numFmt numFmtId="180" formatCode="0_%_);\(0\)_%;0_%_);@_%_)"/>
    <numFmt numFmtId="181" formatCode="_(&quot;$&quot;* #,##0_);_(&quot;$&quot;* \(#,##0\);_(&quot;$&quot;* &quot;-&quot;_);_(@_)"/>
    <numFmt numFmtId="182" formatCode="_([$€-2]* #,##0.00_);_([$€-2]* \(#,##0.00\);_([$€-2]* &quot;-&quot;??_)"/>
    <numFmt numFmtId="183" formatCode="#,##0.0_);[Red]\(#,##0.0\)"/>
    <numFmt numFmtId="184" formatCode="0.0%"/>
    <numFmt numFmtId="185" formatCode="0.0\%_);\(0.0\%\);0.0\%_);@_%_)"/>
    <numFmt numFmtId="186" formatCode="&quot;$&quot;#,##0"/>
    <numFmt numFmtId="187" formatCode="#,##0.00,,"/>
    <numFmt numFmtId="188" formatCode="#,##0.00,,\$"/>
    <numFmt numFmtId="189" formatCode="0.0\x_)_);&quot;NM&quot;_x_)_);0.0\x_)_);@_%_)"/>
    <numFmt numFmtId="190" formatCode="0.00_)"/>
    <numFmt numFmtId="191" formatCode="0\ \ ;\(0\)\ \ \ "/>
    <numFmt numFmtId="192" formatCode="&quot;@ &quot;0.00"/>
    <numFmt numFmtId="193" formatCode="_-* #,##0.00\ [$€]_-;\-* #,##0.00\ [$€]_-;_-* &quot;-&quot;??\ [$€]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114">
    <font>
      <sz val="12"/>
      <color indexed="8"/>
      <name val="Helv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Helv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55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sz val="12"/>
      <color indexed="53"/>
      <name val="Arial"/>
      <family val="2"/>
    </font>
    <font>
      <sz val="11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2"/>
      <name val="Palatino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0"/>
      <name val="Geneva"/>
      <family val="0"/>
    </font>
    <font>
      <strike/>
      <sz val="8"/>
      <name val="Arial"/>
      <family val="2"/>
    </font>
    <font>
      <sz val="10"/>
      <name val="Times New Roman"/>
      <family val="1"/>
    </font>
    <font>
      <b/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Palatino"/>
      <family val="1"/>
    </font>
    <font>
      <sz val="10"/>
      <color indexed="24"/>
      <name val="Arial"/>
      <family val="2"/>
    </font>
    <font>
      <sz val="11"/>
      <color indexed="12"/>
      <name val="Book Antiqua"/>
      <family val="1"/>
    </font>
    <font>
      <u val="doubleAccounting"/>
      <sz val="10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1"/>
      <color indexed="56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14"/>
      <name val="Calibri"/>
      <family val="2"/>
    </font>
    <font>
      <sz val="11"/>
      <name val="ＭＳ Ｐゴシック"/>
      <family val="3"/>
    </font>
    <font>
      <sz val="12"/>
      <color indexed="8"/>
      <name val="Geneva"/>
      <family val="0"/>
    </font>
    <font>
      <sz val="10"/>
      <name val="Arabic Transparent"/>
      <family val="0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i/>
      <sz val="9"/>
      <name val="Arial"/>
      <family val="2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9.5"/>
      <color indexed="23"/>
      <name val="Helvetica-Black"/>
      <family val="0"/>
    </font>
    <font>
      <u val="singleAccounting"/>
      <sz val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8"/>
      <color indexed="8"/>
      <name val="Arial"/>
      <family val="2"/>
    </font>
    <font>
      <sz val="8"/>
      <color indexed="9"/>
      <name val="Arial"/>
      <family val="2"/>
    </font>
    <font>
      <b/>
      <i/>
      <sz val="8"/>
      <name val="Helv"/>
      <family val="0"/>
    </font>
    <font>
      <u val="single"/>
      <sz val="12"/>
      <color indexed="39"/>
      <name val="Helv"/>
      <family val="2"/>
    </font>
    <font>
      <u val="single"/>
      <sz val="12"/>
      <color indexed="36"/>
      <name val="Helv"/>
      <family val="2"/>
    </font>
    <font>
      <sz val="12"/>
      <color indexed="8"/>
      <name val="Helvetica"/>
      <family val="2"/>
    </font>
    <font>
      <sz val="8"/>
      <name val="Helvetica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44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 style="thin">
        <color indexed="55"/>
      </top>
      <bottom style="medium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hair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hair">
        <color indexed="55"/>
      </right>
      <top>
        <color indexed="63"/>
      </top>
      <bottom style="thin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thin">
        <color indexed="55"/>
      </bottom>
    </border>
    <border>
      <left style="hair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55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55"/>
      </left>
      <right style="hair">
        <color indexed="55"/>
      </right>
      <top style="thin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thin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hair">
        <color indexed="55"/>
      </bottom>
    </border>
    <border>
      <left style="medium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medium">
        <color indexed="55"/>
      </left>
      <right style="thin">
        <color indexed="55"/>
      </right>
      <top style="hair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hair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medium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medium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hair">
        <color indexed="55"/>
      </bottom>
    </border>
    <border>
      <left style="thin">
        <color indexed="55"/>
      </left>
      <right style="medium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medium">
        <color indexed="55"/>
      </right>
      <top style="hair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hair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ck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ck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ck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thick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ck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ck">
        <color indexed="55"/>
      </left>
      <right style="thin">
        <color indexed="55"/>
      </right>
      <top>
        <color indexed="63"/>
      </top>
      <bottom style="hair">
        <color indexed="55"/>
      </bottom>
    </border>
  </borders>
  <cellStyleXfs count="2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55" fillId="0" borderId="0">
      <alignment horizontal="right"/>
      <protection/>
    </xf>
    <xf numFmtId="0" fontId="19" fillId="0" borderId="0">
      <alignment/>
      <protection/>
    </xf>
    <xf numFmtId="0" fontId="19" fillId="0" borderId="0">
      <alignment/>
      <protection/>
    </xf>
    <xf numFmtId="0" fontId="56" fillId="0" borderId="0" applyNumberFormat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56" fillId="0" borderId="0" applyNumberFormat="0" applyAlignment="0" applyProtection="0"/>
    <xf numFmtId="0" fontId="56" fillId="0" borderId="0" applyNumberFormat="0" applyAlignment="0" applyProtection="0"/>
    <xf numFmtId="166" fontId="19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6" borderId="0" applyNumberFormat="0" applyBorder="0" applyAlignment="0" applyProtection="0"/>
    <xf numFmtId="0" fontId="58" fillId="10" borderId="0" applyNumberFormat="0" applyBorder="0" applyAlignment="0" applyProtection="0"/>
    <xf numFmtId="0" fontId="58" fillId="3" borderId="0" applyNumberFormat="0" applyBorder="0" applyAlignment="0" applyProtection="0"/>
    <xf numFmtId="0" fontId="58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6" borderId="0" applyNumberFormat="0" applyBorder="0" applyAlignment="0" applyProtection="0"/>
    <xf numFmtId="0" fontId="58" fillId="10" borderId="0" applyNumberFormat="0" applyBorder="0" applyAlignment="0" applyProtection="0"/>
    <xf numFmtId="0" fontId="58" fillId="3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167" fontId="20" fillId="9" borderId="1">
      <alignment horizontal="center" vertical="center"/>
      <protection/>
    </xf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" fontId="59" fillId="0" borderId="0">
      <alignment/>
      <protection/>
    </xf>
    <xf numFmtId="3" fontId="59" fillId="0" borderId="0">
      <alignment/>
      <protection/>
    </xf>
    <xf numFmtId="0" fontId="80" fillId="14" borderId="0" applyNumberFormat="0" applyBorder="0" applyAlignment="0" applyProtection="0"/>
    <xf numFmtId="0" fontId="60" fillId="0" borderId="0" applyNumberFormat="0" applyFill="0" applyBorder="0" applyAlignment="0" applyProtection="0"/>
    <xf numFmtId="0" fontId="24" fillId="2" borderId="0" applyNumberFormat="0" applyFill="0" applyBorder="0" applyAlignment="0" applyProtection="0"/>
    <xf numFmtId="0" fontId="24" fillId="2" borderId="0" applyNumberFormat="0" applyFill="0" applyBorder="0" applyAlignment="0" applyProtection="0"/>
    <xf numFmtId="0" fontId="61" fillId="2" borderId="0">
      <alignment/>
      <protection/>
    </xf>
    <xf numFmtId="0" fontId="62" fillId="2" borderId="2" applyNumberFormat="0" applyFill="0" applyBorder="0" applyAlignment="0" applyProtection="0"/>
    <xf numFmtId="168" fontId="19" fillId="0" borderId="0" applyFont="0" applyFill="0" applyBorder="0" applyAlignment="0" applyProtection="0"/>
    <xf numFmtId="0" fontId="63" fillId="15" borderId="0" applyNumberFormat="0" applyBorder="0" applyAlignment="0" applyProtection="0"/>
    <xf numFmtId="0" fontId="64" fillId="2" borderId="3" applyNumberFormat="0" applyAlignment="0" applyProtection="0"/>
    <xf numFmtId="0" fontId="64" fillId="2" borderId="3" applyNumberFormat="0" applyAlignment="0" applyProtection="0"/>
    <xf numFmtId="0" fontId="65" fillId="16" borderId="4" applyNumberFormat="0" applyAlignment="0" applyProtection="0"/>
    <xf numFmtId="0" fontId="66" fillId="0" borderId="5" applyNumberFormat="0" applyFill="0" applyAlignment="0" applyProtection="0"/>
    <xf numFmtId="0" fontId="65" fillId="16" borderId="4" applyNumberFormat="0" applyAlignment="0" applyProtection="0"/>
    <xf numFmtId="169" fontId="67" fillId="0" borderId="0" applyFont="0" applyFill="0" applyBorder="0" applyAlignment="0" applyProtection="0"/>
    <xf numFmtId="170" fontId="67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6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3" fontId="68" fillId="0" borderId="0" applyFont="0" applyFill="0" applyBorder="0" applyAlignment="0" applyProtection="0"/>
    <xf numFmtId="176" fontId="69" fillId="0" borderId="6">
      <alignment/>
      <protection locked="0"/>
    </xf>
    <xf numFmtId="177" fontId="67" fillId="0" borderId="0" applyFont="0" applyFill="0" applyBorder="0" applyAlignment="0" applyProtection="0"/>
    <xf numFmtId="178" fontId="6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68" fillId="0" borderId="0" applyFont="0" applyFill="0" applyBorder="0" applyAlignment="0" applyProtection="0"/>
    <xf numFmtId="15" fontId="24" fillId="2" borderId="0" applyFont="0" applyFill="0" applyBorder="0" applyAlignment="0" applyProtection="0"/>
    <xf numFmtId="15" fontId="24" fillId="2" borderId="0" applyFont="0" applyFill="0" applyBorder="0" applyAlignment="0" applyProtection="0"/>
    <xf numFmtId="179" fontId="67" fillId="0" borderId="0" applyFont="0" applyFill="0" applyBorder="0" applyAlignment="0" applyProtection="0"/>
    <xf numFmtId="180" fontId="67" fillId="0" borderId="7" applyNumberFormat="0" applyFont="0" applyFill="0" applyAlignment="0" applyProtection="0"/>
    <xf numFmtId="181" fontId="70" fillId="0" borderId="0" applyFill="0" applyBorder="0" applyAlignment="0" applyProtection="0"/>
    <xf numFmtId="0" fontId="71" fillId="0" borderId="0" applyNumberFormat="0" applyFill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72" fillId="3" borderId="3" applyNumberFormat="0" applyAlignment="0" applyProtection="0"/>
    <xf numFmtId="182" fontId="61" fillId="0" borderId="0" applyFont="0" applyFill="0" applyBorder="0" applyAlignment="0" applyProtection="0"/>
    <xf numFmtId="193" fontId="19" fillId="0" borderId="0" applyFont="0" applyFill="0" applyBorder="0" applyAlignment="0" applyProtection="0"/>
    <xf numFmtId="0" fontId="73" fillId="0" borderId="0" applyNumberFormat="0" applyFill="0" applyBorder="0" applyAlignment="0" applyProtection="0"/>
    <xf numFmtId="2" fontId="68" fillId="0" borderId="0" applyFont="0" applyFill="0" applyBorder="0" applyAlignment="0" applyProtection="0"/>
    <xf numFmtId="0" fontId="74" fillId="0" borderId="0" applyFill="0" applyBorder="0" applyProtection="0">
      <alignment horizontal="left"/>
    </xf>
    <xf numFmtId="183" fontId="27" fillId="2" borderId="8" applyFont="0" applyBorder="0" applyAlignment="0" applyProtection="0"/>
    <xf numFmtId="183" fontId="27" fillId="2" borderId="8" applyFont="0" applyBorder="0" applyAlignment="0" applyProtection="0"/>
    <xf numFmtId="0" fontId="63" fillId="15" borderId="0" applyNumberFormat="0" applyBorder="0" applyAlignment="0" applyProtection="0"/>
    <xf numFmtId="38" fontId="27" fillId="6" borderId="0" applyNumberFormat="0" applyBorder="0" applyAlignment="0" applyProtection="0"/>
    <xf numFmtId="184" fontId="19" fillId="15" borderId="8" applyNumberFormat="0" applyFont="0" applyBorder="0" applyAlignment="0" applyProtection="0"/>
    <xf numFmtId="184" fontId="19" fillId="15" borderId="8" applyNumberFormat="0" applyFont="0" applyBorder="0" applyAlignment="0" applyProtection="0"/>
    <xf numFmtId="185" fontId="67" fillId="0" borderId="0" applyFont="0" applyFill="0" applyBorder="0" applyAlignment="0" applyProtection="0"/>
    <xf numFmtId="166" fontId="75" fillId="15" borderId="0" applyNumberFormat="0" applyFont="0" applyAlignment="0">
      <protection/>
    </xf>
    <xf numFmtId="0" fontId="76" fillId="0" borderId="0" applyProtection="0">
      <alignment horizontal="right"/>
    </xf>
    <xf numFmtId="0" fontId="20" fillId="0" borderId="0">
      <alignment/>
      <protection/>
    </xf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71" fillId="0" borderId="11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>
      <alignment/>
      <protection/>
    </xf>
    <xf numFmtId="0" fontId="79" fillId="0" borderId="0">
      <alignment/>
      <protection/>
    </xf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80" fillId="14" borderId="0" applyNumberFormat="0" applyBorder="0" applyAlignment="0" applyProtection="0"/>
    <xf numFmtId="10" fontId="27" fillId="4" borderId="8" applyNumberFormat="0" applyBorder="0" applyAlignment="0" applyProtection="0"/>
    <xf numFmtId="10" fontId="27" fillId="4" borderId="8" applyNumberFormat="0" applyBorder="0" applyAlignment="0" applyProtection="0"/>
    <xf numFmtId="0" fontId="72" fillId="3" borderId="3" applyNumberFormat="0" applyAlignment="0" applyProtection="0"/>
    <xf numFmtId="0" fontId="72" fillId="3" borderId="3" applyNumberFormat="0" applyAlignment="0" applyProtection="0"/>
    <xf numFmtId="0" fontId="72" fillId="3" borderId="3" applyNumberFormat="0" applyAlignment="0" applyProtection="0"/>
    <xf numFmtId="186" fontId="27" fillId="4" borderId="0" applyNumberFormat="0" applyFont="0" applyBorder="0" applyAlignment="0" applyProtection="0"/>
    <xf numFmtId="184" fontId="27" fillId="4" borderId="12" applyNumberFormat="0" applyFont="0" applyAlignment="0" applyProtection="0"/>
    <xf numFmtId="0" fontId="66" fillId="0" borderId="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82" fillId="0" borderId="0">
      <alignment/>
      <protection/>
    </xf>
    <xf numFmtId="188" fontId="82" fillId="0" borderId="0">
      <alignment/>
      <protection/>
    </xf>
    <xf numFmtId="188" fontId="82" fillId="0" borderId="0">
      <alignment/>
      <protection/>
    </xf>
    <xf numFmtId="187" fontId="82" fillId="0" borderId="0">
      <alignment/>
      <protection/>
    </xf>
    <xf numFmtId="187" fontId="82" fillId="0" borderId="0">
      <alignment/>
      <protection/>
    </xf>
    <xf numFmtId="187" fontId="82" fillId="0" borderId="0">
      <alignment/>
      <protection/>
    </xf>
    <xf numFmtId="187" fontId="82" fillId="0" borderId="0">
      <alignment/>
      <protection/>
    </xf>
    <xf numFmtId="187" fontId="8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83" fillId="0" borderId="0" applyNumberFormat="0">
      <alignment horizontal="right"/>
      <protection/>
    </xf>
    <xf numFmtId="189" fontId="67" fillId="0" borderId="0" applyFont="0" applyFill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37" fontId="85" fillId="0" borderId="0">
      <alignment/>
      <protection/>
    </xf>
    <xf numFmtId="190" fontId="8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67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7" fillId="0" borderId="0">
      <alignment/>
      <protection/>
    </xf>
    <xf numFmtId="0" fontId="88" fillId="0" borderId="0">
      <alignment/>
      <protection/>
    </xf>
    <xf numFmtId="0" fontId="11" fillId="0" borderId="0" applyFill="0" applyBorder="0" applyAlignment="0" applyProtection="0"/>
    <xf numFmtId="0" fontId="113" fillId="0" borderId="0" applyFill="0" applyBorder="0" applyAlignment="0" applyProtection="0"/>
    <xf numFmtId="0" fontId="0" fillId="4" borderId="13" applyNumberFormat="0" applyFont="0" applyAlignment="0" applyProtection="0"/>
    <xf numFmtId="0" fontId="81" fillId="4" borderId="13" applyNumberFormat="0" applyFont="0" applyAlignment="0" applyProtection="0"/>
    <xf numFmtId="1" fontId="54" fillId="0" borderId="0" applyFont="0" applyFill="0" applyBorder="0" applyAlignment="0" applyProtection="0"/>
    <xf numFmtId="0" fontId="89" fillId="2" borderId="14" applyNumberFormat="0" applyAlignment="0" applyProtection="0"/>
    <xf numFmtId="1" fontId="90" fillId="0" borderId="0" applyProtection="0">
      <alignment horizontal="right" vertical="center"/>
    </xf>
    <xf numFmtId="10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2" fillId="0" borderId="0" applyFont="0" applyFill="0" applyBorder="0" applyAlignment="0" applyProtection="0"/>
    <xf numFmtId="0" fontId="54" fillId="6" borderId="8" applyNumberFormat="0" applyFont="0" applyAlignment="0" applyProtection="0"/>
    <xf numFmtId="0" fontId="54" fillId="6" borderId="8" applyNumberFormat="0" applyFont="0" applyAlignment="0" applyProtection="0"/>
    <xf numFmtId="186" fontId="27" fillId="6" borderId="0" applyNumberFormat="0" applyFont="0" applyBorder="0" applyAlignment="0" applyProtection="0"/>
    <xf numFmtId="0" fontId="89" fillId="2" borderId="14" applyNumberFormat="0" applyAlignment="0" applyProtection="0"/>
    <xf numFmtId="0" fontId="91" fillId="0" borderId="15">
      <alignment vertical="center"/>
      <protection/>
    </xf>
    <xf numFmtId="181" fontId="92" fillId="0" borderId="0" applyFill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54" fillId="6" borderId="0" applyNumberFormat="0" applyFont="0" applyBorder="0" applyAlignment="0" applyProtection="0"/>
    <xf numFmtId="0" fontId="93" fillId="0" borderId="0" applyBorder="0" applyProtection="0">
      <alignment vertical="center"/>
    </xf>
    <xf numFmtId="180" fontId="93" fillId="0" borderId="12" applyBorder="0" applyProtection="0">
      <alignment horizontal="right" vertical="center"/>
    </xf>
    <xf numFmtId="0" fontId="94" fillId="17" borderId="0" applyBorder="0" applyProtection="0">
      <alignment horizontal="centerContinuous" vertical="center"/>
    </xf>
    <xf numFmtId="0" fontId="94" fillId="18" borderId="12" applyBorder="0" applyProtection="0">
      <alignment horizontal="centerContinuous" vertical="center"/>
    </xf>
    <xf numFmtId="0" fontId="95" fillId="0" borderId="0">
      <alignment/>
      <protection/>
    </xf>
    <xf numFmtId="0" fontId="88" fillId="0" borderId="0">
      <alignment/>
      <protection/>
    </xf>
    <xf numFmtId="0" fontId="96" fillId="0" borderId="0" applyFill="0" applyBorder="0" applyProtection="0">
      <alignment horizontal="left"/>
    </xf>
    <xf numFmtId="0" fontId="74" fillId="0" borderId="16" applyFill="0" applyBorder="0" applyProtection="0">
      <alignment horizontal="left" vertical="top"/>
    </xf>
    <xf numFmtId="0" fontId="97" fillId="0" borderId="0">
      <alignment horizontal="centerContinuous"/>
      <protection/>
    </xf>
    <xf numFmtId="0" fontId="24" fillId="2" borderId="17" applyNumberFormat="0" applyFont="0" applyFill="0" applyAlignment="0" applyProtection="0"/>
    <xf numFmtId="0" fontId="24" fillId="2" borderId="17" applyNumberFormat="0" applyFont="0" applyFill="0" applyAlignment="0" applyProtection="0"/>
    <xf numFmtId="0" fontId="24" fillId="2" borderId="18" applyNumberFormat="0" applyFont="0" applyFill="0" applyAlignment="0" applyProtection="0"/>
    <xf numFmtId="0" fontId="24" fillId="2" borderId="18" applyNumberFormat="0" applyFont="0" applyFill="0" applyAlignment="0" applyProtection="0"/>
    <xf numFmtId="0" fontId="54" fillId="0" borderId="0" applyNumberFormat="0" applyFill="0" applyBorder="0" applyAlignment="0" applyProtection="0"/>
    <xf numFmtId="0" fontId="98" fillId="0" borderId="0">
      <alignment/>
      <protection/>
    </xf>
    <xf numFmtId="0" fontId="99" fillId="0" borderId="0">
      <alignment/>
      <protection/>
    </xf>
    <xf numFmtId="0" fontId="10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8" fontId="24" fillId="2" borderId="0" applyFont="0" applyFill="0" applyBorder="0" applyAlignment="0" applyProtection="0"/>
    <xf numFmtId="18" fontId="24" fillId="2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40" fontId="102" fillId="0" borderId="0">
      <alignment/>
      <protection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71" fillId="0" borderId="11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7" fillId="0" borderId="0">
      <alignment horizontal="fill"/>
      <protection/>
    </xf>
    <xf numFmtId="0" fontId="100" fillId="0" borderId="0" applyNumberFormat="0" applyFill="0" applyBorder="0" applyAlignment="0" applyProtection="0"/>
    <xf numFmtId="0" fontId="54" fillId="2" borderId="0" applyNumberFormat="0" applyFont="0" applyAlignment="0" applyProtection="0"/>
    <xf numFmtId="0" fontId="54" fillId="2" borderId="17" applyNumberFormat="0" applyFont="0" applyAlignment="0" applyProtection="0"/>
    <xf numFmtId="0" fontId="108" fillId="0" borderId="0" applyNumberFormat="0" applyFill="0" applyBorder="0" applyAlignment="0" applyProtection="0"/>
    <xf numFmtId="191" fontId="109" fillId="0" borderId="12" applyBorder="0" applyProtection="0">
      <alignment horizontal="right"/>
    </xf>
    <xf numFmtId="192" fontId="19" fillId="0" borderId="0" applyFont="0" applyFill="0" applyBorder="0" applyAlignment="0" applyProtection="0"/>
  </cellStyleXfs>
  <cellXfs count="1421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5" fillId="9" borderId="0" xfId="0" applyFont="1" applyFill="1" applyBorder="1" applyAlignment="1">
      <alignment vertical="center"/>
    </xf>
    <xf numFmtId="0" fontId="3" fillId="2" borderId="0" xfId="0" applyFont="1" applyFill="1" applyAlignment="1">
      <alignment/>
    </xf>
    <xf numFmtId="0" fontId="3" fillId="2" borderId="1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3" fillId="2" borderId="24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2" xfId="0" applyFont="1" applyFill="1" applyBorder="1" applyAlignment="1">
      <alignment horizontal="center" wrapText="1"/>
    </xf>
    <xf numFmtId="0" fontId="9" fillId="2" borderId="29" xfId="0" applyFont="1" applyFill="1" applyBorder="1" applyAlignment="1">
      <alignment/>
    </xf>
    <xf numFmtId="0" fontId="9" fillId="2" borderId="3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164" fontId="9" fillId="2" borderId="0" xfId="0" applyNumberFormat="1" applyFont="1" applyFill="1" applyBorder="1" applyAlignment="1">
      <alignment horizontal="center"/>
    </xf>
    <xf numFmtId="0" fontId="9" fillId="2" borderId="28" xfId="0" applyFont="1" applyFill="1" applyBorder="1" applyAlignment="1">
      <alignment/>
    </xf>
    <xf numFmtId="164" fontId="2" fillId="2" borderId="26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10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0" fontId="3" fillId="19" borderId="0" xfId="0" applyFont="1" applyFill="1" applyBorder="1" applyAlignment="1">
      <alignment vertical="center"/>
    </xf>
    <xf numFmtId="0" fontId="3" fillId="19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right"/>
    </xf>
    <xf numFmtId="0" fontId="10" fillId="2" borderId="0" xfId="0" applyFont="1" applyFill="1" applyAlignment="1">
      <alignment/>
    </xf>
    <xf numFmtId="164" fontId="10" fillId="2" borderId="0" xfId="0" applyNumberFormat="1" applyFont="1" applyFill="1" applyAlignment="1">
      <alignment horizontal="center"/>
    </xf>
    <xf numFmtId="0" fontId="10" fillId="2" borderId="0" xfId="0" applyFont="1" applyFill="1" applyBorder="1" applyAlignment="1">
      <alignment/>
    </xf>
    <xf numFmtId="0" fontId="10" fillId="2" borderId="20" xfId="0" applyFont="1" applyFill="1" applyBorder="1" applyAlignment="1">
      <alignment/>
    </xf>
    <xf numFmtId="0" fontId="10" fillId="2" borderId="21" xfId="0" applyFont="1" applyFill="1" applyBorder="1" applyAlignment="1">
      <alignment/>
    </xf>
    <xf numFmtId="0" fontId="10" fillId="2" borderId="22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13" fillId="2" borderId="0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/>
    </xf>
    <xf numFmtId="0" fontId="10" fillId="2" borderId="26" xfId="0" applyFont="1" applyFill="1" applyBorder="1" applyAlignment="1">
      <alignment horizontal="left"/>
    </xf>
    <xf numFmtId="0" fontId="10" fillId="2" borderId="26" xfId="0" applyFont="1" applyFill="1" applyBorder="1" applyAlignment="1">
      <alignment/>
    </xf>
    <xf numFmtId="0" fontId="10" fillId="2" borderId="27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0" xfId="0" applyFont="1" applyFill="1" applyAlignment="1">
      <alignment/>
    </xf>
    <xf numFmtId="0" fontId="7" fillId="2" borderId="24" xfId="0" applyFont="1" applyFill="1" applyBorder="1" applyAlignment="1">
      <alignment/>
    </xf>
    <xf numFmtId="0" fontId="5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left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/>
    </xf>
    <xf numFmtId="0" fontId="10" fillId="6" borderId="0" xfId="0" applyFont="1" applyFill="1" applyBorder="1" applyAlignment="1">
      <alignment/>
    </xf>
    <xf numFmtId="0" fontId="3" fillId="2" borderId="31" xfId="0" applyFont="1" applyFill="1" applyBorder="1" applyAlignment="1">
      <alignment horizontal="center"/>
    </xf>
    <xf numFmtId="0" fontId="3" fillId="2" borderId="31" xfId="0" applyFont="1" applyFill="1" applyBorder="1" applyAlignment="1">
      <alignment/>
    </xf>
    <xf numFmtId="0" fontId="2" fillId="2" borderId="32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0" fontId="5" fillId="2" borderId="35" xfId="0" applyFont="1" applyFill="1" applyBorder="1" applyAlignment="1">
      <alignment/>
    </xf>
    <xf numFmtId="0" fontId="7" fillId="2" borderId="0" xfId="0" applyFont="1" applyFill="1" applyAlignment="1">
      <alignment/>
    </xf>
    <xf numFmtId="0" fontId="5" fillId="2" borderId="26" xfId="0" applyFont="1" applyFill="1" applyBorder="1" applyAlignment="1">
      <alignment/>
    </xf>
    <xf numFmtId="2" fontId="2" fillId="2" borderId="21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5" fillId="2" borderId="26" xfId="0" applyFont="1" applyFill="1" applyBorder="1" applyAlignment="1">
      <alignment/>
    </xf>
    <xf numFmtId="0" fontId="17" fillId="2" borderId="23" xfId="0" applyFont="1" applyFill="1" applyBorder="1" applyAlignment="1">
      <alignment/>
    </xf>
    <xf numFmtId="0" fontId="17" fillId="2" borderId="24" xfId="0" applyFont="1" applyFill="1" applyBorder="1" applyAlignment="1">
      <alignment/>
    </xf>
    <xf numFmtId="0" fontId="17" fillId="2" borderId="0" xfId="0" applyFont="1" applyFill="1" applyAlignment="1">
      <alignment/>
    </xf>
    <xf numFmtId="0" fontId="15" fillId="2" borderId="26" xfId="0" applyFont="1" applyFill="1" applyBorder="1" applyAlignment="1">
      <alignment horizontal="left"/>
    </xf>
    <xf numFmtId="0" fontId="5" fillId="2" borderId="31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4" fontId="10" fillId="2" borderId="0" xfId="0" applyNumberFormat="1" applyFont="1" applyFill="1" applyAlignment="1">
      <alignment/>
    </xf>
    <xf numFmtId="4" fontId="10" fillId="2" borderId="21" xfId="0" applyNumberFormat="1" applyFont="1" applyFill="1" applyBorder="1" applyAlignment="1">
      <alignment/>
    </xf>
    <xf numFmtId="4" fontId="10" fillId="2" borderId="0" xfId="0" applyNumberFormat="1" applyFont="1" applyFill="1" applyBorder="1" applyAlignment="1">
      <alignment/>
    </xf>
    <xf numFmtId="4" fontId="13" fillId="2" borderId="0" xfId="0" applyNumberFormat="1" applyFont="1" applyFill="1" applyBorder="1" applyAlignment="1">
      <alignment horizontal="center" vertical="center"/>
    </xf>
    <xf numFmtId="4" fontId="5" fillId="9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vertical="center"/>
    </xf>
    <xf numFmtId="4" fontId="10" fillId="2" borderId="26" xfId="0" applyNumberFormat="1" applyFont="1" applyFill="1" applyBorder="1" applyAlignment="1">
      <alignment/>
    </xf>
    <xf numFmtId="4" fontId="12" fillId="2" borderId="0" xfId="0" applyNumberFormat="1" applyFont="1" applyFill="1" applyAlignment="1">
      <alignment horizontal="right"/>
    </xf>
    <xf numFmtId="4" fontId="5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horizontal="left"/>
    </xf>
    <xf numFmtId="4" fontId="10" fillId="2" borderId="0" xfId="0" applyNumberFormat="1" applyFont="1" applyFill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left"/>
    </xf>
    <xf numFmtId="4" fontId="10" fillId="2" borderId="21" xfId="0" applyNumberFormat="1" applyFont="1" applyFill="1" applyBorder="1" applyAlignment="1">
      <alignment horizontal="left"/>
    </xf>
    <xf numFmtId="0" fontId="10" fillId="2" borderId="22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4" fontId="10" fillId="2" borderId="0" xfId="0" applyNumberFormat="1" applyFont="1" applyFill="1" applyBorder="1" applyAlignment="1">
      <alignment horizontal="left"/>
    </xf>
    <xf numFmtId="0" fontId="10" fillId="2" borderId="24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left"/>
    </xf>
    <xf numFmtId="0" fontId="5" fillId="9" borderId="0" xfId="0" applyFont="1" applyFill="1" applyBorder="1" applyAlignment="1">
      <alignment horizontal="left" vertical="center"/>
    </xf>
    <xf numFmtId="4" fontId="5" fillId="9" borderId="0" xfId="0" applyNumberFormat="1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left"/>
    </xf>
    <xf numFmtId="0" fontId="9" fillId="2" borderId="24" xfId="0" applyFont="1" applyFill="1" applyBorder="1" applyAlignment="1">
      <alignment horizontal="left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/>
    </xf>
    <xf numFmtId="0" fontId="10" fillId="2" borderId="25" xfId="0" applyFont="1" applyFill="1" applyBorder="1" applyAlignment="1">
      <alignment horizontal="left"/>
    </xf>
    <xf numFmtId="4" fontId="10" fillId="2" borderId="26" xfId="0" applyNumberFormat="1" applyFont="1" applyFill="1" applyBorder="1" applyAlignment="1">
      <alignment horizontal="left"/>
    </xf>
    <xf numFmtId="0" fontId="10" fillId="2" borderId="2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3" fontId="3" fillId="2" borderId="36" xfId="0" applyNumberFormat="1" applyFont="1" applyFill="1" applyBorder="1" applyAlignment="1">
      <alignment horizontal="center" vertical="center"/>
    </xf>
    <xf numFmtId="4" fontId="3" fillId="2" borderId="36" xfId="0" applyNumberFormat="1" applyFont="1" applyFill="1" applyBorder="1" applyAlignment="1">
      <alignment vertical="center"/>
    </xf>
    <xf numFmtId="0" fontId="13" fillId="2" borderId="24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0" fillId="2" borderId="37" xfId="0" applyFont="1" applyFill="1" applyBorder="1" applyAlignment="1">
      <alignment/>
    </xf>
    <xf numFmtId="4" fontId="5" fillId="2" borderId="38" xfId="0" applyNumberFormat="1" applyFont="1" applyFill="1" applyBorder="1" applyAlignment="1">
      <alignment/>
    </xf>
    <xf numFmtId="4" fontId="3" fillId="2" borderId="38" xfId="0" applyNumberFormat="1" applyFont="1" applyFill="1" applyBorder="1" applyAlignment="1">
      <alignment/>
    </xf>
    <xf numFmtId="4" fontId="2" fillId="2" borderId="39" xfId="0" applyNumberFormat="1" applyFont="1" applyFill="1" applyBorder="1" applyAlignment="1">
      <alignment/>
    </xf>
    <xf numFmtId="4" fontId="2" fillId="2" borderId="40" xfId="0" applyNumberFormat="1" applyFont="1" applyFill="1" applyBorder="1" applyAlignment="1">
      <alignment/>
    </xf>
    <xf numFmtId="4" fontId="10" fillId="2" borderId="37" xfId="0" applyNumberFormat="1" applyFont="1" applyFill="1" applyBorder="1" applyAlignment="1">
      <alignment/>
    </xf>
    <xf numFmtId="4" fontId="15" fillId="2" borderId="41" xfId="0" applyNumberFormat="1" applyFont="1" applyFill="1" applyBorder="1" applyAlignment="1">
      <alignment/>
    </xf>
    <xf numFmtId="0" fontId="5" fillId="2" borderId="42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16" fillId="2" borderId="42" xfId="0" applyFont="1" applyFill="1" applyBorder="1" applyAlignment="1">
      <alignment horizontal="center"/>
    </xf>
    <xf numFmtId="0" fontId="15" fillId="2" borderId="46" xfId="0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4" fontId="7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47" xfId="0" applyFont="1" applyFill="1" applyBorder="1" applyAlignment="1">
      <alignment horizontal="left" vertical="center"/>
    </xf>
    <xf numFmtId="0" fontId="2" fillId="2" borderId="48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4" fontId="3" fillId="2" borderId="50" xfId="0" applyNumberFormat="1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/>
    </xf>
    <xf numFmtId="0" fontId="2" fillId="2" borderId="49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4" fontId="25" fillId="2" borderId="0" xfId="0" applyNumberFormat="1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4" fontId="3" fillId="2" borderId="39" xfId="0" applyNumberFormat="1" applyFont="1" applyFill="1" applyBorder="1" applyAlignment="1">
      <alignment vertical="center"/>
    </xf>
    <xf numFmtId="4" fontId="2" fillId="2" borderId="39" xfId="0" applyNumberFormat="1" applyFont="1" applyFill="1" applyBorder="1" applyAlignment="1">
      <alignment vertical="center"/>
    </xf>
    <xf numFmtId="4" fontId="2" fillId="2" borderId="51" xfId="0" applyNumberFormat="1" applyFont="1" applyFill="1" applyBorder="1" applyAlignment="1">
      <alignment vertical="center"/>
    </xf>
    <xf numFmtId="4" fontId="3" fillId="2" borderId="40" xfId="0" applyNumberFormat="1" applyFont="1" applyFill="1" applyBorder="1" applyAlignment="1">
      <alignment vertical="center"/>
    </xf>
    <xf numFmtId="4" fontId="3" fillId="2" borderId="51" xfId="0" applyNumberFormat="1" applyFont="1" applyFill="1" applyBorder="1" applyAlignment="1">
      <alignment vertical="center"/>
    </xf>
    <xf numFmtId="4" fontId="3" fillId="2" borderId="52" xfId="0" applyNumberFormat="1" applyFont="1" applyFill="1" applyBorder="1" applyAlignment="1">
      <alignment vertical="center"/>
    </xf>
    <xf numFmtId="4" fontId="3" fillId="2" borderId="53" xfId="0" applyNumberFormat="1" applyFont="1" applyFill="1" applyBorder="1" applyAlignment="1">
      <alignment vertical="center"/>
    </xf>
    <xf numFmtId="4" fontId="3" fillId="2" borderId="50" xfId="0" applyNumberFormat="1" applyFont="1" applyFill="1" applyBorder="1" applyAlignment="1">
      <alignment vertical="center"/>
    </xf>
    <xf numFmtId="0" fontId="3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4" fontId="3" fillId="2" borderId="56" xfId="0" applyNumberFormat="1" applyFont="1" applyFill="1" applyBorder="1" applyAlignment="1">
      <alignment vertical="center"/>
    </xf>
    <xf numFmtId="4" fontId="3" fillId="2" borderId="57" xfId="0" applyNumberFormat="1" applyFont="1" applyFill="1" applyBorder="1" applyAlignment="1">
      <alignment vertical="center"/>
    </xf>
    <xf numFmtId="0" fontId="21" fillId="2" borderId="0" xfId="195" applyFont="1" applyFill="1" applyBorder="1" applyAlignment="1">
      <alignment horizontal="center" wrapText="1"/>
      <protection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58" xfId="0" applyFont="1" applyFill="1" applyBorder="1" applyAlignment="1">
      <alignment horizontal="left" vertical="center"/>
    </xf>
    <xf numFmtId="0" fontId="3" fillId="2" borderId="54" xfId="0" applyFont="1" applyFill="1" applyBorder="1" applyAlignment="1">
      <alignment horizontal="left" vertical="center"/>
    </xf>
    <xf numFmtId="4" fontId="3" fillId="2" borderId="59" xfId="0" applyNumberFormat="1" applyFont="1" applyFill="1" applyBorder="1" applyAlignment="1">
      <alignment vertical="center"/>
    </xf>
    <xf numFmtId="0" fontId="2" fillId="2" borderId="55" xfId="0" applyFont="1" applyFill="1" applyBorder="1" applyAlignment="1">
      <alignment horizontal="center" vertical="center"/>
    </xf>
    <xf numFmtId="4" fontId="2" fillId="2" borderId="56" xfId="0" applyNumberFormat="1" applyFont="1" applyFill="1" applyBorder="1" applyAlignment="1">
      <alignment vertical="center"/>
    </xf>
    <xf numFmtId="0" fontId="8" fillId="6" borderId="60" xfId="0" applyFont="1" applyFill="1" applyBorder="1" applyAlignment="1">
      <alignment horizontal="left" vertical="center"/>
    </xf>
    <xf numFmtId="0" fontId="8" fillId="6" borderId="61" xfId="0" applyFont="1" applyFill="1" applyBorder="1" applyAlignment="1">
      <alignment horizontal="left" vertical="center"/>
    </xf>
    <xf numFmtId="0" fontId="3" fillId="6" borderId="62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left"/>
    </xf>
    <xf numFmtId="0" fontId="5" fillId="6" borderId="63" xfId="0" applyFont="1" applyFill="1" applyBorder="1" applyAlignment="1">
      <alignment horizontal="left"/>
    </xf>
    <xf numFmtId="0" fontId="21" fillId="6" borderId="38" xfId="195" applyFont="1" applyFill="1" applyBorder="1" applyAlignment="1">
      <alignment horizontal="center" wrapText="1"/>
      <protection/>
    </xf>
    <xf numFmtId="0" fontId="23" fillId="6" borderId="64" xfId="195" applyFont="1" applyFill="1" applyBorder="1" applyAlignment="1">
      <alignment horizontal="center" wrapText="1"/>
      <protection/>
    </xf>
    <xf numFmtId="0" fontId="23" fillId="6" borderId="65" xfId="195" applyFont="1" applyFill="1" applyBorder="1" applyAlignment="1">
      <alignment horizontal="center" wrapText="1"/>
      <protection/>
    </xf>
    <xf numFmtId="0" fontId="23" fillId="6" borderId="66" xfId="195" applyFont="1" applyFill="1" applyBorder="1" applyAlignment="1">
      <alignment horizontal="center" wrapText="1"/>
      <protection/>
    </xf>
    <xf numFmtId="0" fontId="5" fillId="6" borderId="63" xfId="0" applyFont="1" applyFill="1" applyBorder="1" applyAlignment="1">
      <alignment horizontal="left" vertical="center"/>
    </xf>
    <xf numFmtId="0" fontId="21" fillId="6" borderId="37" xfId="195" applyFont="1" applyFill="1" applyBorder="1" applyAlignment="1">
      <alignment horizontal="center" wrapText="1"/>
      <protection/>
    </xf>
    <xf numFmtId="0" fontId="5" fillId="6" borderId="43" xfId="0" applyFont="1" applyFill="1" applyBorder="1" applyAlignment="1">
      <alignment horizontal="left" vertical="center"/>
    </xf>
    <xf numFmtId="0" fontId="3" fillId="2" borderId="67" xfId="0" applyFont="1" applyFill="1" applyBorder="1" applyAlignment="1">
      <alignment horizontal="center" vertical="center"/>
    </xf>
    <xf numFmtId="0" fontId="10" fillId="6" borderId="60" xfId="0" applyFont="1" applyFill="1" applyBorder="1" applyAlignment="1">
      <alignment/>
    </xf>
    <xf numFmtId="0" fontId="10" fillId="6" borderId="68" xfId="0" applyFont="1" applyFill="1" applyBorder="1" applyAlignment="1">
      <alignment/>
    </xf>
    <xf numFmtId="0" fontId="3" fillId="6" borderId="62" xfId="0" applyFont="1" applyFill="1" applyBorder="1" applyAlignment="1">
      <alignment horizontal="center"/>
    </xf>
    <xf numFmtId="0" fontId="6" fillId="6" borderId="42" xfId="0" applyFont="1" applyFill="1" applyBorder="1" applyAlignment="1">
      <alignment/>
    </xf>
    <xf numFmtId="0" fontId="15" fillId="6" borderId="37" xfId="0" applyFont="1" applyFill="1" applyBorder="1" applyAlignment="1">
      <alignment horizontal="center"/>
    </xf>
    <xf numFmtId="4" fontId="7" fillId="2" borderId="42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4" fontId="3" fillId="2" borderId="0" xfId="0" applyNumberFormat="1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center" vertical="center"/>
    </xf>
    <xf numFmtId="0" fontId="3" fillId="6" borderId="60" xfId="0" applyFont="1" applyFill="1" applyBorder="1" applyAlignment="1">
      <alignment horizontal="left"/>
    </xf>
    <xf numFmtId="0" fontId="21" fillId="6" borderId="62" xfId="195" applyFont="1" applyFill="1" applyBorder="1" applyAlignment="1">
      <alignment horizontal="center" wrapText="1"/>
      <protection/>
    </xf>
    <xf numFmtId="0" fontId="3" fillId="6" borderId="42" xfId="0" applyFont="1" applyFill="1" applyBorder="1" applyAlignment="1">
      <alignment horizontal="left"/>
    </xf>
    <xf numFmtId="0" fontId="3" fillId="6" borderId="68" xfId="0" applyFont="1" applyFill="1" applyBorder="1" applyAlignment="1">
      <alignment horizontal="left"/>
    </xf>
    <xf numFmtId="0" fontId="21" fillId="6" borderId="61" xfId="195" applyFont="1" applyFill="1" applyBorder="1" applyAlignment="1">
      <alignment horizontal="center" wrapText="1"/>
      <protection/>
    </xf>
    <xf numFmtId="0" fontId="3" fillId="6" borderId="0" xfId="0" applyFont="1" applyFill="1" applyBorder="1" applyAlignment="1">
      <alignment horizontal="left"/>
    </xf>
    <xf numFmtId="0" fontId="21" fillId="6" borderId="69" xfId="195" applyFont="1" applyFill="1" applyBorder="1" applyAlignment="1">
      <alignment horizontal="center" wrapText="1"/>
      <protection/>
    </xf>
    <xf numFmtId="4" fontId="3" fillId="2" borderId="70" xfId="0" applyNumberFormat="1" applyFont="1" applyFill="1" applyBorder="1" applyAlignment="1">
      <alignment vertical="center"/>
    </xf>
    <xf numFmtId="4" fontId="3" fillId="2" borderId="71" xfId="0" applyNumberFormat="1" applyFont="1" applyFill="1" applyBorder="1" applyAlignment="1">
      <alignment vertical="center"/>
    </xf>
    <xf numFmtId="4" fontId="3" fillId="2" borderId="35" xfId="0" applyNumberFormat="1" applyFont="1" applyFill="1" applyBorder="1" applyAlignment="1">
      <alignment vertical="center"/>
    </xf>
    <xf numFmtId="0" fontId="2" fillId="2" borderId="72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4" fontId="9" fillId="2" borderId="0" xfId="0" applyNumberFormat="1" applyFont="1" applyFill="1" applyBorder="1" applyAlignment="1">
      <alignment horizontal="left"/>
    </xf>
    <xf numFmtId="4" fontId="9" fillId="2" borderId="73" xfId="0" applyNumberFormat="1" applyFont="1" applyFill="1" applyBorder="1" applyAlignment="1">
      <alignment horizontal="left"/>
    </xf>
    <xf numFmtId="4" fontId="9" fillId="2" borderId="74" xfId="0" applyNumberFormat="1" applyFont="1" applyFill="1" applyBorder="1" applyAlignment="1">
      <alignment horizontal="left"/>
    </xf>
    <xf numFmtId="4" fontId="9" fillId="2" borderId="75" xfId="0" applyNumberFormat="1" applyFont="1" applyFill="1" applyBorder="1" applyAlignment="1">
      <alignment horizontal="left"/>
    </xf>
    <xf numFmtId="4" fontId="3" fillId="2" borderId="76" xfId="0" applyNumberFormat="1" applyFont="1" applyFill="1" applyBorder="1" applyAlignment="1">
      <alignment vertical="center"/>
    </xf>
    <xf numFmtId="4" fontId="3" fillId="2" borderId="77" xfId="0" applyNumberFormat="1" applyFont="1" applyFill="1" applyBorder="1" applyAlignment="1">
      <alignment vertical="center"/>
    </xf>
    <xf numFmtId="0" fontId="21" fillId="6" borderId="78" xfId="195" applyFont="1" applyFill="1" applyBorder="1" applyAlignment="1">
      <alignment horizontal="center" wrapText="1"/>
      <protection/>
    </xf>
    <xf numFmtId="0" fontId="21" fillId="6" borderId="79" xfId="195" applyFont="1" applyFill="1" applyBorder="1" applyAlignment="1">
      <alignment horizontal="center" wrapText="1"/>
      <protection/>
    </xf>
    <xf numFmtId="0" fontId="21" fillId="6" borderId="80" xfId="195" applyFont="1" applyFill="1" applyBorder="1" applyAlignment="1">
      <alignment horizontal="center" wrapText="1"/>
      <protection/>
    </xf>
    <xf numFmtId="0" fontId="10" fillId="2" borderId="0" xfId="0" applyFont="1" applyFill="1" applyAlignment="1">
      <alignment horizontal="left" vertical="center"/>
    </xf>
    <xf numFmtId="0" fontId="9" fillId="2" borderId="23" xfId="0" applyFont="1" applyFill="1" applyBorder="1" applyAlignment="1">
      <alignment horizontal="left" vertical="center"/>
    </xf>
    <xf numFmtId="0" fontId="3" fillId="6" borderId="6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left" vertical="center"/>
    </xf>
    <xf numFmtId="0" fontId="3" fillId="6" borderId="37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left" vertical="center"/>
    </xf>
    <xf numFmtId="0" fontId="21" fillId="6" borderId="80" xfId="195" applyFont="1" applyFill="1" applyBorder="1" applyAlignment="1">
      <alignment horizontal="center" vertical="center" wrapText="1"/>
      <protection/>
    </xf>
    <xf numFmtId="0" fontId="2" fillId="2" borderId="2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1" fillId="6" borderId="66" xfId="195" applyFont="1" applyFill="1" applyBorder="1" applyAlignment="1">
      <alignment horizontal="center" vertical="center" wrapText="1"/>
      <protection/>
    </xf>
    <xf numFmtId="0" fontId="24" fillId="2" borderId="0" xfId="0" applyFont="1" applyFill="1" applyAlignment="1">
      <alignment horizontal="left"/>
    </xf>
    <xf numFmtId="0" fontId="21" fillId="6" borderId="81" xfId="195" applyFont="1" applyFill="1" applyBorder="1" applyAlignment="1">
      <alignment horizontal="center" vertical="center" wrapText="1"/>
      <protection/>
    </xf>
    <xf numFmtId="4" fontId="28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3" fillId="19" borderId="0" xfId="0" applyFont="1" applyFill="1" applyBorder="1" applyAlignment="1">
      <alignment vertical="center" wrapText="1"/>
    </xf>
    <xf numFmtId="0" fontId="3" fillId="6" borderId="6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0" fontId="3" fillId="6" borderId="61" xfId="0" applyFont="1" applyFill="1" applyBorder="1" applyAlignment="1">
      <alignment horizontal="center" vertical="center"/>
    </xf>
    <xf numFmtId="0" fontId="3" fillId="6" borderId="69" xfId="0" applyFont="1" applyFill="1" applyBorder="1" applyAlignment="1">
      <alignment horizontal="center" vertical="center"/>
    </xf>
    <xf numFmtId="0" fontId="3" fillId="6" borderId="6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left" vertical="center"/>
    </xf>
    <xf numFmtId="0" fontId="2" fillId="2" borderId="53" xfId="0" applyFont="1" applyFill="1" applyBorder="1" applyAlignment="1">
      <alignment horizontal="left" vertical="center"/>
    </xf>
    <xf numFmtId="4" fontId="5" fillId="2" borderId="67" xfId="0" applyNumberFormat="1" applyFont="1" applyFill="1" applyBorder="1" applyAlignment="1">
      <alignment horizontal="left" vertical="center"/>
    </xf>
    <xf numFmtId="0" fontId="3" fillId="6" borderId="59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left"/>
    </xf>
    <xf numFmtId="4" fontId="3" fillId="2" borderId="36" xfId="0" applyNumberFormat="1" applyFont="1" applyFill="1" applyBorder="1" applyAlignment="1">
      <alignment/>
    </xf>
    <xf numFmtId="4" fontId="3" fillId="2" borderId="50" xfId="0" applyNumberFormat="1" applyFont="1" applyFill="1" applyBorder="1" applyAlignment="1">
      <alignment/>
    </xf>
    <xf numFmtId="0" fontId="3" fillId="2" borderId="43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left"/>
    </xf>
    <xf numFmtId="0" fontId="2" fillId="2" borderId="0" xfId="0" applyFont="1" applyFill="1" applyAlignment="1">
      <alignment/>
    </xf>
    <xf numFmtId="0" fontId="3" fillId="6" borderId="67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vertical="center"/>
    </xf>
    <xf numFmtId="0" fontId="9" fillId="2" borderId="72" xfId="0" applyFont="1" applyFill="1" applyBorder="1" applyAlignment="1">
      <alignment vertical="center"/>
    </xf>
    <xf numFmtId="0" fontId="9" fillId="2" borderId="56" xfId="0" applyFont="1" applyFill="1" applyBorder="1" applyAlignment="1">
      <alignment horizontal="left" vertical="center"/>
    </xf>
    <xf numFmtId="4" fontId="8" fillId="2" borderId="0" xfId="0" applyNumberFormat="1" applyFont="1" applyFill="1" applyBorder="1" applyAlignment="1">
      <alignment horizontal="left" vertical="center"/>
    </xf>
    <xf numFmtId="0" fontId="9" fillId="2" borderId="45" xfId="0" applyFont="1" applyFill="1" applyBorder="1" applyAlignment="1">
      <alignment vertical="center"/>
    </xf>
    <xf numFmtId="0" fontId="9" fillId="2" borderId="52" xfId="0" applyFont="1" applyFill="1" applyBorder="1" applyAlignment="1">
      <alignment vertical="center"/>
    </xf>
    <xf numFmtId="0" fontId="9" fillId="2" borderId="82" xfId="0" applyFont="1" applyFill="1" applyBorder="1" applyAlignment="1">
      <alignment vertical="center"/>
    </xf>
    <xf numFmtId="0" fontId="9" fillId="2" borderId="83" xfId="0" applyFont="1" applyFill="1" applyBorder="1" applyAlignment="1">
      <alignment vertical="center"/>
    </xf>
    <xf numFmtId="0" fontId="5" fillId="6" borderId="38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left"/>
    </xf>
    <xf numFmtId="4" fontId="3" fillId="20" borderId="50" xfId="0" applyNumberFormat="1" applyFont="1" applyFill="1" applyBorder="1" applyAlignment="1">
      <alignment/>
    </xf>
    <xf numFmtId="0" fontId="3" fillId="2" borderId="23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59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 horizontal="right" vertical="center"/>
    </xf>
    <xf numFmtId="10" fontId="3" fillId="20" borderId="50" xfId="0" applyNumberFormat="1" applyFont="1" applyFill="1" applyBorder="1" applyAlignment="1">
      <alignment horizontal="right"/>
    </xf>
    <xf numFmtId="10" fontId="3" fillId="2" borderId="67" xfId="235" applyNumberFormat="1" applyFont="1" applyFill="1" applyBorder="1" applyAlignment="1">
      <alignment horizontal="right"/>
    </xf>
    <xf numFmtId="10" fontId="2" fillId="2" borderId="57" xfId="0" applyNumberFormat="1" applyFont="1" applyFill="1" applyBorder="1" applyAlignment="1">
      <alignment horizontal="right" vertical="center"/>
    </xf>
    <xf numFmtId="10" fontId="2" fillId="2" borderId="52" xfId="0" applyNumberFormat="1" applyFont="1" applyFill="1" applyBorder="1" applyAlignment="1">
      <alignment horizontal="right" vertical="center"/>
    </xf>
    <xf numFmtId="10" fontId="2" fillId="2" borderId="53" xfId="0" applyNumberFormat="1" applyFont="1" applyFill="1" applyBorder="1" applyAlignment="1">
      <alignment horizontal="right" vertical="center"/>
    </xf>
    <xf numFmtId="10" fontId="21" fillId="2" borderId="0" xfId="0" applyNumberFormat="1" applyFont="1" applyFill="1" applyBorder="1" applyAlignment="1">
      <alignment horizontal="right" vertical="center"/>
    </xf>
    <xf numFmtId="10" fontId="3" fillId="2" borderId="67" xfId="0" applyNumberFormat="1" applyFont="1" applyFill="1" applyBorder="1" applyAlignment="1">
      <alignment horizontal="right"/>
    </xf>
    <xf numFmtId="4" fontId="5" fillId="20" borderId="50" xfId="0" applyNumberFormat="1" applyFont="1" applyFill="1" applyBorder="1" applyAlignment="1">
      <alignment/>
    </xf>
    <xf numFmtId="0" fontId="7" fillId="2" borderId="0" xfId="0" applyFont="1" applyFill="1" applyAlignment="1">
      <alignment horizontal="left"/>
    </xf>
    <xf numFmtId="0" fontId="5" fillId="20" borderId="0" xfId="0" applyFont="1" applyFill="1" applyBorder="1" applyAlignment="1">
      <alignment horizontal="left"/>
    </xf>
    <xf numFmtId="4" fontId="5" fillId="20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vertical="center"/>
    </xf>
    <xf numFmtId="0" fontId="2" fillId="2" borderId="42" xfId="0" applyFont="1" applyFill="1" applyBorder="1" applyAlignment="1">
      <alignment/>
    </xf>
    <xf numFmtId="4" fontId="10" fillId="2" borderId="69" xfId="0" applyNumberFormat="1" applyFont="1" applyFill="1" applyBorder="1" applyAlignment="1">
      <alignment/>
    </xf>
    <xf numFmtId="4" fontId="15" fillId="2" borderId="84" xfId="0" applyNumberFormat="1" applyFont="1" applyFill="1" applyBorder="1" applyAlignment="1">
      <alignment/>
    </xf>
    <xf numFmtId="0" fontId="15" fillId="6" borderId="69" xfId="0" applyFont="1" applyFill="1" applyBorder="1" applyAlignment="1">
      <alignment horizontal="center"/>
    </xf>
    <xf numFmtId="0" fontId="3" fillId="6" borderId="61" xfId="0" applyFont="1" applyFill="1" applyBorder="1" applyAlignment="1">
      <alignment horizontal="center"/>
    </xf>
    <xf numFmtId="0" fontId="10" fillId="2" borderId="69" xfId="0" applyFont="1" applyFill="1" applyBorder="1" applyAlignment="1">
      <alignment/>
    </xf>
    <xf numFmtId="4" fontId="5" fillId="2" borderId="63" xfId="0" applyNumberFormat="1" applyFont="1" applyFill="1" applyBorder="1" applyAlignment="1">
      <alignment/>
    </xf>
    <xf numFmtId="4" fontId="3" fillId="2" borderId="63" xfId="0" applyNumberFormat="1" applyFont="1" applyFill="1" applyBorder="1" applyAlignment="1">
      <alignment/>
    </xf>
    <xf numFmtId="4" fontId="2" fillId="2" borderId="52" xfId="0" applyNumberFormat="1" applyFont="1" applyFill="1" applyBorder="1" applyAlignment="1">
      <alignment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/>
    </xf>
    <xf numFmtId="0" fontId="14" fillId="2" borderId="42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2" fontId="2" fillId="2" borderId="85" xfId="0" applyNumberFormat="1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15" fillId="2" borderId="46" xfId="0" applyFont="1" applyFill="1" applyBorder="1" applyAlignment="1">
      <alignment horizontal="center"/>
    </xf>
    <xf numFmtId="4" fontId="5" fillId="2" borderId="36" xfId="0" applyNumberFormat="1" applyFont="1" applyFill="1" applyBorder="1" applyAlignment="1">
      <alignment/>
    </xf>
    <xf numFmtId="4" fontId="2" fillId="2" borderId="56" xfId="0" applyNumberFormat="1" applyFont="1" applyFill="1" applyBorder="1" applyAlignment="1">
      <alignment/>
    </xf>
    <xf numFmtId="2" fontId="10" fillId="2" borderId="86" xfId="0" applyNumberFormat="1" applyFont="1" applyFill="1" applyBorder="1" applyAlignment="1">
      <alignment/>
    </xf>
    <xf numFmtId="4" fontId="5" fillId="2" borderId="41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164" fontId="2" fillId="2" borderId="26" xfId="0" applyNumberFormat="1" applyFont="1" applyFill="1" applyBorder="1" applyAlignment="1">
      <alignment horizontal="center"/>
    </xf>
    <xf numFmtId="0" fontId="2" fillId="2" borderId="27" xfId="0" applyFont="1" applyFill="1" applyBorder="1" applyAlignment="1">
      <alignment/>
    </xf>
    <xf numFmtId="164" fontId="2" fillId="2" borderId="0" xfId="0" applyNumberFormat="1" applyFont="1" applyFill="1" applyAlignment="1">
      <alignment horizontal="center"/>
    </xf>
    <xf numFmtId="0" fontId="8" fillId="6" borderId="62" xfId="0" applyFont="1" applyFill="1" applyBorder="1" applyAlignment="1">
      <alignment horizontal="center" vertical="center"/>
    </xf>
    <xf numFmtId="0" fontId="13" fillId="6" borderId="62" xfId="0" applyFont="1" applyFill="1" applyBorder="1" applyAlignment="1">
      <alignment horizontal="center" vertical="center"/>
    </xf>
    <xf numFmtId="4" fontId="8" fillId="6" borderId="60" xfId="0" applyNumberFormat="1" applyFont="1" applyFill="1" applyBorder="1" applyAlignment="1">
      <alignment horizontal="left" vertical="center"/>
    </xf>
    <xf numFmtId="0" fontId="2" fillId="6" borderId="68" xfId="0" applyFont="1" applyFill="1" applyBorder="1" applyAlignment="1">
      <alignment horizontal="left" vertical="center"/>
    </xf>
    <xf numFmtId="4" fontId="8" fillId="6" borderId="68" xfId="0" applyNumberFormat="1" applyFont="1" applyFill="1" applyBorder="1" applyAlignment="1">
      <alignment horizontal="right" vertical="center"/>
    </xf>
    <xf numFmtId="0" fontId="8" fillId="6" borderId="68" xfId="0" applyFont="1" applyFill="1" applyBorder="1" applyAlignment="1">
      <alignment horizontal="left" vertical="center"/>
    </xf>
    <xf numFmtId="0" fontId="8" fillId="6" borderId="37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0" fontId="9" fillId="6" borderId="43" xfId="0" applyFont="1" applyFill="1" applyBorder="1" applyAlignment="1">
      <alignment horizontal="left"/>
    </xf>
    <xf numFmtId="0" fontId="9" fillId="6" borderId="31" xfId="0" applyFont="1" applyFill="1" applyBorder="1" applyAlignment="1">
      <alignment horizontal="left"/>
    </xf>
    <xf numFmtId="0" fontId="9" fillId="6" borderId="63" xfId="0" applyFont="1" applyFill="1" applyBorder="1" applyAlignment="1">
      <alignment horizontal="left"/>
    </xf>
    <xf numFmtId="0" fontId="8" fillId="6" borderId="38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5" fillId="2" borderId="42" xfId="0" applyFont="1" applyFill="1" applyBorder="1" applyAlignment="1">
      <alignment horizontal="left"/>
    </xf>
    <xf numFmtId="0" fontId="3" fillId="2" borderId="43" xfId="0" applyFont="1" applyFill="1" applyBorder="1" applyAlignment="1">
      <alignment horizontal="left"/>
    </xf>
    <xf numFmtId="0" fontId="5" fillId="2" borderId="46" xfId="0" applyFont="1" applyFill="1" applyBorder="1" applyAlignment="1">
      <alignment horizontal="left"/>
    </xf>
    <xf numFmtId="0" fontId="16" fillId="2" borderId="42" xfId="0" applyFont="1" applyFill="1" applyBorder="1" applyAlignment="1">
      <alignment/>
    </xf>
    <xf numFmtId="0" fontId="10" fillId="2" borderId="43" xfId="0" applyFont="1" applyFill="1" applyBorder="1" applyAlignment="1">
      <alignment/>
    </xf>
    <xf numFmtId="0" fontId="10" fillId="2" borderId="31" xfId="0" applyFont="1" applyFill="1" applyBorder="1" applyAlignment="1">
      <alignment/>
    </xf>
    <xf numFmtId="4" fontId="3" fillId="2" borderId="62" xfId="0" applyNumberFormat="1" applyFont="1" applyFill="1" applyBorder="1" applyAlignment="1">
      <alignment horizontal="center"/>
    </xf>
    <xf numFmtId="0" fontId="15" fillId="2" borderId="38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left"/>
    </xf>
    <xf numFmtId="0" fontId="15" fillId="2" borderId="35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10" fillId="0" borderId="20" xfId="0" applyFont="1" applyFill="1" applyBorder="1" applyAlignment="1" applyProtection="1">
      <alignment horizontal="left"/>
      <protection locked="0"/>
    </xf>
    <xf numFmtId="0" fontId="10" fillId="0" borderId="21" xfId="0" applyFont="1" applyFill="1" applyBorder="1" applyAlignment="1" applyProtection="1">
      <alignment horizontal="left"/>
      <protection locked="0"/>
    </xf>
    <xf numFmtId="0" fontId="10" fillId="0" borderId="22" xfId="0" applyFont="1" applyFill="1" applyBorder="1" applyAlignment="1" applyProtection="1">
      <alignment horizontal="left"/>
      <protection locked="0"/>
    </xf>
    <xf numFmtId="0" fontId="10" fillId="0" borderId="2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24" xfId="0" applyFont="1" applyFill="1" applyBorder="1" applyAlignment="1" applyProtection="1">
      <alignment horizontal="left"/>
      <protection locked="0"/>
    </xf>
    <xf numFmtId="0" fontId="2" fillId="0" borderId="23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24" xfId="0" applyFont="1" applyFill="1" applyBorder="1" applyAlignment="1" applyProtection="1">
      <alignment horizontal="left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13" fillId="0" borderId="2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24" xfId="0" applyFont="1" applyFill="1" applyBorder="1" applyAlignment="1" applyProtection="1">
      <alignment horizontal="left"/>
      <protection locked="0"/>
    </xf>
    <xf numFmtId="0" fontId="10" fillId="0" borderId="23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 applyProtection="1">
      <alignment horizontal="left"/>
      <protection locked="0"/>
    </xf>
    <xf numFmtId="0" fontId="10" fillId="0" borderId="26" xfId="0" applyFont="1" applyFill="1" applyBorder="1" applyAlignment="1" applyProtection="1">
      <alignment horizontal="left"/>
      <protection locked="0"/>
    </xf>
    <xf numFmtId="0" fontId="10" fillId="0" borderId="27" xfId="0" applyFont="1" applyFill="1" applyBorder="1" applyAlignment="1" applyProtection="1">
      <alignment horizontal="left"/>
      <protection locked="0"/>
    </xf>
    <xf numFmtId="0" fontId="10" fillId="0" borderId="25" xfId="0" applyFont="1" applyBorder="1" applyAlignment="1" applyProtection="1">
      <alignment horizontal="left"/>
      <protection locked="0"/>
    </xf>
    <xf numFmtId="0" fontId="10" fillId="0" borderId="26" xfId="0" applyFont="1" applyBorder="1" applyAlignment="1" applyProtection="1">
      <alignment horizontal="left"/>
      <protection locked="0"/>
    </xf>
    <xf numFmtId="0" fontId="10" fillId="0" borderId="27" xfId="0" applyFont="1" applyBorder="1" applyAlignment="1" applyProtection="1">
      <alignment horizontal="left"/>
      <protection locked="0"/>
    </xf>
    <xf numFmtId="0" fontId="10" fillId="0" borderId="20" xfId="0" applyFont="1" applyBorder="1" applyAlignment="1" applyProtection="1">
      <alignment horizontal="left"/>
      <protection locked="0"/>
    </xf>
    <xf numFmtId="0" fontId="10" fillId="0" borderId="21" xfId="0" applyFont="1" applyBorder="1" applyAlignment="1" applyProtection="1">
      <alignment horizontal="left"/>
      <protection locked="0"/>
    </xf>
    <xf numFmtId="0" fontId="10" fillId="0" borderId="22" xfId="0" applyFont="1" applyBorder="1" applyAlignment="1" applyProtection="1">
      <alignment horizontal="left"/>
      <protection locked="0"/>
    </xf>
    <xf numFmtId="0" fontId="10" fillId="0" borderId="23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24" xfId="0" applyFont="1" applyBorder="1" applyAlignment="1" applyProtection="1">
      <alignment horizontal="left"/>
      <protection locked="0"/>
    </xf>
    <xf numFmtId="0" fontId="2" fillId="2" borderId="87" xfId="0" applyFont="1" applyFill="1" applyBorder="1" applyAlignment="1" applyProtection="1">
      <alignment/>
      <protection locked="0"/>
    </xf>
    <xf numFmtId="164" fontId="9" fillId="2" borderId="30" xfId="0" applyNumberFormat="1" applyFont="1" applyFill="1" applyBorder="1" applyAlignment="1" applyProtection="1">
      <alignment horizontal="center"/>
      <protection locked="0"/>
    </xf>
    <xf numFmtId="164" fontId="9" fillId="2" borderId="28" xfId="0" applyNumberFormat="1" applyFont="1" applyFill="1" applyBorder="1" applyAlignment="1" applyProtection="1">
      <alignment horizontal="center"/>
      <protection locked="0"/>
    </xf>
    <xf numFmtId="4" fontId="10" fillId="2" borderId="29" xfId="0" applyNumberFormat="1" applyFont="1" applyFill="1" applyBorder="1" applyAlignment="1" applyProtection="1">
      <alignment/>
      <protection locked="0"/>
    </xf>
    <xf numFmtId="0" fontId="10" fillId="2" borderId="30" xfId="0" applyFont="1" applyFill="1" applyBorder="1" applyAlignment="1" applyProtection="1">
      <alignment/>
      <protection locked="0"/>
    </xf>
    <xf numFmtId="10" fontId="10" fillId="2" borderId="30" xfId="0" applyNumberFormat="1" applyFont="1" applyFill="1" applyBorder="1" applyAlignment="1" applyProtection="1">
      <alignment horizontal="center"/>
      <protection locked="0"/>
    </xf>
    <xf numFmtId="3" fontId="10" fillId="2" borderId="30" xfId="0" applyNumberFormat="1" applyFont="1" applyFill="1" applyBorder="1" applyAlignment="1" applyProtection="1">
      <alignment/>
      <protection locked="0"/>
    </xf>
    <xf numFmtId="4" fontId="10" fillId="2" borderId="30" xfId="0" applyNumberFormat="1" applyFont="1" applyFill="1" applyBorder="1" applyAlignment="1" applyProtection="1">
      <alignment/>
      <protection locked="0"/>
    </xf>
    <xf numFmtId="4" fontId="2" fillId="2" borderId="39" xfId="0" applyNumberFormat="1" applyFont="1" applyFill="1" applyBorder="1" applyAlignment="1" applyProtection="1">
      <alignment/>
      <protection locked="0"/>
    </xf>
    <xf numFmtId="4" fontId="2" fillId="2" borderId="40" xfId="0" applyNumberFormat="1" applyFont="1" applyFill="1" applyBorder="1" applyAlignment="1" applyProtection="1">
      <alignment/>
      <protection locked="0"/>
    </xf>
    <xf numFmtId="4" fontId="3" fillId="2" borderId="38" xfId="0" applyNumberFormat="1" applyFont="1" applyFill="1" applyBorder="1" applyAlignment="1" applyProtection="1">
      <alignment/>
      <protection locked="0"/>
    </xf>
    <xf numFmtId="4" fontId="2" fillId="2" borderId="56" xfId="0" applyNumberFormat="1" applyFont="1" applyFill="1" applyBorder="1" applyAlignment="1" applyProtection="1">
      <alignment/>
      <protection locked="0"/>
    </xf>
    <xf numFmtId="4" fontId="2" fillId="2" borderId="72" xfId="0" applyNumberFormat="1" applyFont="1" applyFill="1" applyBorder="1" applyAlignment="1" applyProtection="1">
      <alignment/>
      <protection locked="0"/>
    </xf>
    <xf numFmtId="4" fontId="2" fillId="2" borderId="52" xfId="0" applyNumberFormat="1" applyFont="1" applyFill="1" applyBorder="1" applyAlignment="1" applyProtection="1">
      <alignment/>
      <protection locked="0"/>
    </xf>
    <xf numFmtId="4" fontId="3" fillId="2" borderId="63" xfId="0" applyNumberFormat="1" applyFont="1" applyFill="1" applyBorder="1" applyAlignment="1" applyProtection="1">
      <alignment/>
      <protection locked="0"/>
    </xf>
    <xf numFmtId="4" fontId="2" fillId="2" borderId="51" xfId="0" applyNumberFormat="1" applyFont="1" applyFill="1" applyBorder="1" applyAlignment="1" applyProtection="1">
      <alignment/>
      <protection locked="0"/>
    </xf>
    <xf numFmtId="4" fontId="2" fillId="2" borderId="53" xfId="0" applyNumberFormat="1" applyFont="1" applyFill="1" applyBorder="1" applyAlignment="1" applyProtection="1">
      <alignment/>
      <protection locked="0"/>
    </xf>
    <xf numFmtId="4" fontId="16" fillId="2" borderId="37" xfId="0" applyNumberFormat="1" applyFont="1" applyFill="1" applyBorder="1" applyAlignment="1" applyProtection="1">
      <alignment/>
      <protection locked="0"/>
    </xf>
    <xf numFmtId="4" fontId="5" fillId="2" borderId="36" xfId="0" applyNumberFormat="1" applyFont="1" applyFill="1" applyBorder="1" applyAlignment="1" applyProtection="1">
      <alignment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3" fontId="2" fillId="2" borderId="39" xfId="0" applyNumberFormat="1" applyFont="1" applyFill="1" applyBorder="1" applyAlignment="1" applyProtection="1">
      <alignment horizontal="center" vertical="center"/>
      <protection locked="0"/>
    </xf>
    <xf numFmtId="4" fontId="2" fillId="2" borderId="39" xfId="0" applyNumberFormat="1" applyFont="1" applyFill="1" applyBorder="1" applyAlignment="1" applyProtection="1">
      <alignment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vertical="center"/>
      <protection locked="0"/>
    </xf>
    <xf numFmtId="3" fontId="2" fillId="2" borderId="40" xfId="0" applyNumberFormat="1" applyFont="1" applyFill="1" applyBorder="1" applyAlignment="1" applyProtection="1">
      <alignment horizontal="center" vertical="center"/>
      <protection locked="0"/>
    </xf>
    <xf numFmtId="4" fontId="2" fillId="2" borderId="40" xfId="0" applyNumberFormat="1" applyFont="1" applyFill="1" applyBorder="1" applyAlignment="1" applyProtection="1">
      <alignment vertical="center"/>
      <protection locked="0"/>
    </xf>
    <xf numFmtId="4" fontId="3" fillId="2" borderId="39" xfId="0" applyNumberFormat="1" applyFont="1" applyFill="1" applyBorder="1" applyAlignment="1" applyProtection="1">
      <alignment vertical="center"/>
      <protection locked="0"/>
    </xf>
    <xf numFmtId="4" fontId="2" fillId="2" borderId="88" xfId="0" applyNumberFormat="1" applyFont="1" applyFill="1" applyBorder="1" applyAlignment="1" applyProtection="1">
      <alignment vertical="center"/>
      <protection locked="0"/>
    </xf>
    <xf numFmtId="4" fontId="2" fillId="2" borderId="89" xfId="0" applyNumberFormat="1" applyFont="1" applyFill="1" applyBorder="1" applyAlignment="1" applyProtection="1">
      <alignment vertical="center"/>
      <protection locked="0"/>
    </xf>
    <xf numFmtId="4" fontId="2" fillId="2" borderId="90" xfId="0" applyNumberFormat="1" applyFont="1" applyFill="1" applyBorder="1" applyAlignment="1" applyProtection="1">
      <alignment vertical="center"/>
      <protection locked="0"/>
    </xf>
    <xf numFmtId="4" fontId="3" fillId="2" borderId="40" xfId="0" applyNumberFormat="1" applyFont="1" applyFill="1" applyBorder="1" applyAlignment="1" applyProtection="1">
      <alignment vertical="center"/>
      <protection locked="0"/>
    </xf>
    <xf numFmtId="4" fontId="2" fillId="2" borderId="91" xfId="0" applyNumberFormat="1" applyFont="1" applyFill="1" applyBorder="1" applyAlignment="1" applyProtection="1">
      <alignment vertical="center"/>
      <protection locked="0"/>
    </xf>
    <xf numFmtId="4" fontId="2" fillId="2" borderId="92" xfId="0" applyNumberFormat="1" applyFont="1" applyFill="1" applyBorder="1" applyAlignment="1" applyProtection="1">
      <alignment vertical="center"/>
      <protection locked="0"/>
    </xf>
    <xf numFmtId="4" fontId="2" fillId="2" borderId="93" xfId="0" applyNumberFormat="1" applyFont="1" applyFill="1" applyBorder="1" applyAlignment="1" applyProtection="1">
      <alignment vertical="center"/>
      <protection locked="0"/>
    </xf>
    <xf numFmtId="4" fontId="3" fillId="2" borderId="51" xfId="0" applyNumberFormat="1" applyFont="1" applyFill="1" applyBorder="1" applyAlignment="1" applyProtection="1">
      <alignment vertical="center"/>
      <protection locked="0"/>
    </xf>
    <xf numFmtId="4" fontId="2" fillId="2" borderId="94" xfId="0" applyNumberFormat="1" applyFont="1" applyFill="1" applyBorder="1" applyAlignment="1" applyProtection="1">
      <alignment vertical="center"/>
      <protection locked="0"/>
    </xf>
    <xf numFmtId="4" fontId="2" fillId="2" borderId="95" xfId="0" applyNumberFormat="1" applyFont="1" applyFill="1" applyBorder="1" applyAlignment="1" applyProtection="1">
      <alignment vertical="center"/>
      <protection locked="0"/>
    </xf>
    <xf numFmtId="4" fontId="2" fillId="2" borderId="96" xfId="0" applyNumberFormat="1" applyFont="1" applyFill="1" applyBorder="1" applyAlignment="1" applyProtection="1">
      <alignment vertical="center"/>
      <protection locked="0"/>
    </xf>
    <xf numFmtId="4" fontId="2" fillId="2" borderId="97" xfId="0" applyNumberFormat="1" applyFont="1" applyFill="1" applyBorder="1" applyAlignment="1" applyProtection="1">
      <alignment vertical="center"/>
      <protection locked="0"/>
    </xf>
    <xf numFmtId="4" fontId="2" fillId="2" borderId="98" xfId="0" applyNumberFormat="1" applyFont="1" applyFill="1" applyBorder="1" applyAlignment="1" applyProtection="1">
      <alignment vertical="center"/>
      <protection locked="0"/>
    </xf>
    <xf numFmtId="4" fontId="2" fillId="2" borderId="99" xfId="0" applyNumberFormat="1" applyFont="1" applyFill="1" applyBorder="1" applyAlignment="1" applyProtection="1">
      <alignment vertical="center"/>
      <protection locked="0"/>
    </xf>
    <xf numFmtId="4" fontId="2" fillId="2" borderId="100" xfId="0" applyNumberFormat="1" applyFont="1" applyFill="1" applyBorder="1" applyAlignment="1" applyProtection="1">
      <alignment vertical="center"/>
      <protection locked="0"/>
    </xf>
    <xf numFmtId="0" fontId="2" fillId="2" borderId="47" xfId="0" applyFont="1" applyFill="1" applyBorder="1" applyAlignment="1" applyProtection="1">
      <alignment horizontal="left" vertical="center"/>
      <protection locked="0"/>
    </xf>
    <xf numFmtId="0" fontId="2" fillId="2" borderId="53" xfId="0" applyFont="1" applyFill="1" applyBorder="1" applyAlignment="1" applyProtection="1">
      <alignment horizontal="left" vertical="center"/>
      <protection locked="0"/>
    </xf>
    <xf numFmtId="4" fontId="2" fillId="2" borderId="52" xfId="0" applyNumberFormat="1" applyFont="1" applyFill="1" applyBorder="1" applyAlignment="1" applyProtection="1">
      <alignment horizontal="left" vertical="center"/>
      <protection locked="0"/>
    </xf>
    <xf numFmtId="4" fontId="2" fillId="2" borderId="83" xfId="0" applyNumberFormat="1" applyFont="1" applyFill="1" applyBorder="1" applyAlignment="1" applyProtection="1">
      <alignment horizontal="left" vertical="center"/>
      <protection locked="0"/>
    </xf>
    <xf numFmtId="10" fontId="2" fillId="2" borderId="57" xfId="235" applyNumberFormat="1" applyFont="1" applyFill="1" applyBorder="1" applyAlignment="1" applyProtection="1">
      <alignment vertical="center"/>
      <protection locked="0"/>
    </xf>
    <xf numFmtId="4" fontId="2" fillId="2" borderId="57" xfId="0" applyNumberFormat="1" applyFont="1" applyFill="1" applyBorder="1" applyAlignment="1" applyProtection="1">
      <alignment vertical="center"/>
      <protection locked="0"/>
    </xf>
    <xf numFmtId="10" fontId="2" fillId="2" borderId="52" xfId="235" applyNumberFormat="1" applyFont="1" applyFill="1" applyBorder="1" applyAlignment="1" applyProtection="1">
      <alignment vertical="center"/>
      <protection locked="0"/>
    </xf>
    <xf numFmtId="4" fontId="2" fillId="2" borderId="52" xfId="0" applyNumberFormat="1" applyFont="1" applyFill="1" applyBorder="1" applyAlignment="1" applyProtection="1">
      <alignment vertical="center"/>
      <protection locked="0"/>
    </xf>
    <xf numFmtId="10" fontId="2" fillId="2" borderId="83" xfId="235" applyNumberFormat="1" applyFont="1" applyFill="1" applyBorder="1" applyAlignment="1" applyProtection="1">
      <alignment vertical="center"/>
      <protection locked="0"/>
    </xf>
    <xf numFmtId="4" fontId="2" fillId="2" borderId="83" xfId="0" applyNumberFormat="1" applyFont="1" applyFill="1" applyBorder="1" applyAlignment="1" applyProtection="1">
      <alignment vertical="center"/>
      <protection locked="0"/>
    </xf>
    <xf numFmtId="10" fontId="2" fillId="2" borderId="53" xfId="235" applyNumberFormat="1" applyFont="1" applyFill="1" applyBorder="1" applyAlignment="1" applyProtection="1">
      <alignment vertical="center"/>
      <protection locked="0"/>
    </xf>
    <xf numFmtId="4" fontId="2" fillId="2" borderId="53" xfId="0" applyNumberFormat="1" applyFont="1" applyFill="1" applyBorder="1" applyAlignment="1" applyProtection="1">
      <alignment vertical="center"/>
      <protection locked="0"/>
    </xf>
    <xf numFmtId="10" fontId="3" fillId="2" borderId="50" xfId="235" applyNumberFormat="1" applyFont="1" applyFill="1" applyBorder="1" applyAlignment="1">
      <alignment vertical="center"/>
    </xf>
    <xf numFmtId="4" fontId="3" fillId="2" borderId="64" xfId="0" applyNumberFormat="1" applyFont="1" applyFill="1" applyBorder="1" applyAlignment="1" applyProtection="1">
      <alignment vertical="center"/>
      <protection locked="0"/>
    </xf>
    <xf numFmtId="4" fontId="2" fillId="2" borderId="39" xfId="0" applyNumberFormat="1" applyFont="1" applyFill="1" applyBorder="1" applyAlignment="1" applyProtection="1">
      <alignment vertical="center"/>
      <protection locked="0"/>
    </xf>
    <xf numFmtId="4" fontId="2" fillId="2" borderId="72" xfId="0" applyNumberFormat="1" applyFont="1" applyFill="1" applyBorder="1" applyAlignment="1" applyProtection="1">
      <alignment horizontal="left" vertical="center"/>
      <protection locked="0"/>
    </xf>
    <xf numFmtId="4" fontId="2" fillId="2" borderId="56" xfId="0" applyNumberFormat="1" applyFont="1" applyFill="1" applyBorder="1" applyAlignment="1" applyProtection="1">
      <alignment vertical="center"/>
      <protection locked="0"/>
    </xf>
    <xf numFmtId="4" fontId="2" fillId="2" borderId="40" xfId="0" applyNumberFormat="1" applyFont="1" applyFill="1" applyBorder="1" applyAlignment="1" applyProtection="1">
      <alignment vertical="center"/>
      <protection locked="0"/>
    </xf>
    <xf numFmtId="4" fontId="2" fillId="2" borderId="101" xfId="0" applyNumberFormat="1" applyFont="1" applyFill="1" applyBorder="1" applyAlignment="1" applyProtection="1">
      <alignment vertical="center"/>
      <protection locked="0"/>
    </xf>
    <xf numFmtId="4" fontId="2" fillId="2" borderId="51" xfId="0" applyNumberFormat="1" applyFont="1" applyFill="1" applyBorder="1" applyAlignment="1" applyProtection="1">
      <alignment vertical="center"/>
      <protection locked="0"/>
    </xf>
    <xf numFmtId="0" fontId="2" fillId="2" borderId="34" xfId="0" applyFont="1" applyFill="1" applyBorder="1" applyAlignment="1" applyProtection="1">
      <alignment horizontal="left" vertical="center"/>
      <protection locked="0"/>
    </xf>
    <xf numFmtId="0" fontId="2" fillId="2" borderId="33" xfId="0" applyFont="1" applyFill="1" applyBorder="1" applyAlignment="1" applyProtection="1">
      <alignment horizontal="left"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 applyAlignment="1" applyProtection="1">
      <alignment horizontal="left" vertical="center"/>
      <protection locked="0"/>
    </xf>
    <xf numFmtId="4" fontId="3" fillId="2" borderId="36" xfId="0" applyNumberFormat="1" applyFont="1" applyFill="1" applyBorder="1" applyAlignment="1" applyProtection="1">
      <alignment vertical="center"/>
      <protection locked="0"/>
    </xf>
    <xf numFmtId="4" fontId="3" fillId="2" borderId="70" xfId="0" applyNumberFormat="1" applyFont="1" applyFill="1" applyBorder="1" applyAlignment="1" applyProtection="1">
      <alignment vertical="center"/>
      <protection locked="0"/>
    </xf>
    <xf numFmtId="4" fontId="3" fillId="2" borderId="71" xfId="0" applyNumberFormat="1" applyFont="1" applyFill="1" applyBorder="1" applyAlignment="1" applyProtection="1">
      <alignment vertical="center"/>
      <protection locked="0"/>
    </xf>
    <xf numFmtId="4" fontId="2" fillId="2" borderId="102" xfId="0" applyNumberFormat="1" applyFont="1" applyFill="1" applyBorder="1" applyAlignment="1" applyProtection="1">
      <alignment vertical="center"/>
      <protection locked="0"/>
    </xf>
    <xf numFmtId="4" fontId="2" fillId="2" borderId="103" xfId="0" applyNumberFormat="1" applyFont="1" applyFill="1" applyBorder="1" applyAlignment="1" applyProtection="1">
      <alignment vertical="center"/>
      <protection locked="0"/>
    </xf>
    <xf numFmtId="4" fontId="2" fillId="2" borderId="104" xfId="0" applyNumberFormat="1" applyFont="1" applyFill="1" applyBorder="1" applyAlignment="1" applyProtection="1">
      <alignment vertical="center"/>
      <protection locked="0"/>
    </xf>
    <xf numFmtId="0" fontId="9" fillId="2" borderId="59" xfId="0" applyFont="1" applyFill="1" applyBorder="1" applyAlignment="1" applyProtection="1">
      <alignment horizontal="center" vertical="center"/>
      <protection locked="0"/>
    </xf>
    <xf numFmtId="4" fontId="2" fillId="2" borderId="34" xfId="0" applyNumberFormat="1" applyFont="1" applyFill="1" applyBorder="1" applyAlignment="1" applyProtection="1">
      <alignment horizontal="left" vertical="center"/>
      <protection locked="0"/>
    </xf>
    <xf numFmtId="4" fontId="2" fillId="2" borderId="48" xfId="0" applyNumberFormat="1" applyFont="1" applyFill="1" applyBorder="1" applyAlignment="1" applyProtection="1">
      <alignment horizontal="left" vertical="center"/>
      <protection locked="0"/>
    </xf>
    <xf numFmtId="4" fontId="2" fillId="2" borderId="51" xfId="0" applyNumberFormat="1" applyFont="1" applyFill="1" applyBorder="1" applyAlignment="1" applyProtection="1">
      <alignment horizontal="left" vertical="center"/>
      <protection locked="0"/>
    </xf>
    <xf numFmtId="4" fontId="9" fillId="2" borderId="56" xfId="0" applyNumberFormat="1" applyFont="1" applyFill="1" applyBorder="1" applyAlignment="1" applyProtection="1">
      <alignment vertical="center"/>
      <protection locked="0"/>
    </xf>
    <xf numFmtId="4" fontId="9" fillId="2" borderId="37" xfId="0" applyNumberFormat="1" applyFont="1" applyFill="1" applyBorder="1" applyAlignment="1" applyProtection="1">
      <alignment vertical="center"/>
      <protection locked="0"/>
    </xf>
    <xf numFmtId="4" fontId="2" fillId="2" borderId="55" xfId="0" applyNumberFormat="1" applyFont="1" applyFill="1" applyBorder="1" applyAlignment="1" applyProtection="1">
      <alignment horizontal="left" vertical="center"/>
      <protection locked="0"/>
    </xf>
    <xf numFmtId="4" fontId="2" fillId="2" borderId="57" xfId="0" applyNumberFormat="1" applyFont="1" applyFill="1" applyBorder="1" applyAlignment="1" applyProtection="1">
      <alignment horizontal="left" vertical="center"/>
      <protection locked="0"/>
    </xf>
    <xf numFmtId="4" fontId="2" fillId="2" borderId="47" xfId="0" applyNumberFormat="1" applyFont="1" applyFill="1" applyBorder="1" applyAlignment="1" applyProtection="1">
      <alignment horizontal="left" vertical="center"/>
      <protection locked="0"/>
    </xf>
    <xf numFmtId="4" fontId="2" fillId="2" borderId="53" xfId="0" applyNumberFormat="1" applyFont="1" applyFill="1" applyBorder="1" applyAlignment="1" applyProtection="1">
      <alignment horizontal="left" vertical="center"/>
      <protection locked="0"/>
    </xf>
    <xf numFmtId="4" fontId="2" fillId="2" borderId="45" xfId="0" applyNumberFormat="1" applyFont="1" applyFill="1" applyBorder="1" applyAlignment="1" applyProtection="1">
      <alignment horizontal="left" vertical="center"/>
      <protection locked="0"/>
    </xf>
    <xf numFmtId="3" fontId="5" fillId="2" borderId="59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/>
    </xf>
    <xf numFmtId="0" fontId="3" fillId="2" borderId="28" xfId="0" applyFont="1" applyFill="1" applyBorder="1" applyAlignment="1">
      <alignment/>
    </xf>
    <xf numFmtId="0" fontId="3" fillId="2" borderId="87" xfId="0" applyFont="1" applyFill="1" applyBorder="1" applyAlignment="1">
      <alignment/>
    </xf>
    <xf numFmtId="0" fontId="3" fillId="2" borderId="87" xfId="0" applyFont="1" applyFill="1" applyBorder="1" applyAlignment="1" applyProtection="1">
      <alignment/>
      <protection locked="0"/>
    </xf>
    <xf numFmtId="0" fontId="9" fillId="2" borderId="29" xfId="0" applyFont="1" applyFill="1" applyBorder="1" applyAlignment="1" applyProtection="1">
      <alignment/>
      <protection locked="0"/>
    </xf>
    <xf numFmtId="0" fontId="9" fillId="2" borderId="30" xfId="0" applyFont="1" applyFill="1" applyBorder="1" applyAlignment="1" applyProtection="1">
      <alignment/>
      <protection locked="0"/>
    </xf>
    <xf numFmtId="0" fontId="9" fillId="2" borderId="28" xfId="0" applyFont="1" applyFill="1" applyBorder="1" applyAlignment="1" applyProtection="1">
      <alignment/>
      <protection locked="0"/>
    </xf>
    <xf numFmtId="10" fontId="10" fillId="2" borderId="30" xfId="0" applyNumberFormat="1" applyFont="1" applyFill="1" applyBorder="1" applyAlignment="1" applyProtection="1">
      <alignment/>
      <protection locked="0"/>
    </xf>
    <xf numFmtId="4" fontId="2" fillId="2" borderId="39" xfId="0" applyNumberFormat="1" applyFont="1" applyFill="1" applyBorder="1" applyAlignment="1" applyProtection="1">
      <alignment horizontal="left" vertical="center"/>
      <protection locked="0"/>
    </xf>
    <xf numFmtId="0" fontId="2" fillId="2" borderId="39" xfId="0" applyFont="1" applyFill="1" applyBorder="1" applyAlignment="1" applyProtection="1">
      <alignment horizontal="left" vertical="center"/>
      <protection locked="0"/>
    </xf>
    <xf numFmtId="4" fontId="2" fillId="2" borderId="40" xfId="0" applyNumberFormat="1" applyFont="1" applyFill="1" applyBorder="1" applyAlignment="1" applyProtection="1">
      <alignment horizontal="left" vertical="center"/>
      <protection locked="0"/>
    </xf>
    <xf numFmtId="4" fontId="3" fillId="2" borderId="38" xfId="0" applyNumberFormat="1" applyFont="1" applyFill="1" applyBorder="1" applyAlignment="1" applyProtection="1">
      <alignment/>
      <protection/>
    </xf>
    <xf numFmtId="0" fontId="2" fillId="2" borderId="33" xfId="0" applyFont="1" applyFill="1" applyBorder="1" applyAlignment="1">
      <alignment/>
    </xf>
    <xf numFmtId="4" fontId="2" fillId="2" borderId="36" xfId="0" applyNumberFormat="1" applyFont="1" applyFill="1" applyBorder="1" applyAlignment="1" applyProtection="1">
      <alignment horizontal="right" vertical="center"/>
      <protection locked="0"/>
    </xf>
    <xf numFmtId="4" fontId="2" fillId="2" borderId="77" xfId="0" applyNumberFormat="1" applyFont="1" applyFill="1" applyBorder="1" applyAlignment="1" applyProtection="1">
      <alignment horizontal="right" vertical="center"/>
      <protection locked="0"/>
    </xf>
    <xf numFmtId="4" fontId="2" fillId="2" borderId="71" xfId="0" applyNumberFormat="1" applyFont="1" applyFill="1" applyBorder="1" applyAlignment="1" applyProtection="1">
      <alignment horizontal="right" vertical="center"/>
      <protection locked="0"/>
    </xf>
    <xf numFmtId="4" fontId="2" fillId="2" borderId="76" xfId="0" applyNumberFormat="1" applyFont="1" applyFill="1" applyBorder="1" applyAlignment="1" applyProtection="1">
      <alignment horizontal="right" vertical="center"/>
      <protection locked="0"/>
    </xf>
    <xf numFmtId="0" fontId="2" fillId="2" borderId="44" xfId="0" applyFont="1" applyFill="1" applyBorder="1" applyAlignment="1" applyProtection="1">
      <alignment vertical="center"/>
      <protection locked="0"/>
    </xf>
    <xf numFmtId="0" fontId="2" fillId="2" borderId="72" xfId="0" applyFont="1" applyFill="1" applyBorder="1" applyAlignment="1" applyProtection="1">
      <alignment vertical="center"/>
      <protection locked="0"/>
    </xf>
    <xf numFmtId="0" fontId="2" fillId="2" borderId="45" xfId="0" applyFont="1" applyFill="1" applyBorder="1" applyAlignment="1" applyProtection="1">
      <alignment vertical="center"/>
      <protection locked="0"/>
    </xf>
    <xf numFmtId="0" fontId="2" fillId="2" borderId="52" xfId="0" applyFont="1" applyFill="1" applyBorder="1" applyAlignment="1" applyProtection="1">
      <alignment vertical="center"/>
      <protection locked="0"/>
    </xf>
    <xf numFmtId="0" fontId="2" fillId="2" borderId="47" xfId="0" applyFont="1" applyFill="1" applyBorder="1" applyAlignment="1" applyProtection="1">
      <alignment vertical="center"/>
      <protection locked="0"/>
    </xf>
    <xf numFmtId="0" fontId="2" fillId="2" borderId="53" xfId="0" applyFont="1" applyFill="1" applyBorder="1" applyAlignment="1" applyProtection="1">
      <alignment vertical="center"/>
      <protection locked="0"/>
    </xf>
    <xf numFmtId="4" fontId="3" fillId="2" borderId="76" xfId="0" applyNumberFormat="1" applyFont="1" applyFill="1" applyBorder="1" applyAlignment="1" applyProtection="1">
      <alignment vertical="center"/>
      <protection locked="0"/>
    </xf>
    <xf numFmtId="4" fontId="2" fillId="2" borderId="105" xfId="0" applyNumberFormat="1" applyFont="1" applyFill="1" applyBorder="1" applyAlignment="1" applyProtection="1">
      <alignment horizontal="right" vertical="center"/>
      <protection locked="0"/>
    </xf>
    <xf numFmtId="4" fontId="2" fillId="2" borderId="93" xfId="0" applyNumberFormat="1" applyFont="1" applyFill="1" applyBorder="1" applyAlignment="1" applyProtection="1">
      <alignment horizontal="right" vertical="center"/>
      <protection locked="0"/>
    </xf>
    <xf numFmtId="4" fontId="2" fillId="2" borderId="96" xfId="0" applyNumberFormat="1" applyFont="1" applyFill="1" applyBorder="1" applyAlignment="1" applyProtection="1">
      <alignment horizontal="right" vertical="center"/>
      <protection locked="0"/>
    </xf>
    <xf numFmtId="4" fontId="2" fillId="2" borderId="102" xfId="0" applyNumberFormat="1" applyFont="1" applyFill="1" applyBorder="1" applyAlignment="1" applyProtection="1">
      <alignment vertical="center"/>
      <protection locked="0"/>
    </xf>
    <xf numFmtId="4" fontId="2" fillId="2" borderId="98" xfId="0" applyNumberFormat="1" applyFont="1" applyFill="1" applyBorder="1" applyAlignment="1" applyProtection="1">
      <alignment vertical="center"/>
      <protection locked="0"/>
    </xf>
    <xf numFmtId="4" fontId="2" fillId="2" borderId="104" xfId="0" applyNumberFormat="1" applyFont="1" applyFill="1" applyBorder="1" applyAlignment="1" applyProtection="1">
      <alignment horizontal="right" vertical="center"/>
      <protection locked="0"/>
    </xf>
    <xf numFmtId="4" fontId="2" fillId="2" borderId="95" xfId="0" applyNumberFormat="1" applyFont="1" applyFill="1" applyBorder="1" applyAlignment="1" applyProtection="1">
      <alignment horizontal="right" vertical="center"/>
      <protection locked="0"/>
    </xf>
    <xf numFmtId="4" fontId="2" fillId="2" borderId="96" xfId="0" applyNumberFormat="1" applyFont="1" applyFill="1" applyBorder="1" applyAlignment="1" applyProtection="1">
      <alignment horizontal="right" vertical="center"/>
      <protection locked="0"/>
    </xf>
    <xf numFmtId="4" fontId="2" fillId="2" borderId="102" xfId="0" applyNumberFormat="1" applyFont="1" applyFill="1" applyBorder="1" applyAlignment="1" applyProtection="1">
      <alignment horizontal="right" vertical="center"/>
      <protection locked="0"/>
    </xf>
    <xf numFmtId="4" fontId="2" fillId="2" borderId="98" xfId="0" applyNumberFormat="1" applyFont="1" applyFill="1" applyBorder="1" applyAlignment="1" applyProtection="1">
      <alignment horizontal="right" vertical="center"/>
      <protection locked="0"/>
    </xf>
    <xf numFmtId="4" fontId="2" fillId="2" borderId="105" xfId="0" applyNumberFormat="1" applyFont="1" applyFill="1" applyBorder="1" applyAlignment="1" applyProtection="1">
      <alignment horizontal="right" vertical="center"/>
      <protection locked="0"/>
    </xf>
    <xf numFmtId="0" fontId="2" fillId="2" borderId="56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2" borderId="51" xfId="0" applyFont="1" applyFill="1" applyBorder="1" applyAlignment="1" applyProtection="1">
      <alignment horizontal="center" vertical="center"/>
      <protection locked="0"/>
    </xf>
    <xf numFmtId="4" fontId="2" fillId="2" borderId="56" xfId="0" applyNumberFormat="1" applyFont="1" applyFill="1" applyBorder="1" applyAlignment="1" applyProtection="1">
      <alignment horizontal="right" vertical="center"/>
      <protection locked="0"/>
    </xf>
    <xf numFmtId="4" fontId="2" fillId="2" borderId="34" xfId="0" applyNumberFormat="1" applyFont="1" applyFill="1" applyBorder="1" applyAlignment="1" applyProtection="1">
      <alignment horizontal="right" vertical="center"/>
      <protection locked="0"/>
    </xf>
    <xf numFmtId="4" fontId="2" fillId="2" borderId="40" xfId="0" applyNumberFormat="1" applyFont="1" applyFill="1" applyBorder="1" applyAlignment="1" applyProtection="1">
      <alignment horizontal="right" vertical="center"/>
      <protection locked="0"/>
    </xf>
    <xf numFmtId="4" fontId="2" fillId="2" borderId="51" xfId="0" applyNumberFormat="1" applyFont="1" applyFill="1" applyBorder="1" applyAlignment="1" applyProtection="1">
      <alignment horizontal="right" vertical="center"/>
      <protection locked="0"/>
    </xf>
    <xf numFmtId="4" fontId="2" fillId="2" borderId="48" xfId="0" applyNumberFormat="1" applyFont="1" applyFill="1" applyBorder="1" applyAlignment="1" applyProtection="1">
      <alignment horizontal="right" vertical="center"/>
      <protection locked="0"/>
    </xf>
    <xf numFmtId="4" fontId="2" fillId="2" borderId="56" xfId="0" applyNumberFormat="1" applyFont="1" applyFill="1" applyBorder="1" applyAlignment="1" applyProtection="1">
      <alignment horizontal="right" vertical="center"/>
      <protection locked="0"/>
    </xf>
    <xf numFmtId="4" fontId="2" fillId="2" borderId="40" xfId="0" applyNumberFormat="1" applyFont="1" applyFill="1" applyBorder="1" applyAlignment="1" applyProtection="1">
      <alignment horizontal="right" vertical="center"/>
      <protection locked="0"/>
    </xf>
    <xf numFmtId="4" fontId="2" fillId="2" borderId="51" xfId="0" applyNumberFormat="1" applyFont="1" applyFill="1" applyBorder="1" applyAlignment="1" applyProtection="1">
      <alignment horizontal="right" vertical="center"/>
      <protection locked="0"/>
    </xf>
    <xf numFmtId="0" fontId="30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center" vertical="center"/>
    </xf>
    <xf numFmtId="4" fontId="3" fillId="2" borderId="105" xfId="0" applyNumberFormat="1" applyFont="1" applyFill="1" applyBorder="1" applyAlignment="1">
      <alignment horizontal="right" vertical="center"/>
    </xf>
    <xf numFmtId="4" fontId="2" fillId="2" borderId="59" xfId="0" applyNumberFormat="1" applyFont="1" applyFill="1" applyBorder="1" applyAlignment="1" applyProtection="1">
      <alignment vertical="center"/>
      <protection locked="0"/>
    </xf>
    <xf numFmtId="0" fontId="2" fillId="2" borderId="44" xfId="0" applyFont="1" applyFill="1" applyBorder="1" applyAlignment="1" applyProtection="1">
      <alignment/>
      <protection locked="0"/>
    </xf>
    <xf numFmtId="0" fontId="2" fillId="2" borderId="32" xfId="0" applyFont="1" applyFill="1" applyBorder="1" applyAlignment="1" applyProtection="1">
      <alignment/>
      <protection locked="0"/>
    </xf>
    <xf numFmtId="0" fontId="2" fillId="2" borderId="72" xfId="0" applyFont="1" applyFill="1" applyBorder="1" applyAlignment="1" applyProtection="1">
      <alignment/>
      <protection locked="0"/>
    </xf>
    <xf numFmtId="0" fontId="2" fillId="2" borderId="45" xfId="0" applyFont="1" applyFill="1" applyBorder="1" applyAlignment="1" applyProtection="1">
      <alignment/>
      <protection locked="0"/>
    </xf>
    <xf numFmtId="0" fontId="2" fillId="2" borderId="33" xfId="0" applyFont="1" applyFill="1" applyBorder="1" applyAlignment="1" applyProtection="1">
      <alignment/>
      <protection locked="0"/>
    </xf>
    <xf numFmtId="0" fontId="2" fillId="2" borderId="52" xfId="0" applyFont="1" applyFill="1" applyBorder="1" applyAlignment="1" applyProtection="1">
      <alignment/>
      <protection locked="0"/>
    </xf>
    <xf numFmtId="0" fontId="2" fillId="2" borderId="47" xfId="0" applyFont="1" applyFill="1" applyBorder="1" applyAlignment="1" applyProtection="1">
      <alignment/>
      <protection locked="0"/>
    </xf>
    <xf numFmtId="0" fontId="2" fillId="2" borderId="48" xfId="0" applyFont="1" applyFill="1" applyBorder="1" applyAlignment="1" applyProtection="1">
      <alignment/>
      <protection locked="0"/>
    </xf>
    <xf numFmtId="0" fontId="2" fillId="2" borderId="53" xfId="0" applyFont="1" applyFill="1" applyBorder="1" applyAlignment="1" applyProtection="1">
      <alignment/>
      <protection locked="0"/>
    </xf>
    <xf numFmtId="165" fontId="2" fillId="2" borderId="105" xfId="0" applyNumberFormat="1" applyFont="1" applyFill="1" applyBorder="1" applyAlignment="1" applyProtection="1">
      <alignment horizontal="right" vertical="center"/>
      <protection locked="0"/>
    </xf>
    <xf numFmtId="165" fontId="2" fillId="2" borderId="105" xfId="0" applyNumberFormat="1" applyFont="1" applyFill="1" applyBorder="1" applyAlignment="1" applyProtection="1">
      <alignment horizontal="right" vertical="center"/>
      <protection locked="0"/>
    </xf>
    <xf numFmtId="165" fontId="2" fillId="2" borderId="93" xfId="0" applyNumberFormat="1" applyFont="1" applyFill="1" applyBorder="1" applyAlignment="1" applyProtection="1">
      <alignment horizontal="right" vertical="center"/>
      <protection locked="0"/>
    </xf>
    <xf numFmtId="165" fontId="2" fillId="2" borderId="96" xfId="0" applyNumberFormat="1" applyFont="1" applyFill="1" applyBorder="1" applyAlignment="1" applyProtection="1">
      <alignment horizontal="right" vertical="center"/>
      <protection locked="0"/>
    </xf>
    <xf numFmtId="4" fontId="3" fillId="2" borderId="59" xfId="0" applyNumberFormat="1" applyFont="1" applyFill="1" applyBorder="1" applyAlignment="1" applyProtection="1">
      <alignment/>
      <protection locked="0"/>
    </xf>
    <xf numFmtId="0" fontId="2" fillId="2" borderId="55" xfId="0" applyFont="1" applyFill="1" applyBorder="1" applyAlignment="1">
      <alignment horizontal="left" vertical="center"/>
    </xf>
    <xf numFmtId="4" fontId="2" fillId="2" borderId="56" xfId="0" applyNumberFormat="1" applyFont="1" applyFill="1" applyBorder="1" applyAlignment="1" applyProtection="1">
      <alignment vertical="center"/>
      <protection/>
    </xf>
    <xf numFmtId="4" fontId="2" fillId="2" borderId="51" xfId="0" applyNumberFormat="1" applyFont="1" applyFill="1" applyBorder="1" applyAlignment="1" applyProtection="1">
      <alignment vertical="center"/>
      <protection/>
    </xf>
    <xf numFmtId="0" fontId="31" fillId="0" borderId="23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31" fillId="0" borderId="24" xfId="0" applyFont="1" applyFill="1" applyBorder="1" applyAlignment="1" applyProtection="1">
      <alignment horizontal="left"/>
      <protection locked="0"/>
    </xf>
    <xf numFmtId="0" fontId="31" fillId="0" borderId="23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31" fillId="0" borderId="24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4" fontId="10" fillId="2" borderId="0" xfId="0" applyNumberFormat="1" applyFont="1" applyFill="1" applyAlignment="1" applyProtection="1">
      <alignment horizontal="left"/>
      <protection/>
    </xf>
    <xf numFmtId="0" fontId="10" fillId="2" borderId="20" xfId="0" applyFont="1" applyFill="1" applyBorder="1" applyAlignment="1" applyProtection="1">
      <alignment horizontal="left"/>
      <protection/>
    </xf>
    <xf numFmtId="0" fontId="10" fillId="2" borderId="21" xfId="0" applyFont="1" applyFill="1" applyBorder="1" applyAlignment="1" applyProtection="1">
      <alignment horizontal="left"/>
      <protection/>
    </xf>
    <xf numFmtId="4" fontId="10" fillId="2" borderId="21" xfId="0" applyNumberFormat="1" applyFont="1" applyFill="1" applyBorder="1" applyAlignment="1" applyProtection="1">
      <alignment horizontal="left"/>
      <protection/>
    </xf>
    <xf numFmtId="0" fontId="10" fillId="2" borderId="22" xfId="0" applyFont="1" applyFill="1" applyBorder="1" applyAlignment="1" applyProtection="1">
      <alignment horizontal="left"/>
      <protection/>
    </xf>
    <xf numFmtId="0" fontId="10" fillId="2" borderId="23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left"/>
      <protection/>
    </xf>
    <xf numFmtId="4" fontId="10" fillId="2" borderId="0" xfId="0" applyNumberFormat="1" applyFont="1" applyFill="1" applyBorder="1" applyAlignment="1" applyProtection="1">
      <alignment horizontal="left"/>
      <protection/>
    </xf>
    <xf numFmtId="0" fontId="10" fillId="2" borderId="24" xfId="0" applyFont="1" applyFill="1" applyBorder="1" applyAlignment="1" applyProtection="1">
      <alignment horizontal="left"/>
      <protection/>
    </xf>
    <xf numFmtId="0" fontId="2" fillId="2" borderId="24" xfId="0" applyFont="1" applyFill="1" applyBorder="1" applyAlignment="1" applyProtection="1">
      <alignment horizontal="left"/>
      <protection/>
    </xf>
    <xf numFmtId="0" fontId="13" fillId="2" borderId="0" xfId="0" applyFont="1" applyFill="1" applyBorder="1" applyAlignment="1" applyProtection="1">
      <alignment horizontal="left"/>
      <protection/>
    </xf>
    <xf numFmtId="0" fontId="2" fillId="2" borderId="23" xfId="0" applyFont="1" applyFill="1" applyBorder="1" applyAlignment="1" applyProtection="1">
      <alignment horizontal="left"/>
      <protection/>
    </xf>
    <xf numFmtId="0" fontId="3" fillId="19" borderId="0" xfId="0" applyFont="1" applyFill="1" applyBorder="1" applyAlignment="1" applyProtection="1">
      <alignment horizontal="left" vertical="center"/>
      <protection/>
    </xf>
    <xf numFmtId="0" fontId="2" fillId="2" borderId="0" xfId="0" applyFont="1" applyFill="1" applyAlignment="1" applyProtection="1">
      <alignment horizontal="left"/>
      <protection/>
    </xf>
    <xf numFmtId="0" fontId="7" fillId="2" borderId="23" xfId="0" applyFont="1" applyFill="1" applyBorder="1" applyAlignment="1" applyProtection="1">
      <alignment horizontal="left"/>
      <protection/>
    </xf>
    <xf numFmtId="0" fontId="5" fillId="9" borderId="0" xfId="0" applyFont="1" applyFill="1" applyBorder="1" applyAlignment="1" applyProtection="1">
      <alignment horizontal="left" vertical="center"/>
      <protection/>
    </xf>
    <xf numFmtId="4" fontId="5" fillId="9" borderId="0" xfId="0" applyNumberFormat="1" applyFont="1" applyFill="1" applyBorder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left" vertical="center"/>
      <protection/>
    </xf>
    <xf numFmtId="4" fontId="5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9" fillId="2" borderId="23" xfId="0" applyFont="1" applyFill="1" applyBorder="1" applyAlignment="1" applyProtection="1">
      <alignment horizontal="left"/>
      <protection/>
    </xf>
    <xf numFmtId="0" fontId="9" fillId="6" borderId="60" xfId="0" applyFont="1" applyFill="1" applyBorder="1" applyAlignment="1" applyProtection="1">
      <alignment vertical="center"/>
      <protection/>
    </xf>
    <xf numFmtId="0" fontId="9" fillId="6" borderId="61" xfId="0" applyFont="1" applyFill="1" applyBorder="1" applyAlignment="1" applyProtection="1">
      <alignment vertical="center"/>
      <protection/>
    </xf>
    <xf numFmtId="4" fontId="8" fillId="6" borderId="58" xfId="0" applyNumberFormat="1" applyFont="1" applyFill="1" applyBorder="1" applyAlignment="1" applyProtection="1">
      <alignment horizontal="right" vertical="center"/>
      <protection/>
    </xf>
    <xf numFmtId="1" fontId="8" fillId="6" borderId="54" xfId="0" applyNumberFormat="1" applyFont="1" applyFill="1" applyBorder="1" applyAlignment="1" applyProtection="1">
      <alignment horizontal="center" vertical="center"/>
      <protection/>
    </xf>
    <xf numFmtId="1" fontId="5" fillId="6" borderId="67" xfId="0" applyNumberFormat="1" applyFont="1" applyFill="1" applyBorder="1" applyAlignment="1" applyProtection="1">
      <alignment horizontal="left" vertical="center"/>
      <protection/>
    </xf>
    <xf numFmtId="1" fontId="8" fillId="6" borderId="54" xfId="0" applyNumberFormat="1" applyFont="1" applyFill="1" applyBorder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13" fillId="2" borderId="23" xfId="0" applyFont="1" applyFill="1" applyBorder="1" applyAlignment="1" applyProtection="1">
      <alignment horizontal="center"/>
      <protection/>
    </xf>
    <xf numFmtId="0" fontId="5" fillId="6" borderId="43" xfId="0" applyFont="1" applyFill="1" applyBorder="1" applyAlignment="1" applyProtection="1">
      <alignment vertical="center"/>
      <protection/>
    </xf>
    <xf numFmtId="0" fontId="13" fillId="6" borderId="63" xfId="0" applyFont="1" applyFill="1" applyBorder="1" applyAlignment="1" applyProtection="1">
      <alignment horizontal="center" vertical="center"/>
      <protection/>
    </xf>
    <xf numFmtId="4" fontId="13" fillId="6" borderId="59" xfId="0" applyNumberFormat="1" applyFont="1" applyFill="1" applyBorder="1" applyAlignment="1" applyProtection="1">
      <alignment horizontal="center" vertical="center"/>
      <protection/>
    </xf>
    <xf numFmtId="0" fontId="13" fillId="2" borderId="0" xfId="0" applyFont="1" applyFill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/>
      <protection/>
    </xf>
    <xf numFmtId="0" fontId="3" fillId="2" borderId="58" xfId="0" applyFont="1" applyFill="1" applyBorder="1" applyAlignment="1" applyProtection="1">
      <alignment vertical="center"/>
      <protection/>
    </xf>
    <xf numFmtId="0" fontId="3" fillId="2" borderId="67" xfId="0" applyFont="1" applyFill="1" applyBorder="1" applyAlignment="1" applyProtection="1">
      <alignment vertical="center"/>
      <protection/>
    </xf>
    <xf numFmtId="4" fontId="3" fillId="2" borderId="59" xfId="0" applyNumberFormat="1" applyFont="1" applyFill="1" applyBorder="1" applyAlignment="1" applyProtection="1">
      <alignment vertical="center"/>
      <protection/>
    </xf>
    <xf numFmtId="4" fontId="3" fillId="2" borderId="59" xfId="0" applyNumberFormat="1" applyFont="1" applyFill="1" applyBorder="1" applyAlignment="1" applyProtection="1">
      <alignment horizontal="left" vertical="center"/>
      <protection/>
    </xf>
    <xf numFmtId="0" fontId="3" fillId="2" borderId="59" xfId="0" applyFont="1" applyFill="1" applyBorder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2" fillId="2" borderId="44" xfId="0" applyFont="1" applyFill="1" applyBorder="1" applyAlignment="1" applyProtection="1">
      <alignment vertical="center"/>
      <protection/>
    </xf>
    <xf numFmtId="0" fontId="2" fillId="2" borderId="72" xfId="0" applyFont="1" applyFill="1" applyBorder="1" applyAlignment="1" applyProtection="1">
      <alignment vertical="center"/>
      <protection/>
    </xf>
    <xf numFmtId="0" fontId="2" fillId="2" borderId="0" xfId="0" applyFont="1" applyFill="1" applyAlignment="1" applyProtection="1">
      <alignment horizontal="left" vertical="center"/>
      <protection/>
    </xf>
    <xf numFmtId="0" fontId="2" fillId="2" borderId="47" xfId="0" applyFont="1" applyFill="1" applyBorder="1" applyAlignment="1" applyProtection="1">
      <alignment vertical="center"/>
      <protection/>
    </xf>
    <xf numFmtId="0" fontId="2" fillId="2" borderId="53" xfId="0" applyFont="1" applyFill="1" applyBorder="1" applyAlignment="1" applyProtection="1">
      <alignment vertical="center"/>
      <protection/>
    </xf>
    <xf numFmtId="0" fontId="2" fillId="2" borderId="52" xfId="0" applyFont="1" applyFill="1" applyBorder="1" applyAlignment="1" applyProtection="1">
      <alignment vertical="center"/>
      <protection/>
    </xf>
    <xf numFmtId="0" fontId="32" fillId="2" borderId="23" xfId="0" applyFont="1" applyFill="1" applyBorder="1" applyAlignment="1" applyProtection="1">
      <alignment horizontal="left"/>
      <protection/>
    </xf>
    <xf numFmtId="0" fontId="32" fillId="2" borderId="44" xfId="0" applyFont="1" applyFill="1" applyBorder="1" applyAlignment="1" applyProtection="1">
      <alignment vertical="center"/>
      <protection/>
    </xf>
    <xf numFmtId="0" fontId="32" fillId="2" borderId="72" xfId="0" applyFont="1" applyFill="1" applyBorder="1" applyAlignment="1" applyProtection="1">
      <alignment vertical="center"/>
      <protection/>
    </xf>
    <xf numFmtId="4" fontId="32" fillId="2" borderId="39" xfId="0" applyNumberFormat="1" applyFont="1" applyFill="1" applyBorder="1" applyAlignment="1" applyProtection="1">
      <alignment vertical="center"/>
      <protection/>
    </xf>
    <xf numFmtId="4" fontId="32" fillId="2" borderId="39" xfId="0" applyNumberFormat="1" applyFont="1" applyFill="1" applyBorder="1" applyAlignment="1" applyProtection="1">
      <alignment horizontal="left" vertical="center"/>
      <protection/>
    </xf>
    <xf numFmtId="0" fontId="32" fillId="2" borderId="39" xfId="0" applyFont="1" applyFill="1" applyBorder="1" applyAlignment="1" applyProtection="1">
      <alignment horizontal="left" vertical="center"/>
      <protection/>
    </xf>
    <xf numFmtId="0" fontId="32" fillId="2" borderId="24" xfId="0" applyFont="1" applyFill="1" applyBorder="1" applyAlignment="1" applyProtection="1">
      <alignment horizontal="left"/>
      <protection/>
    </xf>
    <xf numFmtId="0" fontId="32" fillId="2" borderId="0" xfId="0" applyFont="1" applyFill="1" applyAlignment="1" applyProtection="1">
      <alignment horizontal="left" vertical="center"/>
      <protection/>
    </xf>
    <xf numFmtId="0" fontId="3" fillId="2" borderId="49" xfId="0" applyFont="1" applyFill="1" applyBorder="1" applyAlignment="1" applyProtection="1">
      <alignment vertical="center"/>
      <protection/>
    </xf>
    <xf numFmtId="0" fontId="3" fillId="2" borderId="50" xfId="0" applyFont="1" applyFill="1" applyBorder="1" applyAlignment="1" applyProtection="1">
      <alignment vertical="center"/>
      <protection/>
    </xf>
    <xf numFmtId="4" fontId="3" fillId="2" borderId="36" xfId="0" applyNumberFormat="1" applyFont="1" applyFill="1" applyBorder="1" applyAlignment="1" applyProtection="1">
      <alignment vertical="center"/>
      <protection/>
    </xf>
    <xf numFmtId="4" fontId="3" fillId="2" borderId="36" xfId="0" applyNumberFormat="1" applyFont="1" applyFill="1" applyBorder="1" applyAlignment="1" applyProtection="1">
      <alignment horizontal="left" vertical="center"/>
      <protection/>
    </xf>
    <xf numFmtId="0" fontId="3" fillId="2" borderId="36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4" fontId="2" fillId="2" borderId="0" xfId="0" applyNumberFormat="1" applyFont="1" applyFill="1" applyBorder="1" applyAlignment="1" applyProtection="1">
      <alignment horizontal="left" vertical="center"/>
      <protection/>
    </xf>
    <xf numFmtId="4" fontId="13" fillId="6" borderId="62" xfId="0" applyNumberFormat="1" applyFont="1" applyFill="1" applyBorder="1" applyAlignment="1" applyProtection="1">
      <alignment horizontal="center" vertical="center"/>
      <protection/>
    </xf>
    <xf numFmtId="1" fontId="5" fillId="6" borderId="38" xfId="0" applyNumberFormat="1" applyFont="1" applyFill="1" applyBorder="1" applyAlignment="1" applyProtection="1">
      <alignment horizontal="center" vertical="center"/>
      <protection/>
    </xf>
    <xf numFmtId="4" fontId="3" fillId="2" borderId="49" xfId="0" applyNumberFormat="1" applyFont="1" applyFill="1" applyBorder="1" applyAlignment="1" applyProtection="1">
      <alignment horizontal="left" vertical="center"/>
      <protection/>
    </xf>
    <xf numFmtId="4" fontId="3" fillId="2" borderId="35" xfId="0" applyNumberFormat="1" applyFont="1" applyFill="1" applyBorder="1" applyAlignment="1" applyProtection="1">
      <alignment horizontal="left" vertical="center"/>
      <protection/>
    </xf>
    <xf numFmtId="4" fontId="3" fillId="2" borderId="50" xfId="0" applyNumberFormat="1" applyFont="1" applyFill="1" applyBorder="1" applyAlignment="1" applyProtection="1">
      <alignment horizontal="left" vertical="center"/>
      <protection/>
    </xf>
    <xf numFmtId="4" fontId="3" fillId="2" borderId="58" xfId="0" applyNumberFormat="1" applyFont="1" applyFill="1" applyBorder="1" applyAlignment="1" applyProtection="1">
      <alignment horizontal="left" vertical="center"/>
      <protection/>
    </xf>
    <xf numFmtId="4" fontId="3" fillId="2" borderId="54" xfId="0" applyNumberFormat="1" applyFont="1" applyFill="1" applyBorder="1" applyAlignment="1" applyProtection="1">
      <alignment horizontal="left" vertical="center"/>
      <protection/>
    </xf>
    <xf numFmtId="4" fontId="3" fillId="2" borderId="67" xfId="0" applyNumberFormat="1" applyFont="1" applyFill="1" applyBorder="1" applyAlignment="1" applyProtection="1">
      <alignment horizontal="left" vertical="center"/>
      <protection/>
    </xf>
    <xf numFmtId="0" fontId="2" fillId="2" borderId="55" xfId="0" applyFont="1" applyFill="1" applyBorder="1" applyAlignment="1" applyProtection="1">
      <alignment vertical="center"/>
      <protection/>
    </xf>
    <xf numFmtId="0" fontId="2" fillId="2" borderId="57" xfId="0" applyFont="1" applyFill="1" applyBorder="1" applyAlignment="1" applyProtection="1">
      <alignment vertical="center"/>
      <protection/>
    </xf>
    <xf numFmtId="0" fontId="2" fillId="2" borderId="45" xfId="0" applyFont="1" applyFill="1" applyBorder="1" applyAlignment="1" applyProtection="1">
      <alignment vertical="center"/>
      <protection/>
    </xf>
    <xf numFmtId="0" fontId="2" fillId="2" borderId="82" xfId="0" applyFont="1" applyFill="1" applyBorder="1" applyAlignment="1" applyProtection="1">
      <alignment vertical="center"/>
      <protection/>
    </xf>
    <xf numFmtId="0" fontId="2" fillId="2" borderId="83" xfId="0" applyFont="1" applyFill="1" applyBorder="1" applyAlignment="1" applyProtection="1">
      <alignment vertical="center"/>
      <protection/>
    </xf>
    <xf numFmtId="0" fontId="3" fillId="2" borderId="24" xfId="0" applyFont="1" applyFill="1" applyBorder="1" applyAlignment="1" applyProtection="1">
      <alignment horizontal="left"/>
      <protection/>
    </xf>
    <xf numFmtId="0" fontId="2" fillId="2" borderId="45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horizontal="left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" fontId="25" fillId="2" borderId="0" xfId="0" applyNumberFormat="1" applyFont="1" applyFill="1" applyBorder="1" applyAlignment="1" applyProtection="1">
      <alignment horizontal="left" vertical="center"/>
      <protection/>
    </xf>
    <xf numFmtId="0" fontId="10" fillId="2" borderId="25" xfId="0" applyFont="1" applyFill="1" applyBorder="1" applyAlignment="1" applyProtection="1">
      <alignment horizontal="left"/>
      <protection/>
    </xf>
    <xf numFmtId="0" fontId="10" fillId="2" borderId="26" xfId="0" applyFont="1" applyFill="1" applyBorder="1" applyAlignment="1" applyProtection="1">
      <alignment horizontal="left"/>
      <protection/>
    </xf>
    <xf numFmtId="0" fontId="10" fillId="2" borderId="27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2" fillId="2" borderId="0" xfId="0" applyFont="1" applyFill="1" applyAlignment="1" applyProtection="1">
      <alignment horizontal="right"/>
      <protection/>
    </xf>
    <xf numFmtId="0" fontId="10" fillId="2" borderId="0" xfId="0" applyFont="1" applyFill="1" applyAlignment="1" applyProtection="1">
      <alignment horizontal="left"/>
      <protection/>
    </xf>
    <xf numFmtId="0" fontId="2" fillId="2" borderId="106" xfId="0" applyFont="1" applyFill="1" applyBorder="1" applyAlignment="1" applyProtection="1">
      <alignment vertical="center"/>
      <protection locked="0"/>
    </xf>
    <xf numFmtId="4" fontId="2" fillId="2" borderId="107" xfId="0" applyNumberFormat="1" applyFont="1" applyFill="1" applyBorder="1" applyAlignment="1" applyProtection="1">
      <alignment horizontal="right" vertical="center"/>
      <protection locked="0"/>
    </xf>
    <xf numFmtId="4" fontId="2" fillId="2" borderId="108" xfId="0" applyNumberFormat="1" applyFont="1" applyFill="1" applyBorder="1" applyAlignment="1" applyProtection="1">
      <alignment horizontal="left" vertical="center"/>
      <protection locked="0"/>
    </xf>
    <xf numFmtId="4" fontId="2" fillId="2" borderId="109" xfId="0" applyNumberFormat="1" applyFont="1" applyFill="1" applyBorder="1" applyAlignment="1" applyProtection="1">
      <alignment horizontal="left" vertical="center"/>
      <protection locked="0"/>
    </xf>
    <xf numFmtId="4" fontId="2" fillId="2" borderId="106" xfId="0" applyNumberFormat="1" applyFont="1" applyFill="1" applyBorder="1" applyAlignment="1" applyProtection="1">
      <alignment horizontal="left" vertical="center"/>
      <protection locked="0"/>
    </xf>
    <xf numFmtId="4" fontId="2" fillId="2" borderId="33" xfId="0" applyNumberFormat="1" applyFont="1" applyFill="1" applyBorder="1" applyAlignment="1" applyProtection="1">
      <alignment horizontal="left" vertical="center"/>
      <protection locked="0"/>
    </xf>
    <xf numFmtId="4" fontId="2" fillId="2" borderId="44" xfId="0" applyNumberFormat="1" applyFont="1" applyFill="1" applyBorder="1" applyAlignment="1" applyProtection="1">
      <alignment horizontal="left" vertical="center"/>
      <protection locked="0"/>
    </xf>
    <xf numFmtId="4" fontId="2" fillId="2" borderId="32" xfId="0" applyNumberFormat="1" applyFont="1" applyFill="1" applyBorder="1" applyAlignment="1" applyProtection="1">
      <alignment horizontal="left" vertical="center"/>
      <protection locked="0"/>
    </xf>
    <xf numFmtId="4" fontId="2" fillId="2" borderId="82" xfId="0" applyNumberFormat="1" applyFont="1" applyFill="1" applyBorder="1" applyAlignment="1" applyProtection="1">
      <alignment horizontal="left" vertical="center"/>
      <protection locked="0"/>
    </xf>
    <xf numFmtId="4" fontId="2" fillId="2" borderId="110" xfId="0" applyNumberFormat="1" applyFont="1" applyFill="1" applyBorder="1" applyAlignment="1" applyProtection="1">
      <alignment horizontal="left" vertical="center"/>
      <protection locked="0"/>
    </xf>
    <xf numFmtId="4" fontId="16" fillId="2" borderId="69" xfId="0" applyNumberFormat="1" applyFont="1" applyFill="1" applyBorder="1" applyAlignment="1" applyProtection="1">
      <alignment/>
      <protection locked="0"/>
    </xf>
    <xf numFmtId="4" fontId="14" fillId="2" borderId="37" xfId="0" applyNumberFormat="1" applyFont="1" applyFill="1" applyBorder="1" applyAlignment="1" applyProtection="1">
      <alignment/>
      <protection locked="0"/>
    </xf>
    <xf numFmtId="0" fontId="29" fillId="2" borderId="0" xfId="0" applyFont="1" applyFill="1" applyBorder="1" applyAlignment="1">
      <alignment horizontal="right"/>
    </xf>
    <xf numFmtId="0" fontId="3" fillId="19" borderId="0" xfId="0" applyFont="1" applyFill="1" applyBorder="1" applyAlignment="1" applyProtection="1">
      <alignment horizontal="left" vertical="center" wrapText="1"/>
      <protection/>
    </xf>
    <xf numFmtId="0" fontId="29" fillId="2" borderId="0" xfId="0" applyFont="1" applyFill="1" applyBorder="1" applyAlignment="1">
      <alignment horizontal="right" wrapText="1"/>
    </xf>
    <xf numFmtId="4" fontId="2" fillId="2" borderId="57" xfId="0" applyNumberFormat="1" applyFont="1" applyFill="1" applyBorder="1" applyAlignment="1" applyProtection="1">
      <alignment horizontal="right" vertical="center"/>
      <protection locked="0"/>
    </xf>
    <xf numFmtId="4" fontId="2" fillId="2" borderId="52" xfId="0" applyNumberFormat="1" applyFont="1" applyFill="1" applyBorder="1" applyAlignment="1" applyProtection="1">
      <alignment horizontal="right" vertical="center"/>
      <protection locked="0"/>
    </xf>
    <xf numFmtId="4" fontId="2" fillId="2" borderId="53" xfId="0" applyNumberFormat="1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vertical="center"/>
      <protection/>
    </xf>
    <xf numFmtId="0" fontId="10" fillId="2" borderId="20" xfId="0" applyFont="1" applyFill="1" applyBorder="1" applyAlignment="1" applyProtection="1">
      <alignment/>
      <protection/>
    </xf>
    <xf numFmtId="0" fontId="10" fillId="2" borderId="21" xfId="0" applyFont="1" applyFill="1" applyBorder="1" applyAlignment="1" applyProtection="1">
      <alignment/>
      <protection/>
    </xf>
    <xf numFmtId="0" fontId="10" fillId="2" borderId="22" xfId="0" applyFont="1" applyFill="1" applyBorder="1" applyAlignment="1" applyProtection="1">
      <alignment/>
      <protection/>
    </xf>
    <xf numFmtId="0" fontId="10" fillId="2" borderId="23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10" fillId="2" borderId="24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3" fillId="2" borderId="0" xfId="0" applyFon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 horizontal="center" vertical="center"/>
      <protection/>
    </xf>
    <xf numFmtId="0" fontId="2" fillId="2" borderId="23" xfId="0" applyFont="1" applyFill="1" applyBorder="1" applyAlignment="1" applyProtection="1">
      <alignment/>
      <protection/>
    </xf>
    <xf numFmtId="0" fontId="3" fillId="19" borderId="0" xfId="0" applyFont="1" applyFill="1" applyBorder="1" applyAlignment="1" applyProtection="1">
      <alignment vertical="center"/>
      <protection/>
    </xf>
    <xf numFmtId="0" fontId="2" fillId="2" borderId="24" xfId="0" applyFont="1" applyFill="1" applyBorder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7" fillId="2" borderId="23" xfId="0" applyFont="1" applyFill="1" applyBorder="1" applyAlignment="1" applyProtection="1">
      <alignment/>
      <protection/>
    </xf>
    <xf numFmtId="0" fontId="5" fillId="9" borderId="0" xfId="0" applyFont="1" applyFill="1" applyBorder="1" applyAlignment="1" applyProtection="1">
      <alignment vertical="center"/>
      <protection/>
    </xf>
    <xf numFmtId="0" fontId="7" fillId="2" borderId="24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/>
      <protection/>
    </xf>
    <xf numFmtId="0" fontId="19" fillId="2" borderId="12" xfId="0" applyNumberFormat="1" applyFont="1" applyFill="1" applyBorder="1" applyAlignment="1" applyProtection="1">
      <alignment horizontal="left"/>
      <protection/>
    </xf>
    <xf numFmtId="0" fontId="10" fillId="2" borderId="12" xfId="0" applyFont="1" applyFill="1" applyBorder="1" applyAlignment="1" applyProtection="1">
      <alignment/>
      <protection/>
    </xf>
    <xf numFmtId="0" fontId="10" fillId="2" borderId="12" xfId="0" applyFont="1" applyFill="1" applyBorder="1" applyAlignment="1" applyProtection="1">
      <alignment horizontal="left"/>
      <protection/>
    </xf>
    <xf numFmtId="0" fontId="33" fillId="2" borderId="0" xfId="0" applyFont="1" applyFill="1" applyBorder="1" applyAlignment="1" applyProtection="1">
      <alignment horizontal="center"/>
      <protection/>
    </xf>
    <xf numFmtId="0" fontId="10" fillId="2" borderId="23" xfId="0" applyFont="1" applyFill="1" applyBorder="1" applyAlignment="1" applyProtection="1">
      <alignment wrapText="1"/>
      <protection/>
    </xf>
    <xf numFmtId="0" fontId="10" fillId="2" borderId="12" xfId="0" applyFont="1" applyFill="1" applyBorder="1" applyAlignment="1" applyProtection="1">
      <alignment wrapText="1"/>
      <protection/>
    </xf>
    <xf numFmtId="0" fontId="10" fillId="2" borderId="12" xfId="0" applyFont="1" applyFill="1" applyBorder="1" applyAlignment="1" applyProtection="1">
      <alignment horizontal="center" wrapText="1"/>
      <protection/>
    </xf>
    <xf numFmtId="0" fontId="19" fillId="2" borderId="12" xfId="0" applyFont="1" applyFill="1" applyBorder="1" applyAlignment="1" applyProtection="1">
      <alignment horizont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19" fillId="2" borderId="12" xfId="0" applyFont="1" applyFill="1" applyBorder="1" applyAlignment="1" applyProtection="1">
      <alignment horizontal="center"/>
      <protection/>
    </xf>
    <xf numFmtId="0" fontId="10" fillId="2" borderId="24" xfId="0" applyFont="1" applyFill="1" applyBorder="1" applyAlignment="1" applyProtection="1">
      <alignment wrapText="1"/>
      <protection/>
    </xf>
    <xf numFmtId="0" fontId="10" fillId="2" borderId="0" xfId="0" applyFont="1" applyFill="1" applyAlignment="1" applyProtection="1">
      <alignment wrapText="1"/>
      <protection/>
    </xf>
    <xf numFmtId="0" fontId="10" fillId="20" borderId="12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center" wrapText="1"/>
      <protection/>
    </xf>
    <xf numFmtId="0" fontId="10" fillId="2" borderId="0" xfId="0" applyFont="1" applyFill="1" applyBorder="1" applyAlignment="1" applyProtection="1" quotePrefix="1">
      <alignment horizontal="left"/>
      <protection/>
    </xf>
    <xf numFmtId="0" fontId="10" fillId="2" borderId="25" xfId="0" applyFont="1" applyFill="1" applyBorder="1" applyAlignment="1" applyProtection="1">
      <alignment/>
      <protection/>
    </xf>
    <xf numFmtId="0" fontId="10" fillId="2" borderId="26" xfId="0" applyFont="1" applyFill="1" applyBorder="1" applyAlignment="1" applyProtection="1">
      <alignment/>
      <protection/>
    </xf>
    <xf numFmtId="0" fontId="10" fillId="2" borderId="27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3" fontId="10" fillId="2" borderId="30" xfId="0" applyNumberFormat="1" applyFont="1" applyFill="1" applyBorder="1" applyAlignment="1" applyProtection="1">
      <alignment horizontal="center"/>
      <protection locked="0"/>
    </xf>
    <xf numFmtId="0" fontId="10" fillId="2" borderId="3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vertical="center"/>
      <protection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0" xfId="0" applyNumberFormat="1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 quotePrefix="1">
      <alignment vertical="center"/>
      <protection/>
    </xf>
    <xf numFmtId="4" fontId="3" fillId="6" borderId="62" xfId="0" applyNumberFormat="1" applyFont="1" applyFill="1" applyBorder="1" applyAlignment="1" applyProtection="1">
      <alignment horizontal="center" vertical="center"/>
      <protection/>
    </xf>
    <xf numFmtId="1" fontId="3" fillId="6" borderId="38" xfId="0" applyNumberFormat="1" applyFont="1" applyFill="1" applyBorder="1" applyAlignment="1" applyProtection="1">
      <alignment horizontal="center" vertical="center"/>
      <protection/>
    </xf>
    <xf numFmtId="0" fontId="2" fillId="2" borderId="45" xfId="0" applyFont="1" applyFill="1" applyBorder="1" applyAlignment="1" applyProtection="1">
      <alignment vertical="center"/>
      <protection/>
    </xf>
    <xf numFmtId="0" fontId="2" fillId="2" borderId="33" xfId="0" applyFont="1" applyFill="1" applyBorder="1" applyAlignment="1" applyProtection="1">
      <alignment vertical="center"/>
      <protection/>
    </xf>
    <xf numFmtId="0" fontId="2" fillId="2" borderId="52" xfId="0" applyFont="1" applyFill="1" applyBorder="1" applyAlignment="1" applyProtection="1">
      <alignment vertical="center"/>
      <protection/>
    </xf>
    <xf numFmtId="0" fontId="3" fillId="2" borderId="35" xfId="0" applyFont="1" applyFill="1" applyBorder="1" applyAlignment="1" applyProtection="1">
      <alignment vertical="center"/>
      <protection/>
    </xf>
    <xf numFmtId="4" fontId="3" fillId="2" borderId="50" xfId="0" applyNumberFormat="1" applyFont="1" applyFill="1" applyBorder="1" applyAlignment="1" applyProtection="1">
      <alignment vertical="center"/>
      <protection/>
    </xf>
    <xf numFmtId="4" fontId="2" fillId="2" borderId="55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 quotePrefix="1">
      <alignment horizontal="left" vertical="center"/>
    </xf>
    <xf numFmtId="3" fontId="2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3" fillId="6" borderId="61" xfId="0" applyFont="1" applyFill="1" applyBorder="1" applyAlignment="1" quotePrefix="1">
      <alignment horizontal="left" vertical="center"/>
    </xf>
    <xf numFmtId="0" fontId="35" fillId="2" borderId="0" xfId="0" applyFont="1" applyFill="1" applyAlignment="1">
      <alignment/>
    </xf>
    <xf numFmtId="0" fontId="36" fillId="2" borderId="56" xfId="0" applyFont="1" applyFill="1" applyBorder="1" applyAlignment="1" applyProtection="1">
      <alignment horizontal="center" vertical="center"/>
      <protection locked="0"/>
    </xf>
    <xf numFmtId="4" fontId="2" fillId="2" borderId="39" xfId="0" applyNumberFormat="1" applyFont="1" applyFill="1" applyBorder="1" applyAlignment="1" applyProtection="1">
      <alignment horizontal="right" vertical="center"/>
      <protection locked="0"/>
    </xf>
    <xf numFmtId="0" fontId="3" fillId="2" borderId="44" xfId="0" applyFont="1" applyFill="1" applyBorder="1" applyAlignment="1" applyProtection="1">
      <alignment vertical="center"/>
      <protection/>
    </xf>
    <xf numFmtId="0" fontId="3" fillId="2" borderId="72" xfId="0" applyFont="1" applyFill="1" applyBorder="1" applyAlignment="1" applyProtection="1">
      <alignment vertical="center"/>
      <protection/>
    </xf>
    <xf numFmtId="4" fontId="3" fillId="2" borderId="39" xfId="0" applyNumberFormat="1" applyFont="1" applyFill="1" applyBorder="1" applyAlignment="1" applyProtection="1">
      <alignment horizontal="left" vertical="center"/>
      <protection locked="0"/>
    </xf>
    <xf numFmtId="0" fontId="3" fillId="2" borderId="39" xfId="0" applyFont="1" applyFill="1" applyBorder="1" applyAlignment="1" applyProtection="1">
      <alignment horizontal="left" vertical="center"/>
      <protection locked="0"/>
    </xf>
    <xf numFmtId="0" fontId="3" fillId="2" borderId="47" xfId="0" applyFont="1" applyFill="1" applyBorder="1" applyAlignment="1" applyProtection="1">
      <alignment vertical="center"/>
      <protection/>
    </xf>
    <xf numFmtId="0" fontId="3" fillId="2" borderId="53" xfId="0" applyFont="1" applyFill="1" applyBorder="1" applyAlignment="1" applyProtection="1">
      <alignment vertical="center"/>
      <protection/>
    </xf>
    <xf numFmtId="4" fontId="3" fillId="2" borderId="51" xfId="0" applyNumberFormat="1" applyFont="1" applyFill="1" applyBorder="1" applyAlignment="1" applyProtection="1">
      <alignment horizontal="left" vertical="center"/>
      <protection locked="0"/>
    </xf>
    <xf numFmtId="0" fontId="3" fillId="2" borderId="51" xfId="0" applyFont="1" applyFill="1" applyBorder="1" applyAlignment="1" applyProtection="1">
      <alignment horizontal="left" vertical="center"/>
      <protection locked="0"/>
    </xf>
    <xf numFmtId="4" fontId="3" fillId="2" borderId="39" xfId="0" applyNumberFormat="1" applyFont="1" applyFill="1" applyBorder="1" applyAlignment="1" applyProtection="1">
      <alignment vertical="center"/>
      <protection/>
    </xf>
    <xf numFmtId="4" fontId="3" fillId="2" borderId="39" xfId="0" applyNumberFormat="1" applyFont="1" applyFill="1" applyBorder="1" applyAlignment="1" applyProtection="1">
      <alignment horizontal="left" vertical="center"/>
      <protection/>
    </xf>
    <xf numFmtId="0" fontId="3" fillId="2" borderId="39" xfId="0" applyFont="1" applyFill="1" applyBorder="1" applyAlignment="1" applyProtection="1">
      <alignment horizontal="left" vertical="center"/>
      <protection/>
    </xf>
    <xf numFmtId="0" fontId="3" fillId="2" borderId="45" xfId="0" applyFont="1" applyFill="1" applyBorder="1" applyAlignment="1" applyProtection="1">
      <alignment vertical="center"/>
      <protection/>
    </xf>
    <xf numFmtId="0" fontId="3" fillId="2" borderId="52" xfId="0" applyFont="1" applyFill="1" applyBorder="1" applyAlignment="1" applyProtection="1">
      <alignment vertical="center"/>
      <protection/>
    </xf>
    <xf numFmtId="4" fontId="3" fillId="2" borderId="40" xfId="0" applyNumberFormat="1" applyFont="1" applyFill="1" applyBorder="1" applyAlignment="1" applyProtection="1">
      <alignment vertical="center"/>
      <protection/>
    </xf>
    <xf numFmtId="4" fontId="3" fillId="2" borderId="40" xfId="0" applyNumberFormat="1" applyFont="1" applyFill="1" applyBorder="1" applyAlignment="1" applyProtection="1">
      <alignment horizontal="left" vertical="center"/>
      <protection/>
    </xf>
    <xf numFmtId="0" fontId="3" fillId="2" borderId="40" xfId="0" applyFont="1" applyFill="1" applyBorder="1" applyAlignment="1" applyProtection="1">
      <alignment horizontal="left" vertical="center"/>
      <protection/>
    </xf>
    <xf numFmtId="0" fontId="13" fillId="0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24" xfId="0" applyFont="1" applyFill="1" applyBorder="1" applyAlignment="1" applyProtection="1">
      <alignment horizontal="left" vertical="center"/>
      <protection locked="0"/>
    </xf>
    <xf numFmtId="0" fontId="3" fillId="2" borderId="60" xfId="0" applyFont="1" applyFill="1" applyBorder="1" applyAlignment="1" applyProtection="1">
      <alignment vertical="center"/>
      <protection/>
    </xf>
    <xf numFmtId="0" fontId="3" fillId="2" borderId="61" xfId="0" applyFont="1" applyFill="1" applyBorder="1" applyAlignment="1" applyProtection="1">
      <alignment vertical="center"/>
      <protection/>
    </xf>
    <xf numFmtId="4" fontId="3" fillId="2" borderId="62" xfId="0" applyNumberFormat="1" applyFont="1" applyFill="1" applyBorder="1" applyAlignment="1" applyProtection="1">
      <alignment vertical="center"/>
      <protection locked="0"/>
    </xf>
    <xf numFmtId="4" fontId="3" fillId="2" borderId="62" xfId="0" applyNumberFormat="1" applyFont="1" applyFill="1" applyBorder="1" applyAlignment="1" applyProtection="1">
      <alignment horizontal="left" vertical="center"/>
      <protection locked="0"/>
    </xf>
    <xf numFmtId="0" fontId="3" fillId="2" borderId="62" xfId="0" applyFont="1" applyFill="1" applyBorder="1" applyAlignment="1" applyProtection="1">
      <alignment horizontal="left" vertical="center"/>
      <protection locked="0"/>
    </xf>
    <xf numFmtId="4" fontId="2" fillId="2" borderId="39" xfId="0" applyNumberFormat="1" applyFont="1" applyFill="1" applyBorder="1" applyAlignment="1" applyProtection="1">
      <alignment horizontal="right" vertical="center"/>
      <protection locked="0"/>
    </xf>
    <xf numFmtId="1" fontId="2" fillId="2" borderId="56" xfId="0" applyNumberFormat="1" applyFont="1" applyFill="1" applyBorder="1" applyAlignment="1" applyProtection="1">
      <alignment horizontal="center" vertical="center"/>
      <protection locked="0"/>
    </xf>
    <xf numFmtId="1" fontId="2" fillId="2" borderId="4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13" fillId="2" borderId="0" xfId="0" applyFont="1" applyFill="1" applyBorder="1" applyAlignment="1" quotePrefix="1">
      <alignment horizontal="left"/>
    </xf>
    <xf numFmtId="4" fontId="2" fillId="2" borderId="50" xfId="0" applyNumberFormat="1" applyFont="1" applyFill="1" applyBorder="1" applyAlignment="1" applyProtection="1">
      <alignment horizontal="left" vertical="center"/>
      <protection locked="0"/>
    </xf>
    <xf numFmtId="4" fontId="2" fillId="2" borderId="57" xfId="235" applyNumberFormat="1" applyFont="1" applyFill="1" applyBorder="1" applyAlignment="1" applyProtection="1">
      <alignment vertical="center"/>
      <protection locked="0"/>
    </xf>
    <xf numFmtId="4" fontId="2" fillId="2" borderId="52" xfId="235" applyNumberFormat="1" applyFont="1" applyFill="1" applyBorder="1" applyAlignment="1" applyProtection="1">
      <alignment vertical="center"/>
      <protection locked="0"/>
    </xf>
    <xf numFmtId="4" fontId="2" fillId="2" borderId="83" xfId="235" applyNumberFormat="1" applyFont="1" applyFill="1" applyBorder="1" applyAlignment="1" applyProtection="1">
      <alignment vertical="center"/>
      <protection locked="0"/>
    </xf>
    <xf numFmtId="4" fontId="2" fillId="2" borderId="53" xfId="235" applyNumberFormat="1" applyFont="1" applyFill="1" applyBorder="1" applyAlignment="1" applyProtection="1">
      <alignment vertical="center"/>
      <protection locked="0"/>
    </xf>
    <xf numFmtId="0" fontId="2" fillId="2" borderId="57" xfId="0" applyNumberFormat="1" applyFont="1" applyFill="1" applyBorder="1" applyAlignment="1" applyProtection="1">
      <alignment horizontal="left" vertical="center"/>
      <protection locked="0"/>
    </xf>
    <xf numFmtId="0" fontId="2" fillId="2" borderId="52" xfId="0" applyNumberFormat="1" applyFont="1" applyFill="1" applyBorder="1" applyAlignment="1" applyProtection="1">
      <alignment horizontal="left" vertical="center"/>
      <protection locked="0"/>
    </xf>
    <xf numFmtId="0" fontId="2" fillId="2" borderId="83" xfId="0" applyNumberFormat="1" applyFont="1" applyFill="1" applyBorder="1" applyAlignment="1" applyProtection="1">
      <alignment horizontal="left" vertical="center"/>
      <protection locked="0"/>
    </xf>
    <xf numFmtId="0" fontId="2" fillId="2" borderId="53" xfId="0" applyNumberFormat="1" applyFont="1" applyFill="1" applyBorder="1" applyAlignment="1" applyProtection="1">
      <alignment horizontal="left" vertical="center"/>
      <protection locked="0"/>
    </xf>
    <xf numFmtId="0" fontId="2" fillId="2" borderId="56" xfId="0" applyNumberFormat="1" applyFont="1" applyFill="1" applyBorder="1" applyAlignment="1" applyProtection="1">
      <alignment horizontal="center" vertical="center"/>
      <protection locked="0"/>
    </xf>
    <xf numFmtId="0" fontId="2" fillId="2" borderId="40" xfId="0" applyNumberFormat="1" applyFont="1" applyFill="1" applyBorder="1" applyAlignment="1" applyProtection="1">
      <alignment horizontal="center" vertical="center"/>
      <protection locked="0"/>
    </xf>
    <xf numFmtId="0" fontId="2" fillId="2" borderId="101" xfId="0" applyNumberFormat="1" applyFont="1" applyFill="1" applyBorder="1" applyAlignment="1" applyProtection="1">
      <alignment horizontal="center" vertical="center"/>
      <protection locked="0"/>
    </xf>
    <xf numFmtId="0" fontId="2" fillId="2" borderId="51" xfId="0" applyNumberFormat="1" applyFont="1" applyFill="1" applyBorder="1" applyAlignment="1" applyProtection="1">
      <alignment horizontal="center" vertical="center"/>
      <protection locked="0"/>
    </xf>
    <xf numFmtId="4" fontId="3" fillId="2" borderId="72" xfId="0" applyNumberFormat="1" applyFont="1" applyFill="1" applyBorder="1" applyAlignment="1" applyProtection="1">
      <alignment horizontal="center" vertical="center"/>
      <protection locked="0"/>
    </xf>
    <xf numFmtId="4" fontId="2" fillId="2" borderId="72" xfId="0" applyNumberFormat="1" applyFont="1" applyFill="1" applyBorder="1" applyAlignment="1" applyProtection="1">
      <alignment horizontal="center" vertical="center"/>
      <protection locked="0"/>
    </xf>
    <xf numFmtId="4" fontId="3" fillId="2" borderId="57" xfId="0" applyNumberFormat="1" applyFont="1" applyFill="1" applyBorder="1" applyAlignment="1" applyProtection="1">
      <alignment horizontal="center" vertical="center"/>
      <protection locked="0"/>
    </xf>
    <xf numFmtId="4" fontId="2" fillId="2" borderId="57" xfId="0" applyNumberFormat="1" applyFont="1" applyFill="1" applyBorder="1" applyAlignment="1" applyProtection="1">
      <alignment horizontal="center" vertical="center"/>
      <protection locked="0"/>
    </xf>
    <xf numFmtId="4" fontId="3" fillId="2" borderId="52" xfId="0" applyNumberFormat="1" applyFont="1" applyFill="1" applyBorder="1" applyAlignment="1" applyProtection="1">
      <alignment horizontal="center" vertical="center"/>
      <protection locked="0"/>
    </xf>
    <xf numFmtId="4" fontId="2" fillId="2" borderId="52" xfId="0" applyNumberFormat="1" applyFont="1" applyFill="1" applyBorder="1" applyAlignment="1" applyProtection="1">
      <alignment horizontal="center" vertical="center"/>
      <protection locked="0"/>
    </xf>
    <xf numFmtId="4" fontId="3" fillId="2" borderId="83" xfId="0" applyNumberFormat="1" applyFont="1" applyFill="1" applyBorder="1" applyAlignment="1" applyProtection="1">
      <alignment horizontal="center" vertical="center"/>
      <protection locked="0"/>
    </xf>
    <xf numFmtId="4" fontId="2" fillId="2" borderId="83" xfId="0" applyNumberFormat="1" applyFont="1" applyFill="1" applyBorder="1" applyAlignment="1" applyProtection="1">
      <alignment horizontal="center" vertical="center"/>
      <protection locked="0"/>
    </xf>
    <xf numFmtId="4" fontId="3" fillId="2" borderId="53" xfId="0" applyNumberFormat="1" applyFont="1" applyFill="1" applyBorder="1" applyAlignment="1" applyProtection="1">
      <alignment horizontal="center" vertical="center"/>
      <protection locked="0"/>
    </xf>
    <xf numFmtId="4" fontId="2" fillId="2" borderId="53" xfId="0" applyNumberFormat="1" applyFont="1" applyFill="1" applyBorder="1" applyAlignment="1" applyProtection="1">
      <alignment horizontal="center" vertical="center"/>
      <protection locked="0"/>
    </xf>
    <xf numFmtId="0" fontId="2" fillId="2" borderId="55" xfId="0" applyFont="1" applyFill="1" applyBorder="1" applyAlignment="1">
      <alignment horizontal="left" vertical="center"/>
    </xf>
    <xf numFmtId="4" fontId="2" fillId="2" borderId="90" xfId="0" applyNumberFormat="1" applyFont="1" applyFill="1" applyBorder="1" applyAlignment="1" applyProtection="1">
      <alignment horizontal="right" vertical="center"/>
      <protection locked="0"/>
    </xf>
    <xf numFmtId="4" fontId="2" fillId="2" borderId="97" xfId="0" applyNumberFormat="1" applyFont="1" applyFill="1" applyBorder="1" applyAlignment="1" applyProtection="1">
      <alignment horizontal="right" vertical="center"/>
      <protection locked="0"/>
    </xf>
    <xf numFmtId="4" fontId="2" fillId="2" borderId="39" xfId="0" applyNumberFormat="1" applyFont="1" applyFill="1" applyBorder="1" applyAlignment="1" applyProtection="1">
      <alignment horizontal="right" vertical="center"/>
      <protection locked="0"/>
    </xf>
    <xf numFmtId="4" fontId="2" fillId="2" borderId="91" xfId="0" applyNumberFormat="1" applyFont="1" applyFill="1" applyBorder="1" applyAlignment="1" applyProtection="1">
      <alignment horizontal="right" vertical="center"/>
      <protection locked="0"/>
    </xf>
    <xf numFmtId="4" fontId="2" fillId="2" borderId="40" xfId="0" applyNumberFormat="1" applyFont="1" applyFill="1" applyBorder="1" applyAlignment="1" applyProtection="1">
      <alignment horizontal="right" vertical="center"/>
      <protection locked="0"/>
    </xf>
    <xf numFmtId="4" fontId="2" fillId="2" borderId="94" xfId="0" applyNumberFormat="1" applyFont="1" applyFill="1" applyBorder="1" applyAlignment="1" applyProtection="1">
      <alignment horizontal="right" vertical="center"/>
      <protection locked="0"/>
    </xf>
    <xf numFmtId="4" fontId="2" fillId="2" borderId="51" xfId="0" applyNumberFormat="1" applyFont="1" applyFill="1" applyBorder="1" applyAlignment="1" applyProtection="1">
      <alignment horizontal="right" vertical="center"/>
      <protection locked="0"/>
    </xf>
    <xf numFmtId="0" fontId="3" fillId="6" borderId="37" xfId="0" applyFont="1" applyFill="1" applyBorder="1" applyAlignment="1">
      <alignment horizontal="center"/>
    </xf>
    <xf numFmtId="0" fontId="2" fillId="2" borderId="23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4" fontId="2" fillId="2" borderId="39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5" fillId="2" borderId="0" xfId="0" applyFont="1" applyFill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vertical="center"/>
    </xf>
    <xf numFmtId="0" fontId="2" fillId="6" borderId="40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6" borderId="40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6" borderId="51" xfId="0" applyFont="1" applyFill="1" applyBorder="1" applyAlignment="1">
      <alignment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vertical="center"/>
    </xf>
    <xf numFmtId="0" fontId="2" fillId="6" borderId="59" xfId="0" applyFont="1" applyFill="1" applyBorder="1" applyAlignment="1">
      <alignment vertical="center"/>
    </xf>
    <xf numFmtId="0" fontId="2" fillId="2" borderId="59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vertical="center"/>
    </xf>
    <xf numFmtId="0" fontId="39" fillId="3" borderId="0" xfId="0" applyFont="1" applyFill="1" applyBorder="1" applyAlignment="1">
      <alignment vertical="center"/>
    </xf>
    <xf numFmtId="0" fontId="2" fillId="2" borderId="20" xfId="0" applyFont="1" applyFill="1" applyBorder="1" applyAlignment="1">
      <alignment/>
    </xf>
    <xf numFmtId="0" fontId="25" fillId="2" borderId="34" xfId="0" applyFont="1" applyFill="1" applyBorder="1" applyAlignment="1" applyProtection="1">
      <alignment horizontal="left" vertical="center"/>
      <protection locked="0"/>
    </xf>
    <xf numFmtId="4" fontId="25" fillId="2" borderId="34" xfId="0" applyNumberFormat="1" applyFont="1" applyFill="1" applyBorder="1" applyAlignment="1" applyProtection="1">
      <alignment horizontal="left" vertical="center"/>
      <protection locked="0"/>
    </xf>
    <xf numFmtId="4" fontId="5" fillId="2" borderId="34" xfId="0" applyNumberFormat="1" applyFont="1" applyFill="1" applyBorder="1" applyAlignment="1" applyProtection="1">
      <alignment horizontal="left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4" fontId="25" fillId="2" borderId="33" xfId="0" applyNumberFormat="1" applyFont="1" applyFill="1" applyBorder="1" applyAlignment="1" applyProtection="1">
      <alignment horizontal="left" vertical="center"/>
      <protection locked="0"/>
    </xf>
    <xf numFmtId="4" fontId="5" fillId="2" borderId="33" xfId="0" applyNumberFormat="1" applyFont="1" applyFill="1" applyBorder="1" applyAlignment="1" applyProtection="1">
      <alignment horizontal="left" vertical="center"/>
      <protection locked="0"/>
    </xf>
    <xf numFmtId="4" fontId="2" fillId="2" borderId="72" xfId="0" applyNumberFormat="1" applyFont="1" applyFill="1" applyBorder="1" applyAlignment="1" applyProtection="1">
      <alignment vertical="center"/>
      <protection locked="0"/>
    </xf>
    <xf numFmtId="4" fontId="2" fillId="2" borderId="57" xfId="0" applyNumberFormat="1" applyFont="1" applyFill="1" applyBorder="1" applyAlignment="1" applyProtection="1">
      <alignment vertical="center"/>
      <protection locked="0"/>
    </xf>
    <xf numFmtId="4" fontId="2" fillId="2" borderId="52" xfId="0" applyNumberFormat="1" applyFont="1" applyFill="1" applyBorder="1" applyAlignment="1" applyProtection="1">
      <alignment vertical="center"/>
      <protection locked="0"/>
    </xf>
    <xf numFmtId="4" fontId="2" fillId="2" borderId="83" xfId="0" applyNumberFormat="1" applyFont="1" applyFill="1" applyBorder="1" applyAlignment="1" applyProtection="1">
      <alignment vertical="center"/>
      <protection locked="0"/>
    </xf>
    <xf numFmtId="4" fontId="2" fillId="2" borderId="53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21" fillId="6" borderId="62" xfId="195" applyFont="1" applyFill="1" applyBorder="1" applyAlignment="1">
      <alignment horizontal="center" vertical="center" wrapText="1"/>
      <protection/>
    </xf>
    <xf numFmtId="0" fontId="21" fillId="6" borderId="59" xfId="195" applyFont="1" applyFill="1" applyBorder="1" applyAlignment="1">
      <alignment horizontal="center" vertical="center" wrapText="1"/>
      <protection/>
    </xf>
    <xf numFmtId="0" fontId="7" fillId="2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1" fillId="6" borderId="38" xfId="195" applyFont="1" applyFill="1" applyBorder="1" applyAlignment="1">
      <alignment horizontal="center" vertical="center" wrapText="1"/>
      <protection/>
    </xf>
    <xf numFmtId="0" fontId="2" fillId="2" borderId="24" xfId="0" applyFont="1" applyFill="1" applyBorder="1" applyAlignment="1">
      <alignment horizontal="center" vertical="center"/>
    </xf>
    <xf numFmtId="0" fontId="25" fillId="2" borderId="0" xfId="0" applyFont="1" applyFill="1" applyBorder="1" applyAlignment="1" applyProtection="1">
      <alignment horizontal="left" vertical="center"/>
      <protection locked="0"/>
    </xf>
    <xf numFmtId="4" fontId="25" fillId="2" borderId="0" xfId="0" applyNumberFormat="1" applyFont="1" applyFill="1" applyBorder="1" applyAlignment="1" applyProtection="1">
      <alignment horizontal="left" vertical="center"/>
      <protection locked="0"/>
    </xf>
    <xf numFmtId="4" fontId="5" fillId="2" borderId="0" xfId="0" applyNumberFormat="1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 quotePrefix="1">
      <alignment horizontal="left" vertical="center"/>
      <protection locked="0"/>
    </xf>
    <xf numFmtId="3" fontId="22" fillId="2" borderId="0" xfId="0" applyNumberFormat="1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>
      <alignment horizontal="left"/>
    </xf>
    <xf numFmtId="0" fontId="25" fillId="0" borderId="0" xfId="0" applyFont="1" applyFill="1" applyBorder="1" applyAlignment="1" applyProtection="1" quotePrefix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4" fontId="25" fillId="0" borderId="0" xfId="0" applyNumberFormat="1" applyFont="1" applyFill="1" applyBorder="1" applyAlignment="1" applyProtection="1">
      <alignment horizontal="left" vertical="center"/>
      <protection locked="0"/>
    </xf>
    <xf numFmtId="4" fontId="5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24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2" fillId="2" borderId="0" xfId="0" applyFont="1" applyFill="1" applyBorder="1" applyAlignment="1" applyProtection="1">
      <alignment/>
      <protection locked="0"/>
    </xf>
    <xf numFmtId="0" fontId="13" fillId="2" borderId="0" xfId="0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2" fillId="2" borderId="0" xfId="0" applyFont="1" applyFill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6" borderId="40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0" fontId="21" fillId="6" borderId="67" xfId="195" applyFont="1" applyFill="1" applyBorder="1" applyAlignment="1">
      <alignment horizontal="center" vertical="center" wrapText="1"/>
      <protection/>
    </xf>
    <xf numFmtId="4" fontId="2" fillId="2" borderId="47" xfId="0" applyNumberFormat="1" applyFont="1" applyFill="1" applyBorder="1" applyAlignment="1" applyProtection="1">
      <alignment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58" xfId="0" applyNumberFormat="1" applyFont="1" applyFill="1" applyBorder="1" applyAlignment="1" applyProtection="1">
      <alignment vertical="center"/>
      <protection locked="0"/>
    </xf>
    <xf numFmtId="0" fontId="21" fillId="6" borderId="43" xfId="195" applyFont="1" applyFill="1" applyBorder="1" applyAlignment="1">
      <alignment horizontal="center" vertical="center" wrapText="1"/>
      <protection/>
    </xf>
    <xf numFmtId="0" fontId="21" fillId="6" borderId="111" xfId="195" applyFont="1" applyFill="1" applyBorder="1" applyAlignment="1">
      <alignment horizontal="center" vertical="center" wrapText="1"/>
      <protection/>
    </xf>
    <xf numFmtId="4" fontId="2" fillId="2" borderId="112" xfId="0" applyNumberFormat="1" applyFont="1" applyFill="1" applyBorder="1" applyAlignment="1" applyProtection="1">
      <alignment vertical="center"/>
      <protection locked="0"/>
    </xf>
    <xf numFmtId="4" fontId="2" fillId="2" borderId="113" xfId="0" applyNumberFormat="1" applyFont="1" applyFill="1" applyBorder="1" applyAlignment="1" applyProtection="1">
      <alignment vertical="center"/>
      <protection locked="0"/>
    </xf>
    <xf numFmtId="4" fontId="2" fillId="2" borderId="114" xfId="0" applyNumberFormat="1" applyFont="1" applyFill="1" applyBorder="1" applyAlignment="1" applyProtection="1">
      <alignment vertical="center"/>
      <protection locked="0"/>
    </xf>
    <xf numFmtId="4" fontId="2" fillId="2" borderId="115" xfId="0" applyNumberFormat="1" applyFont="1" applyFill="1" applyBorder="1" applyAlignment="1" applyProtection="1">
      <alignment vertical="center"/>
      <protection locked="0"/>
    </xf>
    <xf numFmtId="4" fontId="2" fillId="2" borderId="116" xfId="0" applyNumberFormat="1" applyFont="1" applyFill="1" applyBorder="1" applyAlignment="1" applyProtection="1">
      <alignment vertical="center"/>
      <protection locked="0"/>
    </xf>
    <xf numFmtId="0" fontId="21" fillId="6" borderId="63" xfId="195" applyFont="1" applyFill="1" applyBorder="1" applyAlignment="1">
      <alignment horizontal="center" vertical="center" wrapText="1"/>
      <protection/>
    </xf>
    <xf numFmtId="0" fontId="21" fillId="6" borderId="117" xfId="195" applyFont="1" applyFill="1" applyBorder="1" applyAlignment="1">
      <alignment horizontal="center" vertical="center" wrapText="1"/>
      <protection/>
    </xf>
    <xf numFmtId="4" fontId="3" fillId="2" borderId="117" xfId="0" applyNumberFormat="1" applyFont="1" applyFill="1" applyBorder="1" applyAlignment="1" applyProtection="1">
      <alignment vertical="center"/>
      <protection locked="0"/>
    </xf>
    <xf numFmtId="4" fontId="2" fillId="2" borderId="118" xfId="0" applyNumberFormat="1" applyFont="1" applyFill="1" applyBorder="1" applyAlignment="1" applyProtection="1">
      <alignment vertical="center"/>
      <protection locked="0"/>
    </xf>
    <xf numFmtId="4" fontId="2" fillId="2" borderId="119" xfId="0" applyNumberFormat="1" applyFont="1" applyFill="1" applyBorder="1" applyAlignment="1" applyProtection="1">
      <alignment vertical="center"/>
      <protection locked="0"/>
    </xf>
    <xf numFmtId="4" fontId="2" fillId="2" borderId="120" xfId="0" applyNumberFormat="1" applyFont="1" applyFill="1" applyBorder="1" applyAlignment="1" applyProtection="1">
      <alignment vertical="center"/>
      <protection locked="0"/>
    </xf>
    <xf numFmtId="4" fontId="2" fillId="2" borderId="121" xfId="0" applyNumberFormat="1" applyFont="1" applyFill="1" applyBorder="1" applyAlignment="1" applyProtection="1">
      <alignment vertical="center"/>
      <protection locked="0"/>
    </xf>
    <xf numFmtId="4" fontId="2" fillId="2" borderId="122" xfId="0" applyNumberFormat="1" applyFont="1" applyFill="1" applyBorder="1" applyAlignment="1" applyProtection="1">
      <alignment vertical="center"/>
      <protection locked="0"/>
    </xf>
    <xf numFmtId="4" fontId="2" fillId="2" borderId="117" xfId="0" applyNumberFormat="1" applyFont="1" applyFill="1" applyBorder="1" applyAlignment="1" applyProtection="1">
      <alignment vertical="center"/>
      <protection locked="0"/>
    </xf>
    <xf numFmtId="4" fontId="2" fillId="2" borderId="123" xfId="0" applyNumberFormat="1" applyFont="1" applyFill="1" applyBorder="1" applyAlignment="1" applyProtection="1">
      <alignment vertical="center"/>
      <protection locked="0"/>
    </xf>
    <xf numFmtId="4" fontId="2" fillId="2" borderId="124" xfId="0" applyNumberFormat="1" applyFont="1" applyFill="1" applyBorder="1" applyAlignment="1" applyProtection="1">
      <alignment vertical="center"/>
      <protection locked="0"/>
    </xf>
    <xf numFmtId="4" fontId="2" fillId="2" borderId="125" xfId="0" applyNumberFormat="1" applyFont="1" applyFill="1" applyBorder="1" applyAlignment="1" applyProtection="1">
      <alignment vertical="center"/>
      <protection locked="0"/>
    </xf>
    <xf numFmtId="4" fontId="2" fillId="2" borderId="126" xfId="0" applyNumberFormat="1" applyFont="1" applyFill="1" applyBorder="1" applyAlignment="1" applyProtection="1">
      <alignment vertical="center"/>
      <protection locked="0"/>
    </xf>
    <xf numFmtId="4" fontId="2" fillId="2" borderId="127" xfId="0" applyNumberFormat="1" applyFont="1" applyFill="1" applyBorder="1" applyAlignment="1" applyProtection="1">
      <alignment vertical="center"/>
      <protection locked="0"/>
    </xf>
    <xf numFmtId="4" fontId="42" fillId="6" borderId="128" xfId="0" applyNumberFormat="1" applyFont="1" applyFill="1" applyBorder="1" applyAlignment="1" applyProtection="1">
      <alignment vertical="center"/>
      <protection/>
    </xf>
    <xf numFmtId="4" fontId="42" fillId="6" borderId="129" xfId="0" applyNumberFormat="1" applyFont="1" applyFill="1" applyBorder="1" applyAlignment="1" applyProtection="1">
      <alignment vertical="center"/>
      <protection/>
    </xf>
    <xf numFmtId="4" fontId="42" fillId="6" borderId="50" xfId="0" applyNumberFormat="1" applyFont="1" applyFill="1" applyBorder="1" applyAlignment="1" applyProtection="1">
      <alignment vertical="center"/>
      <protection/>
    </xf>
    <xf numFmtId="0" fontId="21" fillId="6" borderId="60" xfId="195" applyFont="1" applyFill="1" applyBorder="1" applyAlignment="1">
      <alignment horizontal="center" vertical="center" wrapText="1"/>
      <protection/>
    </xf>
    <xf numFmtId="0" fontId="21" fillId="6" borderId="42" xfId="195" applyFont="1" applyFill="1" applyBorder="1" applyAlignment="1">
      <alignment horizontal="center" vertical="center" wrapText="1"/>
      <protection/>
    </xf>
    <xf numFmtId="0" fontId="21" fillId="6" borderId="130" xfId="195" applyFont="1" applyFill="1" applyBorder="1" applyAlignment="1">
      <alignment horizontal="center" vertical="center" wrapText="1"/>
      <protection/>
    </xf>
    <xf numFmtId="0" fontId="21" fillId="6" borderId="69" xfId="195" applyFont="1" applyFill="1" applyBorder="1" applyAlignment="1">
      <alignment horizontal="center" vertical="center" wrapText="1"/>
      <protection/>
    </xf>
    <xf numFmtId="4" fontId="9" fillId="2" borderId="57" xfId="0" applyNumberFormat="1" applyFont="1" applyFill="1" applyBorder="1" applyAlignment="1" applyProtection="1">
      <alignment horizontal="right" vertical="center"/>
      <protection locked="0"/>
    </xf>
    <xf numFmtId="4" fontId="8" fillId="2" borderId="57" xfId="0" applyNumberFormat="1" applyFont="1" applyFill="1" applyBorder="1" applyAlignment="1" applyProtection="1">
      <alignment horizontal="right" vertical="center"/>
      <protection locked="0"/>
    </xf>
    <xf numFmtId="4" fontId="3" fillId="2" borderId="57" xfId="0" applyNumberFormat="1" applyFont="1" applyFill="1" applyBorder="1" applyAlignment="1" applyProtection="1">
      <alignment horizontal="right" vertical="center"/>
      <protection locked="0"/>
    </xf>
    <xf numFmtId="4" fontId="3" fillId="0" borderId="39" xfId="0" applyNumberFormat="1" applyFont="1" applyFill="1" applyBorder="1" applyAlignment="1" applyProtection="1">
      <alignment vertical="center"/>
      <protection locked="0"/>
    </xf>
    <xf numFmtId="4" fontId="8" fillId="3" borderId="57" xfId="0" applyNumberFormat="1" applyFont="1" applyFill="1" applyBorder="1" applyAlignment="1" applyProtection="1">
      <alignment horizontal="right" vertical="center"/>
      <protection locked="0"/>
    </xf>
    <xf numFmtId="14" fontId="2" fillId="2" borderId="56" xfId="0" applyNumberFormat="1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left" vertical="center"/>
      <protection locked="0"/>
    </xf>
    <xf numFmtId="0" fontId="2" fillId="2" borderId="59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>
      <alignment/>
    </xf>
    <xf numFmtId="0" fontId="39" fillId="2" borderId="0" xfId="0" applyFont="1" applyFill="1" applyBorder="1" applyAlignment="1">
      <alignment vertical="center"/>
    </xf>
    <xf numFmtId="0" fontId="2" fillId="2" borderId="0" xfId="0" applyFont="1" applyFill="1" applyAlignment="1" applyProtection="1">
      <alignment/>
      <protection/>
    </xf>
    <xf numFmtId="0" fontId="36" fillId="2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2" borderId="0" xfId="0" applyFont="1" applyFill="1" applyAlignment="1" applyProtection="1">
      <alignment vertical="center"/>
      <protection/>
    </xf>
    <xf numFmtId="0" fontId="36" fillId="2" borderId="0" xfId="0" applyFont="1" applyFill="1" applyAlignment="1" applyProtection="1">
      <alignment vertical="center"/>
      <protection/>
    </xf>
    <xf numFmtId="0" fontId="35" fillId="2" borderId="0" xfId="0" applyFont="1" applyFill="1" applyAlignment="1" applyProtection="1">
      <alignment vertical="center"/>
      <protection/>
    </xf>
    <xf numFmtId="0" fontId="35" fillId="2" borderId="0" xfId="0" applyFont="1" applyFill="1" applyAlignment="1" applyProtection="1">
      <alignment/>
      <protection/>
    </xf>
    <xf numFmtId="0" fontId="21" fillId="2" borderId="0" xfId="195" applyFont="1" applyFill="1" applyBorder="1" applyAlignment="1" applyProtection="1">
      <alignment horizontal="center" wrapText="1"/>
      <protection/>
    </xf>
    <xf numFmtId="4" fontId="2" fillId="2" borderId="0" xfId="0" applyNumberFormat="1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3" fillId="2" borderId="49" xfId="0" applyFont="1" applyFill="1" applyBorder="1" applyAlignment="1" applyProtection="1">
      <alignment horizontal="left" vertical="center"/>
      <protection/>
    </xf>
    <xf numFmtId="0" fontId="3" fillId="2" borderId="35" xfId="0" applyFont="1" applyFill="1" applyBorder="1" applyAlignment="1" applyProtection="1">
      <alignment horizontal="left" vertical="center"/>
      <protection/>
    </xf>
    <xf numFmtId="4" fontId="3" fillId="2" borderId="49" xfId="0" applyNumberFormat="1" applyFont="1" applyFill="1" applyBorder="1" applyAlignment="1" applyProtection="1">
      <alignment vertical="center"/>
      <protection/>
    </xf>
    <xf numFmtId="4" fontId="3" fillId="0" borderId="129" xfId="0" applyNumberFormat="1" applyFont="1" applyFill="1" applyBorder="1" applyAlignment="1" applyProtection="1">
      <alignment vertical="center"/>
      <protection/>
    </xf>
    <xf numFmtId="4" fontId="3" fillId="2" borderId="131" xfId="0" applyNumberFormat="1" applyFont="1" applyFill="1" applyBorder="1" applyAlignment="1" applyProtection="1">
      <alignment vertical="center"/>
      <protection/>
    </xf>
    <xf numFmtId="4" fontId="3" fillId="2" borderId="50" xfId="0" applyNumberFormat="1" applyFont="1" applyFill="1" applyBorder="1" applyAlignment="1" applyProtection="1">
      <alignment horizontal="center" vertical="center"/>
      <protection/>
    </xf>
    <xf numFmtId="4" fontId="3" fillId="2" borderId="36" xfId="0" applyNumberFormat="1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/>
      <protection/>
    </xf>
    <xf numFmtId="4" fontId="7" fillId="2" borderId="0" xfId="0" applyNumberFormat="1" applyFont="1" applyFill="1" applyBorder="1" applyAlignment="1" applyProtection="1">
      <alignment horizontal="left" vertical="center"/>
      <protection/>
    </xf>
    <xf numFmtId="4" fontId="3" fillId="2" borderId="0" xfId="0" applyNumberFormat="1" applyFont="1" applyFill="1" applyBorder="1" applyAlignment="1" applyProtection="1">
      <alignment vertical="center"/>
      <protection/>
    </xf>
    <xf numFmtId="0" fontId="2" fillId="2" borderId="44" xfId="0" applyFont="1" applyFill="1" applyBorder="1" applyAlignment="1" applyProtection="1">
      <alignment vertical="center"/>
      <protection locked="0"/>
    </xf>
    <xf numFmtId="0" fontId="2" fillId="0" borderId="40" xfId="0" applyFont="1" applyFill="1" applyBorder="1" applyAlignment="1">
      <alignment horizontal="center" vertical="center"/>
    </xf>
    <xf numFmtId="0" fontId="10" fillId="0" borderId="20" xfId="0" applyFont="1" applyFill="1" applyBorder="1" applyAlignment="1" applyProtection="1">
      <alignment horizontal="left"/>
      <protection/>
    </xf>
    <xf numFmtId="0" fontId="10" fillId="0" borderId="21" xfId="0" applyFont="1" applyFill="1" applyBorder="1" applyAlignment="1" applyProtection="1">
      <alignment horizontal="left"/>
      <protection/>
    </xf>
    <xf numFmtId="0" fontId="10" fillId="0" borderId="22" xfId="0" applyFont="1" applyFill="1" applyBorder="1" applyAlignment="1" applyProtection="1">
      <alignment horizontal="left"/>
      <protection/>
    </xf>
    <xf numFmtId="0" fontId="10" fillId="0" borderId="23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24" xfId="0" applyFont="1" applyFill="1" applyBorder="1" applyAlignment="1" applyProtection="1">
      <alignment horizontal="left"/>
      <protection/>
    </xf>
    <xf numFmtId="0" fontId="7" fillId="2" borderId="24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vertical="center"/>
      <protection/>
    </xf>
    <xf numFmtId="0" fontId="3" fillId="6" borderId="62" xfId="0" applyFont="1" applyFill="1" applyBorder="1" applyAlignment="1" applyProtection="1">
      <alignment horizontal="center" vertical="center"/>
      <protection/>
    </xf>
    <xf numFmtId="0" fontId="3" fillId="6" borderId="68" xfId="0" applyFont="1" applyFill="1" applyBorder="1" applyAlignment="1" applyProtection="1">
      <alignment horizontal="center" vertical="center"/>
      <protection/>
    </xf>
    <xf numFmtId="0" fontId="8" fillId="6" borderId="62" xfId="0" applyFont="1" applyFill="1" applyBorder="1" applyAlignment="1" applyProtection="1">
      <alignment horizontal="center" vertical="center"/>
      <protection/>
    </xf>
    <xf numFmtId="0" fontId="3" fillId="6" borderId="62" xfId="0" applyFont="1" applyFill="1" applyBorder="1" applyAlignment="1" applyProtection="1">
      <alignment horizontal="center" vertical="center" wrapText="1"/>
      <protection/>
    </xf>
    <xf numFmtId="0" fontId="3" fillId="6" borderId="38" xfId="0" applyFont="1" applyFill="1" applyBorder="1" applyAlignment="1" applyProtection="1">
      <alignment horizontal="center" vertical="center"/>
      <protection/>
    </xf>
    <xf numFmtId="0" fontId="3" fillId="6" borderId="31" xfId="0" applyFont="1" applyFill="1" applyBorder="1" applyAlignment="1" applyProtection="1">
      <alignment horizontal="center" vertical="center"/>
      <protection/>
    </xf>
    <xf numFmtId="0" fontId="3" fillId="6" borderId="94" xfId="0" applyFont="1" applyFill="1" applyBorder="1" applyAlignment="1" applyProtection="1">
      <alignment horizontal="center" vertical="center"/>
      <protection/>
    </xf>
    <xf numFmtId="0" fontId="3" fillId="6" borderId="53" xfId="0" applyFont="1" applyFill="1" applyBorder="1" applyAlignment="1" applyProtection="1">
      <alignment horizontal="center" vertical="center"/>
      <protection/>
    </xf>
    <xf numFmtId="4" fontId="3" fillId="6" borderId="56" xfId="0" applyNumberFormat="1" applyFont="1" applyFill="1" applyBorder="1" applyAlignment="1" applyProtection="1">
      <alignment horizontal="right" vertical="center"/>
      <protection/>
    </xf>
    <xf numFmtId="4" fontId="3" fillId="6" borderId="40" xfId="0" applyNumberFormat="1" applyFont="1" applyFill="1" applyBorder="1" applyAlignment="1" applyProtection="1">
      <alignment horizontal="right" vertical="center"/>
      <protection/>
    </xf>
    <xf numFmtId="4" fontId="3" fillId="6" borderId="51" xfId="0" applyNumberFormat="1" applyFont="1" applyFill="1" applyBorder="1" applyAlignment="1" applyProtection="1">
      <alignment horizontal="right" vertical="center"/>
      <protection/>
    </xf>
    <xf numFmtId="4" fontId="3" fillId="2" borderId="77" xfId="0" applyNumberFormat="1" applyFont="1" applyFill="1" applyBorder="1" applyAlignment="1" applyProtection="1">
      <alignment vertical="center"/>
      <protection/>
    </xf>
    <xf numFmtId="4" fontId="3" fillId="2" borderId="71" xfId="0" applyNumberFormat="1" applyFont="1" applyFill="1" applyBorder="1" applyAlignment="1" applyProtection="1">
      <alignment vertical="center"/>
      <protection/>
    </xf>
    <xf numFmtId="4" fontId="3" fillId="2" borderId="76" xfId="0" applyNumberFormat="1" applyFont="1" applyFill="1" applyBorder="1" applyAlignment="1" applyProtection="1">
      <alignment vertical="center"/>
      <protection/>
    </xf>
    <xf numFmtId="4" fontId="3" fillId="6" borderId="71" xfId="0" applyNumberFormat="1" applyFont="1" applyFill="1" applyBorder="1" applyAlignment="1" applyProtection="1">
      <alignment vertical="center"/>
      <protection/>
    </xf>
    <xf numFmtId="4" fontId="10" fillId="0" borderId="23" xfId="0" applyNumberFormat="1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4" fontId="3" fillId="6" borderId="39" xfId="0" applyNumberFormat="1" applyFont="1" applyFill="1" applyBorder="1" applyAlignment="1" applyProtection="1">
      <alignment horizontal="right" vertical="center"/>
      <protection/>
    </xf>
    <xf numFmtId="0" fontId="10" fillId="2" borderId="23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4" fontId="13" fillId="2" borderId="0" xfId="0" applyNumberFormat="1" applyFont="1" applyFill="1" applyBorder="1" applyAlignment="1" applyProtection="1">
      <alignment vertical="center"/>
      <protection/>
    </xf>
    <xf numFmtId="4" fontId="13" fillId="2" borderId="0" xfId="0" applyNumberFormat="1" applyFont="1" applyFill="1" applyBorder="1" applyAlignment="1" applyProtection="1">
      <alignment horizontal="left" vertical="center"/>
      <protection/>
    </xf>
    <xf numFmtId="0" fontId="10" fillId="2" borderId="2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10" fillId="0" borderId="23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 quotePrefix="1">
      <alignment horizontal="left" vertical="center"/>
      <protection/>
    </xf>
    <xf numFmtId="0" fontId="10" fillId="2" borderId="0" xfId="0" applyFont="1" applyFill="1" applyAlignment="1" applyProtection="1" quotePrefix="1">
      <alignment horizontal="left" vertical="center"/>
      <protection/>
    </xf>
    <xf numFmtId="4" fontId="10" fillId="2" borderId="0" xfId="0" applyNumberFormat="1" applyFont="1" applyFill="1" applyBorder="1" applyAlignment="1" applyProtection="1">
      <alignment horizontal="left" vertical="center"/>
      <protection/>
    </xf>
    <xf numFmtId="0" fontId="10" fillId="0" borderId="25" xfId="0" applyFont="1" applyFill="1" applyBorder="1" applyAlignment="1" applyProtection="1">
      <alignment horizontal="left"/>
      <protection/>
    </xf>
    <xf numFmtId="0" fontId="10" fillId="0" borderId="26" xfId="0" applyFont="1" applyFill="1" applyBorder="1" applyAlignment="1" applyProtection="1">
      <alignment horizontal="left"/>
      <protection/>
    </xf>
    <xf numFmtId="0" fontId="10" fillId="0" borderId="27" xfId="0" applyFont="1" applyFill="1" applyBorder="1" applyAlignment="1" applyProtection="1">
      <alignment horizontal="left"/>
      <protection/>
    </xf>
    <xf numFmtId="4" fontId="12" fillId="2" borderId="0" xfId="0" applyNumberFormat="1" applyFont="1" applyFill="1" applyAlignment="1" applyProtection="1">
      <alignment horizontal="right"/>
      <protection/>
    </xf>
    <xf numFmtId="4" fontId="2" fillId="2" borderId="56" xfId="0" applyNumberFormat="1" applyFont="1" applyFill="1" applyBorder="1" applyAlignment="1" applyProtection="1">
      <alignment horizontal="right" vertical="center"/>
      <protection locked="0"/>
    </xf>
    <xf numFmtId="4" fontId="10" fillId="2" borderId="0" xfId="0" applyNumberFormat="1" applyFont="1" applyFill="1" applyAlignment="1" applyProtection="1">
      <alignment horizontal="right"/>
      <protection/>
    </xf>
    <xf numFmtId="4" fontId="2" fillId="2" borderId="0" xfId="0" applyNumberFormat="1" applyFont="1" applyFill="1" applyBorder="1" applyAlignment="1" applyProtection="1">
      <alignment horizontal="left" vertical="center"/>
      <protection/>
    </xf>
    <xf numFmtId="4" fontId="2" fillId="2" borderId="0" xfId="0" applyNumberFormat="1" applyFont="1" applyFill="1" applyBorder="1" applyAlignment="1" applyProtection="1">
      <alignment horizontal="right" vertical="center"/>
      <protection/>
    </xf>
    <xf numFmtId="4" fontId="10" fillId="2" borderId="20" xfId="0" applyNumberFormat="1" applyFont="1" applyFill="1" applyBorder="1" applyAlignment="1" applyProtection="1">
      <alignment horizontal="left"/>
      <protection/>
    </xf>
    <xf numFmtId="4" fontId="10" fillId="2" borderId="21" xfId="0" applyNumberFormat="1" applyFont="1" applyFill="1" applyBorder="1" applyAlignment="1" applyProtection="1">
      <alignment horizontal="right"/>
      <protection/>
    </xf>
    <xf numFmtId="4" fontId="10" fillId="2" borderId="22" xfId="0" applyNumberFormat="1" applyFont="1" applyFill="1" applyBorder="1" applyAlignment="1" applyProtection="1">
      <alignment horizontal="left"/>
      <protection/>
    </xf>
    <xf numFmtId="4" fontId="10" fillId="2" borderId="23" xfId="0" applyNumberFormat="1" applyFont="1" applyFill="1" applyBorder="1" applyAlignment="1" applyProtection="1">
      <alignment horizontal="left"/>
      <protection/>
    </xf>
    <xf numFmtId="4" fontId="3" fillId="2" borderId="0" xfId="0" applyNumberFormat="1" applyFont="1" applyFill="1" applyBorder="1" applyAlignment="1" applyProtection="1">
      <alignment horizontal="left"/>
      <protection/>
    </xf>
    <xf numFmtId="4" fontId="10" fillId="2" borderId="0" xfId="0" applyNumberFormat="1" applyFont="1" applyFill="1" applyBorder="1" applyAlignment="1" applyProtection="1">
      <alignment horizontal="right"/>
      <protection/>
    </xf>
    <xf numFmtId="4" fontId="10" fillId="2" borderId="24" xfId="0" applyNumberFormat="1" applyFont="1" applyFill="1" applyBorder="1" applyAlignment="1" applyProtection="1">
      <alignment horizontal="left"/>
      <protection/>
    </xf>
    <xf numFmtId="4" fontId="13" fillId="2" borderId="0" xfId="0" applyNumberFormat="1" applyFont="1" applyFill="1" applyBorder="1" applyAlignment="1" applyProtection="1">
      <alignment horizontal="left"/>
      <protection/>
    </xf>
    <xf numFmtId="4" fontId="2" fillId="2" borderId="23" xfId="0" applyNumberFormat="1" applyFont="1" applyFill="1" applyBorder="1" applyAlignment="1" applyProtection="1">
      <alignment horizontal="left"/>
      <protection/>
    </xf>
    <xf numFmtId="4" fontId="3" fillId="19" borderId="0" xfId="0" applyNumberFormat="1" applyFont="1" applyFill="1" applyBorder="1" applyAlignment="1" applyProtection="1">
      <alignment horizontal="left" vertical="center"/>
      <protection/>
    </xf>
    <xf numFmtId="4" fontId="2" fillId="2" borderId="24" xfId="0" applyNumberFormat="1" applyFont="1" applyFill="1" applyBorder="1" applyAlignment="1" applyProtection="1">
      <alignment horizontal="left"/>
      <protection/>
    </xf>
    <xf numFmtId="4" fontId="2" fillId="2" borderId="0" xfId="0" applyNumberFormat="1" applyFont="1" applyFill="1" applyAlignment="1" applyProtection="1">
      <alignment horizontal="left"/>
      <protection/>
    </xf>
    <xf numFmtId="4" fontId="7" fillId="2" borderId="23" xfId="0" applyNumberFormat="1" applyFont="1" applyFill="1" applyBorder="1" applyAlignment="1" applyProtection="1">
      <alignment horizontal="left"/>
      <protection/>
    </xf>
    <xf numFmtId="4" fontId="5" fillId="9" borderId="0" xfId="0" applyNumberFormat="1" applyFont="1" applyFill="1" applyBorder="1" applyAlignment="1" applyProtection="1">
      <alignment horizontal="right" vertical="center"/>
      <protection/>
    </xf>
    <xf numFmtId="4" fontId="7" fillId="2" borderId="24" xfId="0" applyNumberFormat="1" applyFont="1" applyFill="1" applyBorder="1" applyAlignment="1" applyProtection="1">
      <alignment horizontal="left"/>
      <protection/>
    </xf>
    <xf numFmtId="4" fontId="5" fillId="2" borderId="0" xfId="0" applyNumberFormat="1" applyFont="1" applyFill="1" applyAlignment="1" applyProtection="1">
      <alignment horizontal="left" vertical="center"/>
      <protection/>
    </xf>
    <xf numFmtId="4" fontId="9" fillId="2" borderId="23" xfId="0" applyNumberFormat="1" applyFont="1" applyFill="1" applyBorder="1" applyAlignment="1" applyProtection="1">
      <alignment horizontal="left"/>
      <protection/>
    </xf>
    <xf numFmtId="4" fontId="2" fillId="2" borderId="0" xfId="0" applyNumberFormat="1" applyFont="1" applyFill="1" applyBorder="1" applyAlignment="1" applyProtection="1">
      <alignment horizontal="center" vertical="center"/>
      <protection/>
    </xf>
    <xf numFmtId="4" fontId="43" fillId="2" borderId="23" xfId="0" applyNumberFormat="1" applyFont="1" applyFill="1" applyBorder="1" applyAlignment="1" applyProtection="1">
      <alignment horizontal="left" vertical="center"/>
      <protection/>
    </xf>
    <xf numFmtId="4" fontId="5" fillId="6" borderId="67" xfId="0" applyNumberFormat="1" applyFont="1" applyFill="1" applyBorder="1" applyAlignment="1" applyProtection="1">
      <alignment horizontal="right" vertical="center"/>
      <protection/>
    </xf>
    <xf numFmtId="4" fontId="43" fillId="2" borderId="24" xfId="0" applyNumberFormat="1" applyFont="1" applyFill="1" applyBorder="1" applyAlignment="1" applyProtection="1">
      <alignment horizontal="left" vertical="center"/>
      <protection/>
    </xf>
    <xf numFmtId="4" fontId="43" fillId="2" borderId="0" xfId="0" applyNumberFormat="1" applyFont="1" applyFill="1" applyAlignment="1" applyProtection="1">
      <alignment horizontal="left" vertical="center"/>
      <protection/>
    </xf>
    <xf numFmtId="4" fontId="5" fillId="2" borderId="0" xfId="0" applyNumberFormat="1" applyFont="1" applyFill="1" applyBorder="1" applyAlignment="1" applyProtection="1">
      <alignment vertical="center"/>
      <protection/>
    </xf>
    <xf numFmtId="4" fontId="5" fillId="2" borderId="23" xfId="0" applyNumberFormat="1" applyFont="1" applyFill="1" applyBorder="1" applyAlignment="1" applyProtection="1">
      <alignment horizontal="left"/>
      <protection/>
    </xf>
    <xf numFmtId="4" fontId="5" fillId="2" borderId="58" xfId="0" applyNumberFormat="1" applyFont="1" applyFill="1" applyBorder="1" applyAlignment="1" applyProtection="1">
      <alignment horizontal="center" vertical="center"/>
      <protection/>
    </xf>
    <xf numFmtId="4" fontId="5" fillId="2" borderId="67" xfId="0" applyNumberFormat="1" applyFont="1" applyFill="1" applyBorder="1" applyAlignment="1" applyProtection="1">
      <alignment horizontal="left" vertical="center"/>
      <protection/>
    </xf>
    <xf numFmtId="4" fontId="5" fillId="2" borderId="67" xfId="0" applyNumberFormat="1" applyFont="1" applyFill="1" applyBorder="1" applyAlignment="1" applyProtection="1">
      <alignment horizontal="right" vertical="center"/>
      <protection/>
    </xf>
    <xf numFmtId="4" fontId="5" fillId="2" borderId="59" xfId="0" applyNumberFormat="1" applyFont="1" applyFill="1" applyBorder="1" applyAlignment="1" applyProtection="1">
      <alignment vertical="center"/>
      <protection/>
    </xf>
    <xf numFmtId="4" fontId="5" fillId="2" borderId="24" xfId="0" applyNumberFormat="1" applyFont="1" applyFill="1" applyBorder="1" applyAlignment="1" applyProtection="1">
      <alignment horizontal="left"/>
      <protection/>
    </xf>
    <xf numFmtId="4" fontId="5" fillId="2" borderId="0" xfId="0" applyNumberFormat="1" applyFont="1" applyFill="1" applyAlignment="1" applyProtection="1">
      <alignment horizontal="left"/>
      <protection/>
    </xf>
    <xf numFmtId="4" fontId="44" fillId="2" borderId="55" xfId="0" applyNumberFormat="1" applyFont="1" applyFill="1" applyBorder="1" applyAlignment="1" applyProtection="1">
      <alignment horizontal="center" vertical="center"/>
      <protection/>
    </xf>
    <xf numFmtId="4" fontId="45" fillId="2" borderId="57" xfId="0" applyNumberFormat="1" applyFont="1" applyFill="1" applyBorder="1" applyAlignment="1" applyProtection="1">
      <alignment horizontal="left" vertical="center"/>
      <protection/>
    </xf>
    <xf numFmtId="4" fontId="45" fillId="2" borderId="57" xfId="0" applyNumberFormat="1" applyFont="1" applyFill="1" applyBorder="1" applyAlignment="1" applyProtection="1">
      <alignment horizontal="right" vertical="center"/>
      <protection/>
    </xf>
    <xf numFmtId="4" fontId="45" fillId="6" borderId="57" xfId="0" applyNumberFormat="1" applyFont="1" applyFill="1" applyBorder="1" applyAlignment="1" applyProtection="1">
      <alignment horizontal="right" vertical="center"/>
      <protection/>
    </xf>
    <xf numFmtId="4" fontId="9" fillId="2" borderId="56" xfId="0" applyNumberFormat="1" applyFont="1" applyFill="1" applyBorder="1" applyAlignment="1" applyProtection="1">
      <alignment vertical="center"/>
      <protection/>
    </xf>
    <xf numFmtId="4" fontId="9" fillId="2" borderId="24" xfId="0" applyNumberFormat="1" applyFont="1" applyFill="1" applyBorder="1" applyAlignment="1" applyProtection="1">
      <alignment horizontal="left"/>
      <protection/>
    </xf>
    <xf numFmtId="4" fontId="9" fillId="2" borderId="0" xfId="0" applyNumberFormat="1" applyFont="1" applyFill="1" applyAlignment="1" applyProtection="1">
      <alignment horizontal="left"/>
      <protection/>
    </xf>
    <xf numFmtId="4" fontId="26" fillId="2" borderId="0" xfId="0" applyNumberFormat="1" applyFont="1" applyFill="1" applyAlignment="1" applyProtection="1">
      <alignment horizontal="left"/>
      <protection/>
    </xf>
    <xf numFmtId="4" fontId="44" fillId="2" borderId="44" xfId="0" applyNumberFormat="1" applyFont="1" applyFill="1" applyBorder="1" applyAlignment="1" applyProtection="1">
      <alignment horizontal="center" vertical="center"/>
      <protection/>
    </xf>
    <xf numFmtId="4" fontId="45" fillId="2" borderId="72" xfId="0" applyNumberFormat="1" applyFont="1" applyFill="1" applyBorder="1" applyAlignment="1" applyProtection="1">
      <alignment horizontal="left" vertical="center"/>
      <protection/>
    </xf>
    <xf numFmtId="4" fontId="45" fillId="2" borderId="72" xfId="0" applyNumberFormat="1" applyFont="1" applyFill="1" applyBorder="1" applyAlignment="1" applyProtection="1">
      <alignment horizontal="right" vertical="center"/>
      <protection/>
    </xf>
    <xf numFmtId="4" fontId="3" fillId="2" borderId="23" xfId="0" applyNumberFormat="1" applyFont="1" applyFill="1" applyBorder="1" applyAlignment="1" applyProtection="1">
      <alignment horizontal="left"/>
      <protection/>
    </xf>
    <xf numFmtId="4" fontId="3" fillId="2" borderId="24" xfId="0" applyNumberFormat="1" applyFont="1" applyFill="1" applyBorder="1" applyAlignment="1" applyProtection="1">
      <alignment horizontal="left"/>
      <protection/>
    </xf>
    <xf numFmtId="4" fontId="3" fillId="2" borderId="0" xfId="0" applyNumberFormat="1" applyFont="1" applyFill="1" applyAlignment="1" applyProtection="1">
      <alignment horizontal="left"/>
      <protection/>
    </xf>
    <xf numFmtId="4" fontId="7" fillId="2" borderId="23" xfId="0" applyNumberFormat="1" applyFont="1" applyFill="1" applyBorder="1" applyAlignment="1" applyProtection="1">
      <alignment vertical="center"/>
      <protection/>
    </xf>
    <xf numFmtId="4" fontId="5" fillId="6" borderId="67" xfId="0" applyNumberFormat="1" applyFont="1" applyFill="1" applyBorder="1" applyAlignment="1" applyProtection="1">
      <alignment vertical="center"/>
      <protection/>
    </xf>
    <xf numFmtId="4" fontId="7" fillId="2" borderId="24" xfId="0" applyNumberFormat="1" applyFont="1" applyFill="1" applyBorder="1" applyAlignment="1" applyProtection="1">
      <alignment vertical="center"/>
      <protection/>
    </xf>
    <xf numFmtId="4" fontId="7" fillId="2" borderId="0" xfId="0" applyNumberFormat="1" applyFont="1" applyFill="1" applyAlignment="1" applyProtection="1">
      <alignment vertical="center"/>
      <protection/>
    </xf>
    <xf numFmtId="4" fontId="3" fillId="2" borderId="0" xfId="0" applyNumberFormat="1" applyFont="1" applyFill="1" applyBorder="1" applyAlignment="1" applyProtection="1">
      <alignment horizontal="left" vertical="center"/>
      <protection/>
    </xf>
    <xf numFmtId="4" fontId="46" fillId="2" borderId="57" xfId="0" applyNumberFormat="1" applyFont="1" applyFill="1" applyBorder="1" applyAlignment="1" applyProtection="1">
      <alignment horizontal="left" vertical="center"/>
      <protection/>
    </xf>
    <xf numFmtId="4" fontId="9" fillId="2" borderId="57" xfId="0" applyNumberFormat="1" applyFont="1" applyFill="1" applyBorder="1" applyAlignment="1" applyProtection="1">
      <alignment horizontal="right" vertical="center"/>
      <protection/>
    </xf>
    <xf numFmtId="4" fontId="53" fillId="2" borderId="0" xfId="0" applyNumberFormat="1" applyFont="1" applyFill="1" applyAlignment="1" applyProtection="1">
      <alignment horizontal="left"/>
      <protection/>
    </xf>
    <xf numFmtId="4" fontId="8" fillId="2" borderId="23" xfId="0" applyNumberFormat="1" applyFont="1" applyFill="1" applyBorder="1" applyAlignment="1" applyProtection="1">
      <alignment horizontal="left"/>
      <protection/>
    </xf>
    <xf numFmtId="4" fontId="8" fillId="6" borderId="57" xfId="0" applyNumberFormat="1" applyFont="1" applyFill="1" applyBorder="1" applyAlignment="1" applyProtection="1">
      <alignment horizontal="right" vertical="center"/>
      <protection/>
    </xf>
    <xf numFmtId="4" fontId="8" fillId="2" borderId="24" xfId="0" applyNumberFormat="1" applyFont="1" applyFill="1" applyBorder="1" applyAlignment="1" applyProtection="1">
      <alignment horizontal="left"/>
      <protection/>
    </xf>
    <xf numFmtId="4" fontId="8" fillId="2" borderId="0" xfId="0" applyNumberFormat="1" applyFont="1" applyFill="1" applyAlignment="1" applyProtection="1">
      <alignment horizontal="left"/>
      <protection/>
    </xf>
    <xf numFmtId="4" fontId="7" fillId="2" borderId="23" xfId="0" applyNumberFormat="1" applyFont="1" applyFill="1" applyBorder="1" applyAlignment="1" applyProtection="1">
      <alignment horizontal="left" vertical="center"/>
      <protection/>
    </xf>
    <xf numFmtId="4" fontId="7" fillId="2" borderId="24" xfId="0" applyNumberFormat="1" applyFont="1" applyFill="1" applyBorder="1" applyAlignment="1" applyProtection="1">
      <alignment horizontal="left" vertical="center"/>
      <protection/>
    </xf>
    <xf numFmtId="4" fontId="7" fillId="2" borderId="0" xfId="0" applyNumberFormat="1" applyFont="1" applyFill="1" applyAlignment="1" applyProtection="1">
      <alignment horizontal="left" vertical="center"/>
      <protection/>
    </xf>
    <xf numFmtId="4" fontId="3" fillId="2" borderId="58" xfId="0" applyNumberFormat="1" applyFont="1" applyFill="1" applyBorder="1" applyAlignment="1" applyProtection="1">
      <alignment horizontal="center" vertical="center"/>
      <protection/>
    </xf>
    <xf numFmtId="4" fontId="3" fillId="2" borderId="67" xfId="0" applyNumberFormat="1" applyFont="1" applyFill="1" applyBorder="1" applyAlignment="1" applyProtection="1">
      <alignment horizontal="right" vertical="center"/>
      <protection/>
    </xf>
    <xf numFmtId="4" fontId="9" fillId="6" borderId="57" xfId="0" applyNumberFormat="1" applyFont="1" applyFill="1" applyBorder="1" applyAlignment="1" applyProtection="1">
      <alignment horizontal="right" vertical="center"/>
      <protection/>
    </xf>
    <xf numFmtId="4" fontId="46" fillId="2" borderId="57" xfId="0" applyNumberFormat="1" applyFont="1" applyFill="1" applyBorder="1" applyAlignment="1" applyProtection="1">
      <alignment horizontal="right" vertical="center"/>
      <protection/>
    </xf>
    <xf numFmtId="4" fontId="44" fillId="2" borderId="0" xfId="0" applyNumberFormat="1" applyFont="1" applyFill="1" applyAlignment="1" applyProtection="1">
      <alignment horizontal="left"/>
      <protection/>
    </xf>
    <xf numFmtId="4" fontId="3" fillId="2" borderId="47" xfId="0" applyNumberFormat="1" applyFont="1" applyFill="1" applyBorder="1" applyAlignment="1" applyProtection="1">
      <alignment horizontal="center" vertical="center"/>
      <protection/>
    </xf>
    <xf numFmtId="4" fontId="3" fillId="2" borderId="53" xfId="0" applyNumberFormat="1" applyFont="1" applyFill="1" applyBorder="1" applyAlignment="1" applyProtection="1">
      <alignment horizontal="left" vertical="center"/>
      <protection/>
    </xf>
    <xf numFmtId="4" fontId="3" fillId="2" borderId="53" xfId="0" applyNumberFormat="1" applyFont="1" applyFill="1" applyBorder="1" applyAlignment="1" applyProtection="1">
      <alignment horizontal="right" vertical="center"/>
      <protection/>
    </xf>
    <xf numFmtId="4" fontId="47" fillId="2" borderId="57" xfId="0" applyNumberFormat="1" applyFont="1" applyFill="1" applyBorder="1" applyAlignment="1" applyProtection="1">
      <alignment horizontal="right" vertical="center"/>
      <protection/>
    </xf>
    <xf numFmtId="4" fontId="47" fillId="3" borderId="57" xfId="0" applyNumberFormat="1" applyFont="1" applyFill="1" applyBorder="1" applyAlignment="1" applyProtection="1">
      <alignment horizontal="right" vertical="center"/>
      <protection/>
    </xf>
    <xf numFmtId="4" fontId="8" fillId="3" borderId="57" xfId="0" applyNumberFormat="1" applyFont="1" applyFill="1" applyBorder="1" applyAlignment="1" applyProtection="1">
      <alignment horizontal="right" vertical="center"/>
      <protection/>
    </xf>
    <xf numFmtId="4" fontId="7" fillId="2" borderId="0" xfId="0" applyNumberFormat="1" applyFont="1" applyFill="1" applyAlignment="1" applyProtection="1">
      <alignment horizontal="left"/>
      <protection/>
    </xf>
    <xf numFmtId="4" fontId="2" fillId="2" borderId="0" xfId="0" applyNumberFormat="1" applyFont="1" applyFill="1" applyBorder="1" applyAlignment="1" applyProtection="1">
      <alignment vertical="center"/>
      <protection/>
    </xf>
    <xf numFmtId="4" fontId="17" fillId="2" borderId="23" xfId="0" applyNumberFormat="1" applyFont="1" applyFill="1" applyBorder="1" applyAlignment="1" applyProtection="1">
      <alignment horizontal="left"/>
      <protection/>
    </xf>
    <xf numFmtId="4" fontId="15" fillId="21" borderId="50" xfId="0" applyNumberFormat="1" applyFont="1" applyFill="1" applyBorder="1" applyAlignment="1" applyProtection="1">
      <alignment horizontal="right"/>
      <protection/>
    </xf>
    <xf numFmtId="4" fontId="17" fillId="2" borderId="24" xfId="0" applyNumberFormat="1" applyFont="1" applyFill="1" applyBorder="1" applyAlignment="1" applyProtection="1">
      <alignment horizontal="left"/>
      <protection/>
    </xf>
    <xf numFmtId="4" fontId="17" fillId="2" borderId="0" xfId="0" applyNumberFormat="1" applyFont="1" applyFill="1" applyAlignment="1" applyProtection="1">
      <alignment horizontal="left"/>
      <protection/>
    </xf>
    <xf numFmtId="4" fontId="5" fillId="22" borderId="67" xfId="0" applyNumberFormat="1" applyFont="1" applyFill="1" applyBorder="1" applyAlignment="1" applyProtection="1">
      <alignment horizontal="right" vertical="center"/>
      <protection/>
    </xf>
    <xf numFmtId="4" fontId="44" fillId="2" borderId="0" xfId="0" applyNumberFormat="1" applyFont="1" applyFill="1" applyBorder="1" applyAlignment="1" applyProtection="1">
      <alignment horizontal="center" vertical="center"/>
      <protection/>
    </xf>
    <xf numFmtId="4" fontId="2" fillId="2" borderId="23" xfId="0" applyNumberFormat="1" applyFont="1" applyFill="1" applyBorder="1" applyAlignment="1" applyProtection="1">
      <alignment horizontal="left" vertical="center"/>
      <protection/>
    </xf>
    <xf numFmtId="4" fontId="5" fillId="23" borderId="50" xfId="0" applyNumberFormat="1" applyFont="1" applyFill="1" applyBorder="1" applyAlignment="1" applyProtection="1">
      <alignment horizontal="right" vertical="center"/>
      <protection/>
    </xf>
    <xf numFmtId="4" fontId="2" fillId="2" borderId="24" xfId="0" applyNumberFormat="1" applyFont="1" applyFill="1" applyBorder="1" applyAlignment="1" applyProtection="1">
      <alignment horizontal="left" vertical="center"/>
      <protection/>
    </xf>
    <xf numFmtId="4" fontId="18" fillId="2" borderId="0" xfId="0" applyNumberFormat="1" applyFont="1" applyFill="1" applyAlignment="1" applyProtection="1">
      <alignment horizontal="right" vertical="center"/>
      <protection/>
    </xf>
    <xf numFmtId="4" fontId="2" fillId="2" borderId="0" xfId="0" applyNumberFormat="1" applyFont="1" applyFill="1" applyAlignment="1" applyProtection="1">
      <alignment horizontal="left" vertical="center"/>
      <protection/>
    </xf>
    <xf numFmtId="4" fontId="5" fillId="20" borderId="0" xfId="0" applyNumberFormat="1" applyFont="1" applyFill="1" applyBorder="1" applyAlignment="1" applyProtection="1">
      <alignment horizontal="left"/>
      <protection/>
    </xf>
    <xf numFmtId="4" fontId="5" fillId="20" borderId="0" xfId="0" applyNumberFormat="1" applyFont="1" applyFill="1" applyBorder="1" applyAlignment="1" applyProtection="1">
      <alignment horizontal="right"/>
      <protection/>
    </xf>
    <xf numFmtId="4" fontId="5" fillId="20" borderId="0" xfId="0" applyNumberFormat="1" applyFont="1" applyFill="1" applyBorder="1" applyAlignment="1" applyProtection="1">
      <alignment/>
      <protection/>
    </xf>
    <xf numFmtId="4" fontId="6" fillId="6" borderId="67" xfId="0" applyNumberFormat="1" applyFont="1" applyFill="1" applyBorder="1" applyAlignment="1" applyProtection="1">
      <alignment horizontal="right" vertical="center"/>
      <protection/>
    </xf>
    <xf numFmtId="4" fontId="6" fillId="6" borderId="59" xfId="0" applyNumberFormat="1" applyFont="1" applyFill="1" applyBorder="1" applyAlignment="1" applyProtection="1">
      <alignment horizontal="center" vertical="center"/>
      <protection/>
    </xf>
    <xf numFmtId="4" fontId="5" fillId="2" borderId="47" xfId="0" applyNumberFormat="1" applyFont="1" applyFill="1" applyBorder="1" applyAlignment="1" applyProtection="1">
      <alignment horizontal="center" vertical="center"/>
      <protection/>
    </xf>
    <xf numFmtId="4" fontId="5" fillId="2" borderId="53" xfId="0" applyNumberFormat="1" applyFont="1" applyFill="1" applyBorder="1" applyAlignment="1" applyProtection="1">
      <alignment horizontal="left" vertical="center"/>
      <protection/>
    </xf>
    <xf numFmtId="4" fontId="5" fillId="2" borderId="53" xfId="0" applyNumberFormat="1" applyFont="1" applyFill="1" applyBorder="1" applyAlignment="1" applyProtection="1">
      <alignment horizontal="right" vertical="center"/>
      <protection/>
    </xf>
    <xf numFmtId="4" fontId="18" fillId="2" borderId="0" xfId="0" applyNumberFormat="1" applyFont="1" applyFill="1" applyAlignment="1" applyProtection="1">
      <alignment horizontal="left"/>
      <protection/>
    </xf>
    <xf numFmtId="4" fontId="49" fillId="2" borderId="23" xfId="0" applyNumberFormat="1" applyFont="1" applyFill="1" applyBorder="1" applyAlignment="1" applyProtection="1">
      <alignment horizontal="left"/>
      <protection/>
    </xf>
    <xf numFmtId="4" fontId="50" fillId="2" borderId="55" xfId="0" applyNumberFormat="1" applyFont="1" applyFill="1" applyBorder="1" applyAlignment="1" applyProtection="1">
      <alignment horizontal="center" vertical="center"/>
      <protection/>
    </xf>
    <xf numFmtId="4" fontId="50" fillId="2" borderId="57" xfId="0" applyNumberFormat="1" applyFont="1" applyFill="1" applyBorder="1" applyAlignment="1" applyProtection="1">
      <alignment horizontal="left" vertical="center"/>
      <protection/>
    </xf>
    <xf numFmtId="4" fontId="50" fillId="6" borderId="57" xfId="0" applyNumberFormat="1" applyFont="1" applyFill="1" applyBorder="1" applyAlignment="1" applyProtection="1">
      <alignment horizontal="right" vertical="center"/>
      <protection/>
    </xf>
    <xf numFmtId="4" fontId="49" fillId="2" borderId="24" xfId="0" applyNumberFormat="1" applyFont="1" applyFill="1" applyBorder="1" applyAlignment="1" applyProtection="1">
      <alignment horizontal="left"/>
      <protection/>
    </xf>
    <xf numFmtId="4" fontId="49" fillId="2" borderId="0" xfId="0" applyNumberFormat="1" applyFont="1" applyFill="1" applyAlignment="1" applyProtection="1">
      <alignment horizontal="left"/>
      <protection/>
    </xf>
    <xf numFmtId="4" fontId="45" fillId="6" borderId="69" xfId="0" applyNumberFormat="1" applyFont="1" applyFill="1" applyBorder="1" applyAlignment="1" applyProtection="1">
      <alignment horizontal="right" vertical="center"/>
      <protection/>
    </xf>
    <xf numFmtId="4" fontId="26" fillId="20" borderId="0" xfId="0" applyNumberFormat="1" applyFont="1" applyFill="1" applyAlignment="1" applyProtection="1">
      <alignment horizontal="left"/>
      <protection/>
    </xf>
    <xf numFmtId="4" fontId="5" fillId="21" borderId="50" xfId="0" applyNumberFormat="1" applyFont="1" applyFill="1" applyBorder="1" applyAlignment="1" applyProtection="1">
      <alignment horizontal="right" vertical="center"/>
      <protection/>
    </xf>
    <xf numFmtId="4" fontId="5" fillId="6" borderId="132" xfId="0" applyNumberFormat="1" applyFont="1" applyFill="1" applyBorder="1" applyAlignment="1" applyProtection="1">
      <alignment vertical="center"/>
      <protection/>
    </xf>
    <xf numFmtId="4" fontId="7" fillId="6" borderId="133" xfId="0" applyNumberFormat="1" applyFont="1" applyFill="1" applyBorder="1" applyAlignment="1" applyProtection="1">
      <alignment horizontal="center" vertical="center"/>
      <protection/>
    </xf>
    <xf numFmtId="4" fontId="5" fillId="6" borderId="133" xfId="0" applyNumberFormat="1" applyFont="1" applyFill="1" applyBorder="1" applyAlignment="1" applyProtection="1">
      <alignment horizontal="right" vertical="center"/>
      <protection/>
    </xf>
    <xf numFmtId="4" fontId="2" fillId="2" borderId="23" xfId="0" applyNumberFormat="1" applyFont="1" applyFill="1" applyBorder="1" applyAlignment="1" applyProtection="1">
      <alignment vertical="center"/>
      <protection/>
    </xf>
    <xf numFmtId="4" fontId="3" fillId="24" borderId="67" xfId="0" applyNumberFormat="1" applyFont="1" applyFill="1" applyBorder="1" applyAlignment="1" applyProtection="1">
      <alignment vertical="center"/>
      <protection/>
    </xf>
    <xf numFmtId="4" fontId="3" fillId="24" borderId="67" xfId="0" applyNumberFormat="1" applyFont="1" applyFill="1" applyBorder="1" applyAlignment="1" applyProtection="1">
      <alignment horizontal="right" vertical="center"/>
      <protection/>
    </xf>
    <xf numFmtId="4" fontId="2" fillId="2" borderId="24" xfId="0" applyNumberFormat="1" applyFont="1" applyFill="1" applyBorder="1" applyAlignment="1" applyProtection="1">
      <alignment vertical="center"/>
      <protection/>
    </xf>
    <xf numFmtId="4" fontId="2" fillId="2" borderId="0" xfId="0" applyNumberFormat="1" applyFont="1" applyFill="1" applyAlignment="1" applyProtection="1">
      <alignment vertical="center"/>
      <protection/>
    </xf>
    <xf numFmtId="4" fontId="44" fillId="2" borderId="43" xfId="0" applyNumberFormat="1" applyFont="1" applyFill="1" applyBorder="1" applyAlignment="1" applyProtection="1">
      <alignment horizontal="center" vertical="center"/>
      <protection/>
    </xf>
    <xf numFmtId="4" fontId="45" fillId="2" borderId="63" xfId="0" applyNumberFormat="1" applyFont="1" applyFill="1" applyBorder="1" applyAlignment="1" applyProtection="1">
      <alignment horizontal="left" vertical="center"/>
      <protection/>
    </xf>
    <xf numFmtId="4" fontId="45" fillId="2" borderId="63" xfId="0" applyNumberFormat="1" applyFont="1" applyFill="1" applyBorder="1" applyAlignment="1" applyProtection="1">
      <alignment horizontal="right" vertical="center"/>
      <protection/>
    </xf>
    <xf numFmtId="4" fontId="45" fillId="6" borderId="63" xfId="0" applyNumberFormat="1" applyFont="1" applyFill="1" applyBorder="1" applyAlignment="1" applyProtection="1">
      <alignment horizontal="right" vertical="center"/>
      <protection/>
    </xf>
    <xf numFmtId="4" fontId="9" fillId="2" borderId="51" xfId="0" applyNumberFormat="1" applyFont="1" applyFill="1" applyBorder="1" applyAlignment="1" applyProtection="1">
      <alignment vertical="center"/>
      <protection/>
    </xf>
    <xf numFmtId="4" fontId="45" fillId="2" borderId="0" xfId="0" applyNumberFormat="1" applyFont="1" applyFill="1" applyBorder="1" applyAlignment="1" applyProtection="1">
      <alignment horizontal="left" vertical="center"/>
      <protection/>
    </xf>
    <xf numFmtId="4" fontId="5" fillId="2" borderId="0" xfId="0" applyNumberFormat="1" applyFont="1" applyFill="1" applyBorder="1" applyAlignment="1" applyProtection="1">
      <alignment horizontal="left" vertical="center"/>
      <protection/>
    </xf>
    <xf numFmtId="4" fontId="5" fillId="2" borderId="0" xfId="0" applyNumberFormat="1" applyFont="1" applyFill="1" applyBorder="1" applyAlignment="1" applyProtection="1">
      <alignment horizontal="right" vertical="center"/>
      <protection/>
    </xf>
    <xf numFmtId="4" fontId="48" fillId="2" borderId="0" xfId="0" applyNumberFormat="1" applyFont="1" applyFill="1" applyBorder="1" applyAlignment="1" applyProtection="1">
      <alignment horizontal="right" vertical="center"/>
      <protection/>
    </xf>
    <xf numFmtId="4" fontId="9" fillId="2" borderId="0" xfId="0" applyNumberFormat="1" applyFont="1" applyFill="1" applyBorder="1" applyAlignment="1" applyProtection="1">
      <alignment vertical="center"/>
      <protection/>
    </xf>
    <xf numFmtId="4" fontId="5" fillId="24" borderId="67" xfId="0" applyNumberFormat="1" applyFont="1" applyFill="1" applyBorder="1" applyAlignment="1" applyProtection="1">
      <alignment horizontal="right" vertical="center"/>
      <protection/>
    </xf>
    <xf numFmtId="4" fontId="52" fillId="2" borderId="39" xfId="0" applyNumberFormat="1" applyFont="1" applyFill="1" applyBorder="1" applyAlignment="1" applyProtection="1">
      <alignment horizontal="left" vertical="center"/>
      <protection/>
    </xf>
    <xf numFmtId="4" fontId="45" fillId="6" borderId="34" xfId="0" applyNumberFormat="1" applyFont="1" applyFill="1" applyBorder="1" applyAlignment="1" applyProtection="1">
      <alignment horizontal="right" vertical="center"/>
      <protection/>
    </xf>
    <xf numFmtId="4" fontId="52" fillId="2" borderId="56" xfId="0" applyNumberFormat="1" applyFont="1" applyFill="1" applyBorder="1" applyAlignment="1" applyProtection="1">
      <alignment horizontal="left" vertical="center"/>
      <protection/>
    </xf>
    <xf numFmtId="4" fontId="52" fillId="2" borderId="57" xfId="0" applyNumberFormat="1" applyFont="1" applyFill="1" applyBorder="1" applyAlignment="1" applyProtection="1">
      <alignment horizontal="right" vertical="center"/>
      <protection/>
    </xf>
    <xf numFmtId="4" fontId="8" fillId="2" borderId="56" xfId="0" applyNumberFormat="1" applyFont="1" applyFill="1" applyBorder="1" applyAlignment="1" applyProtection="1">
      <alignment vertical="center"/>
      <protection/>
    </xf>
    <xf numFmtId="4" fontId="52" fillId="2" borderId="55" xfId="0" applyNumberFormat="1" applyFont="1" applyFill="1" applyBorder="1" applyAlignment="1" applyProtection="1">
      <alignment horizontal="left" vertical="center"/>
      <protection/>
    </xf>
    <xf numFmtId="4" fontId="45" fillId="6" borderId="134" xfId="0" applyNumberFormat="1" applyFont="1" applyFill="1" applyBorder="1" applyAlignment="1" applyProtection="1">
      <alignment horizontal="right" vertical="center"/>
      <protection/>
    </xf>
    <xf numFmtId="4" fontId="51" fillId="2" borderId="134" xfId="0" applyNumberFormat="1" applyFont="1" applyFill="1" applyBorder="1" applyAlignment="1" applyProtection="1">
      <alignment horizontal="right" vertical="center"/>
      <protection/>
    </xf>
    <xf numFmtId="4" fontId="10" fillId="2" borderId="25" xfId="0" applyNumberFormat="1" applyFont="1" applyFill="1" applyBorder="1" applyAlignment="1" applyProtection="1">
      <alignment horizontal="left"/>
      <protection/>
    </xf>
    <xf numFmtId="4" fontId="10" fillId="2" borderId="26" xfId="0" applyNumberFormat="1" applyFont="1" applyFill="1" applyBorder="1" applyAlignment="1" applyProtection="1">
      <alignment horizontal="right"/>
      <protection/>
    </xf>
    <xf numFmtId="4" fontId="10" fillId="2" borderId="26" xfId="0" applyNumberFormat="1" applyFont="1" applyFill="1" applyBorder="1" applyAlignment="1" applyProtection="1">
      <alignment horizontal="left"/>
      <protection/>
    </xf>
    <xf numFmtId="4" fontId="10" fillId="2" borderId="27" xfId="0" applyNumberFormat="1" applyFont="1" applyFill="1" applyBorder="1" applyAlignment="1" applyProtection="1">
      <alignment horizontal="left"/>
      <protection/>
    </xf>
    <xf numFmtId="4" fontId="10" fillId="2" borderId="0" xfId="0" applyNumberFormat="1" applyFont="1" applyFill="1" applyBorder="1" applyAlignment="1" applyProtection="1">
      <alignment horizontal="left"/>
      <protection/>
    </xf>
    <xf numFmtId="4" fontId="10" fillId="2" borderId="0" xfId="0" applyNumberFormat="1" applyFont="1" applyFill="1" applyAlignment="1" applyProtection="1">
      <alignment horizontal="left"/>
      <protection/>
    </xf>
    <xf numFmtId="4" fontId="15" fillId="2" borderId="0" xfId="0" applyNumberFormat="1" applyFont="1" applyFill="1" applyBorder="1" applyAlignment="1" applyProtection="1">
      <alignment horizontal="left"/>
      <protection/>
    </xf>
    <xf numFmtId="4" fontId="3" fillId="2" borderId="0" xfId="0" applyNumberFormat="1" applyFont="1" applyFill="1" applyBorder="1" applyAlignment="1" applyProtection="1">
      <alignment horizontal="right"/>
      <protection/>
    </xf>
    <xf numFmtId="4" fontId="13" fillId="2" borderId="0" xfId="0" applyNumberFormat="1" applyFont="1" applyFill="1" applyAlignment="1" applyProtection="1">
      <alignment horizontal="right"/>
      <protection/>
    </xf>
    <xf numFmtId="4" fontId="45" fillId="2" borderId="57" xfId="0" applyNumberFormat="1" applyFont="1" applyFill="1" applyBorder="1" applyAlignment="1" applyProtection="1">
      <alignment horizontal="right" vertical="center"/>
      <protection locked="0"/>
    </xf>
    <xf numFmtId="4" fontId="45" fillId="2" borderId="69" xfId="0" applyNumberFormat="1" applyFont="1" applyFill="1" applyBorder="1" applyAlignment="1" applyProtection="1">
      <alignment horizontal="right" vertical="center"/>
      <protection locked="0"/>
    </xf>
    <xf numFmtId="4" fontId="45" fillId="2" borderId="72" xfId="0" applyNumberFormat="1" applyFont="1" applyFill="1" applyBorder="1" applyAlignment="1" applyProtection="1">
      <alignment horizontal="right" vertical="center"/>
      <protection locked="0"/>
    </xf>
    <xf numFmtId="4" fontId="46" fillId="2" borderId="57" xfId="0" applyNumberFormat="1" applyFont="1" applyFill="1" applyBorder="1" applyAlignment="1" applyProtection="1">
      <alignment horizontal="right" vertical="center"/>
      <protection locked="0"/>
    </xf>
    <xf numFmtId="4" fontId="47" fillId="2" borderId="57" xfId="0" applyNumberFormat="1" applyFont="1" applyFill="1" applyBorder="1" applyAlignment="1" applyProtection="1">
      <alignment horizontal="right" vertical="center"/>
      <protection locked="0"/>
    </xf>
    <xf numFmtId="4" fontId="46" fillId="2" borderId="69" xfId="0" applyNumberFormat="1" applyFont="1" applyFill="1" applyBorder="1" applyAlignment="1" applyProtection="1">
      <alignment horizontal="right" vertical="center"/>
      <protection locked="0"/>
    </xf>
    <xf numFmtId="4" fontId="47" fillId="2" borderId="69" xfId="0" applyNumberFormat="1" applyFont="1" applyFill="1" applyBorder="1" applyAlignment="1" applyProtection="1">
      <alignment horizontal="right" vertical="center"/>
      <protection locked="0"/>
    </xf>
    <xf numFmtId="4" fontId="47" fillId="3" borderId="57" xfId="0" applyNumberFormat="1" applyFont="1" applyFill="1" applyBorder="1" applyAlignment="1" applyProtection="1">
      <alignment horizontal="right" vertical="center"/>
      <protection locked="0"/>
    </xf>
    <xf numFmtId="4" fontId="46" fillId="2" borderId="134" xfId="0" applyNumberFormat="1" applyFont="1" applyFill="1" applyBorder="1" applyAlignment="1" applyProtection="1">
      <alignment horizontal="right" vertical="center"/>
      <protection locked="0"/>
    </xf>
    <xf numFmtId="4" fontId="44" fillId="2" borderId="55" xfId="0" applyNumberFormat="1" applyFont="1" applyFill="1" applyBorder="1" applyAlignment="1" applyProtection="1">
      <alignment horizontal="center" vertical="center"/>
      <protection locked="0"/>
    </xf>
    <xf numFmtId="4" fontId="46" fillId="2" borderId="57" xfId="0" applyNumberFormat="1" applyFont="1" applyFill="1" applyBorder="1" applyAlignment="1" applyProtection="1">
      <alignment horizontal="left" vertical="center"/>
      <protection locked="0"/>
    </xf>
    <xf numFmtId="4" fontId="44" fillId="2" borderId="42" xfId="0" applyNumberFormat="1" applyFont="1" applyFill="1" applyBorder="1" applyAlignment="1" applyProtection="1">
      <alignment horizontal="center" vertical="center"/>
      <protection locked="0"/>
    </xf>
    <xf numFmtId="4" fontId="44" fillId="2" borderId="135" xfId="0" applyNumberFormat="1" applyFont="1" applyFill="1" applyBorder="1" applyAlignment="1" applyProtection="1">
      <alignment horizontal="center" vertical="center"/>
      <protection locked="0"/>
    </xf>
    <xf numFmtId="4" fontId="46" fillId="2" borderId="134" xfId="0" applyNumberFormat="1" applyFont="1" applyFill="1" applyBorder="1" applyAlignment="1" applyProtection="1">
      <alignment horizontal="left" vertical="center"/>
      <protection locked="0"/>
    </xf>
    <xf numFmtId="4" fontId="5" fillId="2" borderId="59" xfId="0" applyNumberFormat="1" applyFont="1" applyFill="1" applyBorder="1" applyAlignment="1" applyProtection="1">
      <alignment horizontal="left"/>
      <protection locked="0"/>
    </xf>
    <xf numFmtId="4" fontId="2" fillId="2" borderId="0" xfId="0" applyNumberFormat="1" applyFont="1" applyFill="1" applyAlignment="1" applyProtection="1">
      <alignment horizontal="left"/>
      <protection locked="0"/>
    </xf>
    <xf numFmtId="4" fontId="3" fillId="2" borderId="0" xfId="0" applyNumberFormat="1" applyFont="1" applyFill="1" applyAlignment="1" applyProtection="1">
      <alignment horizontal="left"/>
      <protection locked="0"/>
    </xf>
    <xf numFmtId="4" fontId="10" fillId="2" borderId="0" xfId="0" applyNumberFormat="1" applyFont="1" applyFill="1" applyAlignment="1" applyProtection="1">
      <alignment horizontal="left"/>
      <protection locked="0"/>
    </xf>
    <xf numFmtId="4" fontId="45" fillId="2" borderId="57" xfId="0" applyNumberFormat="1" applyFont="1" applyFill="1" applyBorder="1" applyAlignment="1" applyProtection="1">
      <alignment horizontal="left" vertical="center"/>
      <protection locked="0"/>
    </xf>
    <xf numFmtId="4" fontId="46" fillId="2" borderId="69" xfId="0" applyNumberFormat="1" applyFont="1" applyFill="1" applyBorder="1" applyAlignment="1" applyProtection="1">
      <alignment horizontal="left" vertical="center"/>
      <protection locked="0"/>
    </xf>
    <xf numFmtId="4" fontId="45" fillId="2" borderId="69" xfId="0" applyNumberFormat="1" applyFont="1" applyFill="1" applyBorder="1" applyAlignment="1" applyProtection="1">
      <alignment horizontal="left" vertical="center"/>
      <protection locked="0"/>
    </xf>
    <xf numFmtId="0" fontId="2" fillId="2" borderId="101" xfId="0" applyFont="1" applyFill="1" applyBorder="1" applyAlignment="1">
      <alignment vertical="center"/>
    </xf>
    <xf numFmtId="0" fontId="2" fillId="6" borderId="101" xfId="0" applyFont="1" applyFill="1" applyBorder="1" applyAlignment="1">
      <alignment vertical="center"/>
    </xf>
    <xf numFmtId="0" fontId="7" fillId="0" borderId="23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4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vertical="center"/>
      <protection/>
    </xf>
    <xf numFmtId="0" fontId="3" fillId="6" borderId="62" xfId="0" applyFont="1" applyFill="1" applyBorder="1" applyAlignment="1" applyProtection="1">
      <alignment horizontal="center"/>
      <protection/>
    </xf>
    <xf numFmtId="0" fontId="3" fillId="6" borderId="60" xfId="0" applyFont="1" applyFill="1" applyBorder="1" applyAlignment="1" applyProtection="1">
      <alignment horizontal="center"/>
      <protection/>
    </xf>
    <xf numFmtId="0" fontId="15" fillId="6" borderId="37" xfId="0" applyFont="1" applyFill="1" applyBorder="1" applyAlignment="1" applyProtection="1">
      <alignment horizontal="center"/>
      <protection/>
    </xf>
    <xf numFmtId="0" fontId="3" fillId="6" borderId="37" xfId="0" applyFont="1" applyFill="1" applyBorder="1" applyAlignment="1" applyProtection="1">
      <alignment horizontal="center"/>
      <protection/>
    </xf>
    <xf numFmtId="0" fontId="3" fillId="6" borderId="42" xfId="0" applyFont="1" applyFill="1" applyBorder="1" applyAlignment="1" applyProtection="1">
      <alignment horizontal="center"/>
      <protection/>
    </xf>
    <xf numFmtId="0" fontId="13" fillId="6" borderId="42" xfId="0" applyFont="1" applyFill="1" applyBorder="1" applyAlignment="1" applyProtection="1">
      <alignment horizontal="center"/>
      <protection/>
    </xf>
    <xf numFmtId="0" fontId="5" fillId="2" borderId="42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/>
      <protection/>
    </xf>
    <xf numFmtId="0" fontId="10" fillId="2" borderId="37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5" fillId="2" borderId="43" xfId="0" applyFont="1" applyFill="1" applyBorder="1" applyAlignment="1" applyProtection="1">
      <alignment horizontal="center"/>
      <protection/>
    </xf>
    <xf numFmtId="0" fontId="5" fillId="2" borderId="31" xfId="0" applyFont="1" applyFill="1" applyBorder="1" applyAlignment="1" applyProtection="1">
      <alignment/>
      <protection/>
    </xf>
    <xf numFmtId="4" fontId="5" fillId="2" borderId="38" xfId="0" applyNumberFormat="1" applyFont="1" applyFill="1" applyBorder="1" applyAlignment="1" applyProtection="1">
      <alignment/>
      <protection/>
    </xf>
    <xf numFmtId="0" fontId="3" fillId="2" borderId="43" xfId="0" applyFont="1" applyFill="1" applyBorder="1" applyAlignment="1" applyProtection="1">
      <alignment horizontal="center"/>
      <protection/>
    </xf>
    <xf numFmtId="0" fontId="3" fillId="2" borderId="31" xfId="0" applyFont="1" applyFill="1" applyBorder="1" applyAlignment="1" applyProtection="1">
      <alignment/>
      <protection/>
    </xf>
    <xf numFmtId="0" fontId="2" fillId="2" borderId="44" xfId="0" applyFont="1" applyFill="1" applyBorder="1" applyAlignment="1" applyProtection="1">
      <alignment horizontal="center"/>
      <protection/>
    </xf>
    <xf numFmtId="0" fontId="2" fillId="2" borderId="32" xfId="0" applyFont="1" applyFill="1" applyBorder="1" applyAlignment="1" applyProtection="1">
      <alignment/>
      <protection/>
    </xf>
    <xf numFmtId="4" fontId="2" fillId="2" borderId="39" xfId="0" applyNumberFormat="1" applyFont="1" applyFill="1" applyBorder="1" applyAlignment="1" applyProtection="1">
      <alignment/>
      <protection/>
    </xf>
    <xf numFmtId="0" fontId="2" fillId="2" borderId="45" xfId="0" applyFont="1" applyFill="1" applyBorder="1" applyAlignment="1" applyProtection="1">
      <alignment horizontal="center"/>
      <protection/>
    </xf>
    <xf numFmtId="0" fontId="2" fillId="2" borderId="33" xfId="0" applyFont="1" applyFill="1" applyBorder="1" applyAlignment="1" applyProtection="1">
      <alignment/>
      <protection/>
    </xf>
    <xf numFmtId="4" fontId="2" fillId="2" borderId="40" xfId="0" applyNumberFormat="1" applyFont="1" applyFill="1" applyBorder="1" applyAlignment="1" applyProtection="1">
      <alignment/>
      <protection/>
    </xf>
    <xf numFmtId="0" fontId="3" fillId="2" borderId="42" xfId="0" applyFont="1" applyFill="1" applyBorder="1" applyAlignment="1" applyProtection="1">
      <alignment horizontal="center"/>
      <protection/>
    </xf>
    <xf numFmtId="4" fontId="3" fillId="2" borderId="0" xfId="0" applyNumberFormat="1" applyFont="1" applyFill="1" applyBorder="1" applyAlignment="1" applyProtection="1">
      <alignment/>
      <protection/>
    </xf>
    <xf numFmtId="4" fontId="3" fillId="2" borderId="69" xfId="0" applyNumberFormat="1" applyFont="1" applyFill="1" applyBorder="1" applyAlignment="1" applyProtection="1">
      <alignment/>
      <protection/>
    </xf>
    <xf numFmtId="0" fontId="15" fillId="2" borderId="46" xfId="0" applyFont="1" applyFill="1" applyBorder="1" applyAlignment="1" applyProtection="1">
      <alignment horizontal="left"/>
      <protection/>
    </xf>
    <xf numFmtId="0" fontId="15" fillId="2" borderId="26" xfId="0" applyFont="1" applyFill="1" applyBorder="1" applyAlignment="1" applyProtection="1">
      <alignment/>
      <protection/>
    </xf>
    <xf numFmtId="4" fontId="15" fillId="2" borderId="26" xfId="0" applyNumberFormat="1" applyFont="1" applyFill="1" applyBorder="1" applyAlignment="1" applyProtection="1">
      <alignment/>
      <protection/>
    </xf>
    <xf numFmtId="4" fontId="15" fillId="2" borderId="84" xfId="0" applyNumberFormat="1" applyFont="1" applyFill="1" applyBorder="1" applyAlignment="1" applyProtection="1">
      <alignment/>
      <protection/>
    </xf>
    <xf numFmtId="0" fontId="29" fillId="2" borderId="0" xfId="0" applyFont="1" applyFill="1" applyBorder="1" applyAlignment="1" applyProtection="1">
      <alignment horizontal="right"/>
      <protection/>
    </xf>
    <xf numFmtId="0" fontId="2" fillId="2" borderId="108" xfId="0" applyFont="1" applyFill="1" applyBorder="1" applyAlignment="1" applyProtection="1">
      <alignment vertical="center"/>
      <protection locked="0"/>
    </xf>
    <xf numFmtId="0" fontId="2" fillId="2" borderId="39" xfId="0" applyFont="1" applyFill="1" applyBorder="1" applyAlignment="1" applyProtection="1">
      <alignment vertical="center"/>
      <protection locked="0"/>
    </xf>
    <xf numFmtId="0" fontId="2" fillId="2" borderId="40" xfId="0" applyFont="1" applyFill="1" applyBorder="1" applyAlignment="1" applyProtection="1">
      <alignment vertical="center"/>
      <protection locked="0"/>
    </xf>
    <xf numFmtId="4" fontId="2" fillId="2" borderId="52" xfId="0" applyNumberFormat="1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 applyProtection="1">
      <alignment vertical="center"/>
      <protection locked="0"/>
    </xf>
    <xf numFmtId="4" fontId="2" fillId="2" borderId="44" xfId="0" applyNumberFormat="1" applyFont="1" applyFill="1" applyBorder="1" applyAlignment="1" applyProtection="1">
      <alignment vertical="center"/>
      <protection locked="0"/>
    </xf>
    <xf numFmtId="4" fontId="2" fillId="2" borderId="55" xfId="0" applyNumberFormat="1" applyFont="1" applyFill="1" applyBorder="1" applyAlignment="1" applyProtection="1">
      <alignment vertical="center"/>
      <protection locked="0"/>
    </xf>
    <xf numFmtId="0" fontId="2" fillId="2" borderId="56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 applyProtection="1">
      <alignment horizontal="center" vertical="center"/>
      <protection locked="0"/>
    </xf>
    <xf numFmtId="4" fontId="44" fillId="25" borderId="55" xfId="0" applyNumberFormat="1" applyFont="1" applyFill="1" applyBorder="1" applyAlignment="1" applyProtection="1">
      <alignment horizontal="center" vertical="center"/>
      <protection/>
    </xf>
    <xf numFmtId="4" fontId="45" fillId="25" borderId="57" xfId="0" applyNumberFormat="1" applyFont="1" applyFill="1" applyBorder="1" applyAlignment="1" applyProtection="1">
      <alignment horizontal="left" vertical="center"/>
      <protection/>
    </xf>
    <xf numFmtId="4" fontId="45" fillId="25" borderId="57" xfId="0" applyNumberFormat="1" applyFont="1" applyFill="1" applyBorder="1" applyAlignment="1" applyProtection="1">
      <alignment horizontal="right" vertical="center"/>
      <protection/>
    </xf>
    <xf numFmtId="4" fontId="39" fillId="25" borderId="59" xfId="0" applyNumberFormat="1" applyFont="1" applyFill="1" applyBorder="1" applyAlignment="1" applyProtection="1">
      <alignment horizontal="left"/>
      <protection locked="0"/>
    </xf>
    <xf numFmtId="4" fontId="44" fillId="25" borderId="57" xfId="0" applyNumberFormat="1" applyFont="1" applyFill="1" applyBorder="1" applyAlignment="1" applyProtection="1">
      <alignment horizontal="right" vertical="center"/>
      <protection/>
    </xf>
    <xf numFmtId="4" fontId="10" fillId="0" borderId="23" xfId="0" applyNumberFormat="1" applyFont="1" applyFill="1" applyBorder="1" applyAlignment="1" applyProtection="1">
      <alignment horizontal="left" vertical="center"/>
      <protection locked="0"/>
    </xf>
    <xf numFmtId="4" fontId="10" fillId="0" borderId="0" xfId="0" applyNumberFormat="1" applyFont="1" applyFill="1" applyBorder="1" applyAlignment="1" applyProtection="1">
      <alignment horizontal="left" vertical="center"/>
      <protection locked="0"/>
    </xf>
    <xf numFmtId="0" fontId="5" fillId="6" borderId="132" xfId="0" applyFont="1" applyFill="1" applyBorder="1" applyAlignment="1">
      <alignment vertical="center"/>
    </xf>
    <xf numFmtId="0" fontId="7" fillId="6" borderId="133" xfId="0" applyFont="1" applyFill="1" applyBorder="1" applyAlignment="1">
      <alignment horizontal="center" vertical="center"/>
    </xf>
    <xf numFmtId="4" fontId="5" fillId="6" borderId="136" xfId="0" applyNumberFormat="1" applyFont="1" applyFill="1" applyBorder="1" applyAlignment="1">
      <alignment vertical="center"/>
    </xf>
    <xf numFmtId="4" fontId="2" fillId="2" borderId="45" xfId="0" applyNumberFormat="1" applyFont="1" applyFill="1" applyBorder="1" applyAlignment="1" applyProtection="1">
      <alignment horizontal="left" vertical="center"/>
      <protection locked="0"/>
    </xf>
    <xf numFmtId="0" fontId="2" fillId="2" borderId="56" xfId="0" applyNumberFormat="1" applyFont="1" applyFill="1" applyBorder="1" applyAlignment="1" applyProtection="1">
      <alignment horizontal="center" vertical="center"/>
      <protection locked="0"/>
    </xf>
    <xf numFmtId="0" fontId="2" fillId="2" borderId="40" xfId="0" applyNumberFormat="1" applyFont="1" applyFill="1" applyBorder="1" applyAlignment="1" applyProtection="1">
      <alignment horizontal="center" vertical="center"/>
      <protection locked="0"/>
    </xf>
    <xf numFmtId="4" fontId="2" fillId="2" borderId="98" xfId="0" applyNumberFormat="1" applyFont="1" applyFill="1" applyBorder="1" applyAlignment="1" applyProtection="1">
      <alignment vertical="center"/>
      <protection locked="0"/>
    </xf>
    <xf numFmtId="0" fontId="9" fillId="2" borderId="45" xfId="0" applyFont="1" applyFill="1" applyBorder="1" applyAlignment="1" applyProtection="1">
      <alignment vertical="center"/>
      <protection locked="0"/>
    </xf>
    <xf numFmtId="0" fontId="2" fillId="2" borderId="82" xfId="0" applyFont="1" applyFill="1" applyBorder="1" applyAlignment="1" applyProtection="1">
      <alignment vertical="center"/>
      <protection locked="0"/>
    </xf>
    <xf numFmtId="0" fontId="2" fillId="2" borderId="83" xfId="0" applyFont="1" applyFill="1" applyBorder="1" applyAlignment="1" applyProtection="1">
      <alignment vertical="center"/>
      <protection locked="0"/>
    </xf>
    <xf numFmtId="4" fontId="2" fillId="2" borderId="101" xfId="0" applyNumberFormat="1" applyFont="1" applyFill="1" applyBorder="1" applyAlignment="1" applyProtection="1">
      <alignment horizontal="left" vertical="center"/>
      <protection locked="0"/>
    </xf>
    <xf numFmtId="0" fontId="2" fillId="2" borderId="101" xfId="0" applyFont="1" applyFill="1" applyBorder="1" applyAlignment="1" applyProtection="1">
      <alignment horizontal="left" vertical="center"/>
      <protection locked="0"/>
    </xf>
    <xf numFmtId="4" fontId="2" fillId="2" borderId="40" xfId="0" applyNumberFormat="1" applyFont="1" applyFill="1" applyBorder="1" applyAlignment="1" applyProtection="1">
      <alignment vertical="center"/>
      <protection locked="0"/>
    </xf>
    <xf numFmtId="4" fontId="2" fillId="2" borderId="40" xfId="0" applyNumberFormat="1" applyFont="1" applyFill="1" applyBorder="1" applyAlignment="1" applyProtection="1">
      <alignment horizontal="right" vertical="center"/>
      <protection locked="0"/>
    </xf>
    <xf numFmtId="4" fontId="2" fillId="2" borderId="45" xfId="0" applyNumberFormat="1" applyFont="1" applyFill="1" applyBorder="1" applyAlignment="1" applyProtection="1">
      <alignment vertical="center"/>
      <protection locked="0"/>
    </xf>
    <xf numFmtId="4" fontId="2" fillId="2" borderId="82" xfId="0" applyNumberFormat="1" applyFont="1" applyFill="1" applyBorder="1" applyAlignment="1" applyProtection="1">
      <alignment vertical="center"/>
      <protection locked="0"/>
    </xf>
    <xf numFmtId="4" fontId="2" fillId="2" borderId="83" xfId="0" applyNumberFormat="1" applyFont="1" applyFill="1" applyBorder="1" applyAlignment="1" applyProtection="1">
      <alignment horizontal="left" vertical="center"/>
      <protection locked="0"/>
    </xf>
    <xf numFmtId="4" fontId="2" fillId="2" borderId="82" xfId="0" applyNumberFormat="1" applyFont="1" applyFill="1" applyBorder="1" applyAlignment="1" applyProtection="1">
      <alignment horizontal="left" vertical="center"/>
      <protection locked="0"/>
    </xf>
    <xf numFmtId="4" fontId="2" fillId="2" borderId="39" xfId="0" applyNumberFormat="1" applyFont="1" applyFill="1" applyBorder="1" applyAlignment="1" applyProtection="1">
      <alignment vertical="center"/>
      <protection locked="0"/>
    </xf>
    <xf numFmtId="0" fontId="9" fillId="2" borderId="30" xfId="0" applyFont="1" applyFill="1" applyBorder="1" applyAlignment="1" applyProtection="1">
      <alignment/>
      <protection locked="0"/>
    </xf>
    <xf numFmtId="0" fontId="9" fillId="2" borderId="29" xfId="0" applyFont="1" applyFill="1" applyBorder="1" applyAlignment="1" applyProtection="1">
      <alignment/>
      <protection locked="0"/>
    </xf>
    <xf numFmtId="0" fontId="9" fillId="2" borderId="28" xfId="0" applyFont="1" applyFill="1" applyBorder="1" applyAlignment="1" applyProtection="1">
      <alignment/>
      <protection locked="0"/>
    </xf>
    <xf numFmtId="0" fontId="51" fillId="0" borderId="137" xfId="0" applyFont="1" applyBorder="1" applyAlignment="1" applyProtection="1">
      <alignment vertical="center"/>
      <protection locked="0"/>
    </xf>
    <xf numFmtId="164" fontId="9" fillId="2" borderId="30" xfId="0" applyNumberFormat="1" applyFont="1" applyFill="1" applyBorder="1" applyAlignment="1" applyProtection="1">
      <alignment horizontal="center"/>
      <protection locked="0"/>
    </xf>
    <xf numFmtId="164" fontId="9" fillId="2" borderId="29" xfId="0" applyNumberFormat="1" applyFont="1" applyFill="1" applyBorder="1" applyAlignment="1" applyProtection="1">
      <alignment horizontal="center"/>
      <protection locked="0"/>
    </xf>
    <xf numFmtId="0" fontId="10" fillId="2" borderId="29" xfId="0" applyFont="1" applyFill="1" applyBorder="1" applyAlignment="1" applyProtection="1">
      <alignment/>
      <protection locked="0"/>
    </xf>
    <xf numFmtId="0" fontId="10" fillId="2" borderId="29" xfId="0" applyFont="1" applyFill="1" applyBorder="1" applyAlignment="1" applyProtection="1">
      <alignment horizontal="center"/>
      <protection locked="0"/>
    </xf>
    <xf numFmtId="10" fontId="10" fillId="2" borderId="29" xfId="0" applyNumberFormat="1" applyFont="1" applyFill="1" applyBorder="1" applyAlignment="1" applyProtection="1">
      <alignment horizontal="center"/>
      <protection locked="0"/>
    </xf>
    <xf numFmtId="3" fontId="10" fillId="2" borderId="29" xfId="0" applyNumberFormat="1" applyFont="1" applyFill="1" applyBorder="1" applyAlignment="1" applyProtection="1">
      <alignment horizontal="center"/>
      <protection locked="0"/>
    </xf>
    <xf numFmtId="3" fontId="10" fillId="2" borderId="29" xfId="0" applyNumberFormat="1" applyFont="1" applyFill="1" applyBorder="1" applyAlignment="1" applyProtection="1" quotePrefix="1">
      <alignment horizontal="center"/>
      <protection locked="0"/>
    </xf>
    <xf numFmtId="4" fontId="10" fillId="2" borderId="29" xfId="0" applyNumberFormat="1" applyFont="1" applyFill="1" applyBorder="1" applyAlignment="1" applyProtection="1">
      <alignment/>
      <protection locked="0"/>
    </xf>
    <xf numFmtId="0" fontId="10" fillId="2" borderId="30" xfId="0" applyFont="1" applyFill="1" applyBorder="1" applyAlignment="1" applyProtection="1">
      <alignment/>
      <protection locked="0"/>
    </xf>
    <xf numFmtId="0" fontId="10" fillId="2" borderId="30" xfId="0" applyFont="1" applyFill="1" applyBorder="1" applyAlignment="1" applyProtection="1">
      <alignment horizontal="center"/>
      <protection locked="0"/>
    </xf>
    <xf numFmtId="10" fontId="10" fillId="2" borderId="30" xfId="0" applyNumberFormat="1" applyFont="1" applyFill="1" applyBorder="1" applyAlignment="1" applyProtection="1">
      <alignment horizontal="center"/>
      <protection locked="0"/>
    </xf>
    <xf numFmtId="3" fontId="10" fillId="2" borderId="30" xfId="0" applyNumberFormat="1" applyFont="1" applyFill="1" applyBorder="1" applyAlignment="1" applyProtection="1">
      <alignment horizontal="center"/>
      <protection locked="0"/>
    </xf>
    <xf numFmtId="4" fontId="10" fillId="2" borderId="30" xfId="0" applyNumberFormat="1" applyFont="1" applyFill="1" applyBorder="1" applyAlignment="1" applyProtection="1">
      <alignment/>
      <protection locked="0"/>
    </xf>
    <xf numFmtId="0" fontId="10" fillId="2" borderId="29" xfId="0" applyFont="1" applyFill="1" applyBorder="1" applyAlignment="1" applyProtection="1" quotePrefix="1">
      <alignment horizontal="center"/>
      <protection locked="0"/>
    </xf>
    <xf numFmtId="4" fontId="10" fillId="0" borderId="23" xfId="0" applyNumberFormat="1" applyFont="1" applyFill="1" applyBorder="1" applyAlignment="1" applyProtection="1">
      <alignment horizontal="left"/>
      <protection locked="0"/>
    </xf>
    <xf numFmtId="4" fontId="10" fillId="0" borderId="0" xfId="0" applyNumberFormat="1" applyFont="1" applyFill="1" applyBorder="1" applyAlignment="1" applyProtection="1">
      <alignment horizontal="left"/>
      <protection locked="0"/>
    </xf>
    <xf numFmtId="14" fontId="2" fillId="2" borderId="56" xfId="0" applyNumberFormat="1" applyFont="1" applyFill="1" applyBorder="1" applyAlignment="1" applyProtection="1">
      <alignment horizontal="center" vertical="center"/>
      <protection locked="0"/>
    </xf>
    <xf numFmtId="0" fontId="2" fillId="2" borderId="52" xfId="0" applyFont="1" applyFill="1" applyBorder="1" applyAlignment="1" applyProtection="1">
      <alignment horizontal="left" vertical="center"/>
      <protection locked="0"/>
    </xf>
    <xf numFmtId="0" fontId="2" fillId="2" borderId="55" xfId="0" applyFont="1" applyFill="1" applyBorder="1" applyAlignment="1" applyProtection="1">
      <alignment horizontal="left" vertical="center"/>
      <protection locked="0"/>
    </xf>
    <xf numFmtId="0" fontId="2" fillId="2" borderId="57" xfId="0" applyFont="1" applyFill="1" applyBorder="1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/>
      <protection locked="0"/>
    </xf>
    <xf numFmtId="1" fontId="4" fillId="6" borderId="0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 applyProtection="1">
      <alignment horizontal="center" vertical="center"/>
      <protection locked="0"/>
    </xf>
    <xf numFmtId="0" fontId="5" fillId="2" borderId="54" xfId="0" applyFont="1" applyFill="1" applyBorder="1" applyAlignment="1" applyProtection="1">
      <alignment horizontal="center" vertical="center"/>
      <protection locked="0"/>
    </xf>
    <xf numFmtId="0" fontId="5" fillId="2" borderId="6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/>
    </xf>
    <xf numFmtId="0" fontId="3" fillId="19" borderId="0" xfId="0" applyFont="1" applyFill="1" applyBorder="1" applyAlignment="1">
      <alignment horizontal="left" vertical="center"/>
    </xf>
    <xf numFmtId="1" fontId="4" fillId="6" borderId="0" xfId="0" applyNumberFormat="1" applyFont="1" applyFill="1" applyBorder="1" applyAlignment="1" applyProtection="1">
      <alignment horizontal="center" vertical="center"/>
      <protection/>
    </xf>
    <xf numFmtId="0" fontId="10" fillId="2" borderId="26" xfId="0" applyFont="1" applyFill="1" applyBorder="1" applyAlignment="1" applyProtection="1">
      <alignment horizontal="left"/>
      <protection/>
    </xf>
    <xf numFmtId="0" fontId="3" fillId="19" borderId="0" xfId="0" applyFont="1" applyFill="1" applyBorder="1" applyAlignment="1" applyProtection="1">
      <alignment horizontal="left" vertical="center" wrapText="1"/>
      <protection/>
    </xf>
    <xf numFmtId="0" fontId="10" fillId="2" borderId="12" xfId="0" applyFont="1" applyFill="1" applyBorder="1" applyAlignment="1" applyProtection="1">
      <alignment horizontal="left" wrapText="1"/>
      <protection/>
    </xf>
    <xf numFmtId="0" fontId="10" fillId="2" borderId="29" xfId="0" applyFont="1" applyFill="1" applyBorder="1" applyAlignment="1" applyProtection="1">
      <alignment horizontal="left"/>
      <protection locked="0"/>
    </xf>
    <xf numFmtId="0" fontId="10" fillId="2" borderId="12" xfId="0" applyFont="1" applyFill="1" applyBorder="1" applyAlignment="1" applyProtection="1">
      <alignment horizontal="right"/>
      <protection/>
    </xf>
    <xf numFmtId="0" fontId="10" fillId="20" borderId="12" xfId="0" applyFont="1" applyFill="1" applyBorder="1" applyAlignment="1" applyProtection="1">
      <alignment horizontal="right"/>
      <protection/>
    </xf>
    <xf numFmtId="0" fontId="10" fillId="2" borderId="26" xfId="0" applyFont="1" applyFill="1" applyBorder="1" applyAlignment="1">
      <alignment horizontal="left"/>
    </xf>
    <xf numFmtId="0" fontId="3" fillId="19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/>
      <protection/>
    </xf>
    <xf numFmtId="4" fontId="13" fillId="6" borderId="60" xfId="0" applyNumberFormat="1" applyFont="1" applyFill="1" applyBorder="1" applyAlignment="1" applyProtection="1">
      <alignment horizontal="center" vertical="center"/>
      <protection/>
    </xf>
    <xf numFmtId="4" fontId="13" fillId="6" borderId="68" xfId="0" applyNumberFormat="1" applyFont="1" applyFill="1" applyBorder="1" applyAlignment="1" applyProtection="1">
      <alignment horizontal="center" vertical="center"/>
      <protection/>
    </xf>
    <xf numFmtId="4" fontId="13" fillId="6" borderId="61" xfId="0" applyNumberFormat="1" applyFont="1" applyFill="1" applyBorder="1" applyAlignment="1" applyProtection="1">
      <alignment horizontal="center" vertical="center"/>
      <protection/>
    </xf>
    <xf numFmtId="4" fontId="13" fillId="6" borderId="43" xfId="0" applyNumberFormat="1" applyFont="1" applyFill="1" applyBorder="1" applyAlignment="1" applyProtection="1">
      <alignment horizontal="center" vertical="center"/>
      <protection/>
    </xf>
    <xf numFmtId="4" fontId="13" fillId="6" borderId="31" xfId="0" applyNumberFormat="1" applyFont="1" applyFill="1" applyBorder="1" applyAlignment="1" applyProtection="1">
      <alignment horizontal="center" vertical="center"/>
      <protection/>
    </xf>
    <xf numFmtId="4" fontId="13" fillId="6" borderId="63" xfId="0" applyNumberFormat="1" applyFont="1" applyFill="1" applyBorder="1" applyAlignment="1" applyProtection="1">
      <alignment horizontal="center" vertical="center"/>
      <protection/>
    </xf>
    <xf numFmtId="4" fontId="13" fillId="6" borderId="62" xfId="0" applyNumberFormat="1" applyFont="1" applyFill="1" applyBorder="1" applyAlignment="1" applyProtection="1">
      <alignment horizontal="center" vertical="center"/>
      <protection/>
    </xf>
    <xf numFmtId="4" fontId="13" fillId="6" borderId="38" xfId="0" applyNumberFormat="1" applyFont="1" applyFill="1" applyBorder="1" applyAlignment="1" applyProtection="1">
      <alignment horizontal="center" vertical="center"/>
      <protection/>
    </xf>
    <xf numFmtId="0" fontId="5" fillId="6" borderId="60" xfId="0" applyFont="1" applyFill="1" applyBorder="1" applyAlignment="1" applyProtection="1">
      <alignment vertical="center" wrapText="1"/>
      <protection/>
    </xf>
    <xf numFmtId="0" fontId="0" fillId="0" borderId="68" xfId="0" applyBorder="1" applyAlignment="1" applyProtection="1">
      <alignment vertical="center" wrapText="1"/>
      <protection/>
    </xf>
    <xf numFmtId="0" fontId="0" fillId="0" borderId="61" xfId="0" applyBorder="1" applyAlignment="1" applyProtection="1">
      <alignment vertical="center" wrapText="1"/>
      <protection/>
    </xf>
    <xf numFmtId="0" fontId="0" fillId="0" borderId="43" xfId="0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0" fontId="0" fillId="0" borderId="63" xfId="0" applyBorder="1" applyAlignment="1" applyProtection="1">
      <alignment vertical="center" wrapText="1"/>
      <protection/>
    </xf>
    <xf numFmtId="0" fontId="2" fillId="2" borderId="44" xfId="0" applyFont="1" applyFill="1" applyBorder="1" applyAlignment="1" applyProtection="1">
      <alignment horizontal="left" vertical="center"/>
      <protection/>
    </xf>
    <xf numFmtId="0" fontId="2" fillId="2" borderId="32" xfId="0" applyFont="1" applyFill="1" applyBorder="1" applyAlignment="1" applyProtection="1">
      <alignment horizontal="left" vertical="center"/>
      <protection/>
    </xf>
    <xf numFmtId="0" fontId="2" fillId="2" borderId="72" xfId="0" applyFont="1" applyFill="1" applyBorder="1" applyAlignment="1" applyProtection="1">
      <alignment horizontal="left" vertical="center"/>
      <protection/>
    </xf>
    <xf numFmtId="0" fontId="2" fillId="2" borderId="45" xfId="0" applyFont="1" applyFill="1" applyBorder="1" applyAlignment="1" applyProtection="1">
      <alignment horizontal="left" vertical="center"/>
      <protection/>
    </xf>
    <xf numFmtId="0" fontId="2" fillId="2" borderId="33" xfId="0" applyFont="1" applyFill="1" applyBorder="1" applyAlignment="1" applyProtection="1">
      <alignment horizontal="left" vertical="center"/>
      <protection/>
    </xf>
    <xf numFmtId="0" fontId="2" fillId="2" borderId="52" xfId="0" applyFont="1" applyFill="1" applyBorder="1" applyAlignment="1" applyProtection="1">
      <alignment horizontal="left" vertical="center"/>
      <protection/>
    </xf>
    <xf numFmtId="4" fontId="3" fillId="2" borderId="47" xfId="0" applyNumberFormat="1" applyFont="1" applyFill="1" applyBorder="1" applyAlignment="1" applyProtection="1">
      <alignment horizontal="left"/>
      <protection locked="0"/>
    </xf>
    <xf numFmtId="4" fontId="3" fillId="2" borderId="48" xfId="0" applyNumberFormat="1" applyFont="1" applyFill="1" applyBorder="1" applyAlignment="1" applyProtection="1">
      <alignment horizontal="left"/>
      <protection locked="0"/>
    </xf>
    <xf numFmtId="4" fontId="3" fillId="2" borderId="53" xfId="0" applyNumberFormat="1" applyFont="1" applyFill="1" applyBorder="1" applyAlignment="1" applyProtection="1">
      <alignment horizontal="left"/>
      <protection locked="0"/>
    </xf>
    <xf numFmtId="4" fontId="2" fillId="2" borderId="45" xfId="0" applyNumberFormat="1" applyFont="1" applyFill="1" applyBorder="1" applyAlignment="1" applyProtection="1">
      <alignment horizontal="left"/>
      <protection locked="0"/>
    </xf>
    <xf numFmtId="4" fontId="2" fillId="2" borderId="33" xfId="0" applyNumberFormat="1" applyFont="1" applyFill="1" applyBorder="1" applyAlignment="1" applyProtection="1">
      <alignment horizontal="left"/>
      <protection locked="0"/>
    </xf>
    <xf numFmtId="4" fontId="2" fillId="2" borderId="52" xfId="0" applyNumberFormat="1" applyFont="1" applyFill="1" applyBorder="1" applyAlignment="1" applyProtection="1">
      <alignment horizontal="left"/>
      <protection locked="0"/>
    </xf>
    <xf numFmtId="0" fontId="3" fillId="6" borderId="42" xfId="0" applyFont="1" applyFill="1" applyBorder="1" applyAlignment="1" applyProtection="1">
      <alignment horizontal="left"/>
      <protection/>
    </xf>
    <xf numFmtId="0" fontId="3" fillId="6" borderId="0" xfId="0" applyFont="1" applyFill="1" applyBorder="1" applyAlignment="1" applyProtection="1">
      <alignment horizontal="left"/>
      <protection/>
    </xf>
    <xf numFmtId="0" fontId="3" fillId="6" borderId="69" xfId="0" applyFont="1" applyFill="1" applyBorder="1" applyAlignment="1" applyProtection="1">
      <alignment horizontal="left"/>
      <protection/>
    </xf>
    <xf numFmtId="0" fontId="3" fillId="6" borderId="60" xfId="0" applyFont="1" applyFill="1" applyBorder="1" applyAlignment="1" applyProtection="1">
      <alignment horizontal="center"/>
      <protection/>
    </xf>
    <xf numFmtId="0" fontId="3" fillId="6" borderId="68" xfId="0" applyFont="1" applyFill="1" applyBorder="1" applyAlignment="1" applyProtection="1">
      <alignment horizontal="center"/>
      <protection/>
    </xf>
    <xf numFmtId="0" fontId="3" fillId="6" borderId="61" xfId="0" applyFont="1" applyFill="1" applyBorder="1" applyAlignment="1" applyProtection="1">
      <alignment horizontal="center"/>
      <protection/>
    </xf>
    <xf numFmtId="0" fontId="10" fillId="2" borderId="42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69" xfId="0" applyFont="1" applyFill="1" applyBorder="1" applyAlignment="1" applyProtection="1">
      <alignment horizontal="left"/>
      <protection locked="0"/>
    </xf>
    <xf numFmtId="0" fontId="10" fillId="2" borderId="43" xfId="0" applyFont="1" applyFill="1" applyBorder="1" applyAlignment="1" applyProtection="1">
      <alignment horizontal="left"/>
      <protection locked="0"/>
    </xf>
    <xf numFmtId="0" fontId="10" fillId="2" borderId="31" xfId="0" applyFont="1" applyFill="1" applyBorder="1" applyAlignment="1" applyProtection="1">
      <alignment horizontal="left"/>
      <protection locked="0"/>
    </xf>
    <xf numFmtId="0" fontId="10" fillId="2" borderId="63" xfId="0" applyFont="1" applyFill="1" applyBorder="1" applyAlignment="1" applyProtection="1">
      <alignment horizontal="left"/>
      <protection locked="0"/>
    </xf>
    <xf numFmtId="4" fontId="3" fillId="2" borderId="58" xfId="0" applyNumberFormat="1" applyFont="1" applyFill="1" applyBorder="1" applyAlignment="1" applyProtection="1">
      <alignment horizontal="left"/>
      <protection locked="0"/>
    </xf>
    <xf numFmtId="4" fontId="3" fillId="2" borderId="54" xfId="0" applyNumberFormat="1" applyFont="1" applyFill="1" applyBorder="1" applyAlignment="1" applyProtection="1">
      <alignment horizontal="left"/>
      <protection locked="0"/>
    </xf>
    <xf numFmtId="4" fontId="3" fillId="2" borderId="67" xfId="0" applyNumberFormat="1" applyFont="1" applyFill="1" applyBorder="1" applyAlignment="1" applyProtection="1">
      <alignment horizontal="left"/>
      <protection locked="0"/>
    </xf>
    <xf numFmtId="4" fontId="2" fillId="2" borderId="44" xfId="0" applyNumberFormat="1" applyFont="1" applyFill="1" applyBorder="1" applyAlignment="1" applyProtection="1">
      <alignment horizontal="left"/>
      <protection locked="0"/>
    </xf>
    <xf numFmtId="4" fontId="2" fillId="2" borderId="32" xfId="0" applyNumberFormat="1" applyFont="1" applyFill="1" applyBorder="1" applyAlignment="1" applyProtection="1">
      <alignment horizontal="left"/>
      <protection locked="0"/>
    </xf>
    <xf numFmtId="4" fontId="2" fillId="2" borderId="72" xfId="0" applyNumberFormat="1" applyFont="1" applyFill="1" applyBorder="1" applyAlignment="1" applyProtection="1">
      <alignment horizontal="left"/>
      <protection locked="0"/>
    </xf>
    <xf numFmtId="0" fontId="6" fillId="6" borderId="60" xfId="0" applyFont="1" applyFill="1" applyBorder="1" applyAlignment="1" applyProtection="1">
      <alignment horizontal="center" vertical="center"/>
      <protection/>
    </xf>
    <xf numFmtId="0" fontId="6" fillId="6" borderId="42" xfId="0" applyFont="1" applyFill="1" applyBorder="1" applyAlignment="1" applyProtection="1">
      <alignment horizontal="center" vertical="center"/>
      <protection/>
    </xf>
    <xf numFmtId="0" fontId="6" fillId="6" borderId="61" xfId="0" applyFont="1" applyFill="1" applyBorder="1" applyAlignment="1" applyProtection="1">
      <alignment horizontal="left" vertical="center"/>
      <protection/>
    </xf>
    <xf numFmtId="0" fontId="6" fillId="6" borderId="69" xfId="0" applyFont="1" applyFill="1" applyBorder="1" applyAlignment="1" applyProtection="1">
      <alignment horizontal="left" vertical="center"/>
      <protection/>
    </xf>
    <xf numFmtId="4" fontId="8" fillId="6" borderId="60" xfId="0" applyNumberFormat="1" applyFont="1" applyFill="1" applyBorder="1" applyAlignment="1">
      <alignment horizontal="center" vertical="center"/>
    </xf>
    <xf numFmtId="4" fontId="8" fillId="6" borderId="68" xfId="0" applyNumberFormat="1" applyFont="1" applyFill="1" applyBorder="1" applyAlignment="1">
      <alignment horizontal="center" vertical="center"/>
    </xf>
    <xf numFmtId="4" fontId="8" fillId="6" borderId="61" xfId="0" applyNumberFormat="1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2" fillId="6" borderId="60" xfId="0" applyFont="1" applyFill="1" applyBorder="1" applyAlignment="1">
      <alignment horizontal="center" vertical="center"/>
    </xf>
    <xf numFmtId="0" fontId="2" fillId="6" borderId="61" xfId="0" applyFont="1" applyFill="1" applyBorder="1" applyAlignment="1">
      <alignment horizontal="center" vertical="center"/>
    </xf>
    <xf numFmtId="0" fontId="20" fillId="6" borderId="62" xfId="195" applyFont="1" applyFill="1" applyBorder="1" applyAlignment="1">
      <alignment horizontal="center" wrapText="1"/>
      <protection/>
    </xf>
    <xf numFmtId="0" fontId="20" fillId="6" borderId="38" xfId="195" applyFont="1" applyFill="1" applyBorder="1" applyAlignment="1">
      <alignment horizontal="center" wrapText="1"/>
      <protection/>
    </xf>
    <xf numFmtId="0" fontId="3" fillId="6" borderId="58" xfId="0" applyFont="1" applyFill="1" applyBorder="1" applyAlignment="1">
      <alignment horizontal="center" vertical="center"/>
    </xf>
    <xf numFmtId="0" fontId="3" fillId="6" borderId="54" xfId="0" applyFont="1" applyFill="1" applyBorder="1" applyAlignment="1">
      <alignment horizontal="center" vertical="center"/>
    </xf>
    <xf numFmtId="0" fontId="3" fillId="6" borderId="67" xfId="0" applyFont="1" applyFill="1" applyBorder="1" applyAlignment="1">
      <alignment horizontal="center" vertical="center"/>
    </xf>
    <xf numFmtId="0" fontId="2" fillId="2" borderId="45" xfId="0" applyFont="1" applyFill="1" applyBorder="1" applyAlignment="1" applyProtection="1">
      <alignment horizontal="left" vertical="center"/>
      <protection locked="0"/>
    </xf>
    <xf numFmtId="0" fontId="2" fillId="2" borderId="52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 applyProtection="1">
      <alignment horizontal="left" vertical="center"/>
      <protection locked="0"/>
    </xf>
    <xf numFmtId="0" fontId="3" fillId="2" borderId="3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2" fillId="2" borderId="108" xfId="0" applyFont="1" applyFill="1" applyBorder="1" applyAlignment="1" applyProtection="1">
      <alignment horizontal="left" vertical="center"/>
      <protection locked="0"/>
    </xf>
    <xf numFmtId="0" fontId="2" fillId="2" borderId="106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2" borderId="47" xfId="0" applyFont="1" applyFill="1" applyBorder="1" applyAlignment="1" applyProtection="1">
      <alignment horizontal="left" vertical="center"/>
      <protection locked="0"/>
    </xf>
    <xf numFmtId="0" fontId="2" fillId="2" borderId="53" xfId="0" applyFont="1" applyFill="1" applyBorder="1" applyAlignment="1" applyProtection="1">
      <alignment horizontal="left" vertical="center"/>
      <protection locked="0"/>
    </xf>
    <xf numFmtId="0" fontId="2" fillId="2" borderId="106" xfId="0" applyFont="1" applyFill="1" applyBorder="1" applyAlignment="1" applyProtection="1">
      <alignment horizontal="left" vertical="center"/>
      <protection locked="0"/>
    </xf>
    <xf numFmtId="0" fontId="3" fillId="2" borderId="49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4" fontId="2" fillId="2" borderId="45" xfId="0" applyNumberFormat="1" applyFont="1" applyFill="1" applyBorder="1" applyAlignment="1" applyProtection="1">
      <alignment horizontal="left" vertical="center"/>
      <protection locked="0"/>
    </xf>
    <xf numFmtId="4" fontId="2" fillId="2" borderId="52" xfId="0" applyNumberFormat="1" applyFont="1" applyFill="1" applyBorder="1" applyAlignment="1" applyProtection="1">
      <alignment horizontal="left" vertical="center"/>
      <protection locked="0"/>
    </xf>
    <xf numFmtId="4" fontId="2" fillId="2" borderId="45" xfId="0" applyNumberFormat="1" applyFont="1" applyFill="1" applyBorder="1" applyAlignment="1" applyProtection="1">
      <alignment horizontal="left" vertical="center"/>
      <protection locked="0"/>
    </xf>
    <xf numFmtId="0" fontId="3" fillId="6" borderId="43" xfId="0" applyFont="1" applyFill="1" applyBorder="1" applyAlignment="1">
      <alignment horizontal="center" vertical="center"/>
    </xf>
    <xf numFmtId="0" fontId="3" fillId="6" borderId="63" xfId="0" applyFont="1" applyFill="1" applyBorder="1" applyAlignment="1">
      <alignment horizontal="center" vertical="center"/>
    </xf>
    <xf numFmtId="4" fontId="2" fillId="2" borderId="44" xfId="0" applyNumberFormat="1" applyFont="1" applyFill="1" applyBorder="1" applyAlignment="1" applyProtection="1">
      <alignment horizontal="left" vertical="center"/>
      <protection locked="0"/>
    </xf>
    <xf numFmtId="4" fontId="2" fillId="2" borderId="72" xfId="0" applyNumberFormat="1" applyFont="1" applyFill="1" applyBorder="1" applyAlignment="1" applyProtection="1">
      <alignment horizontal="left" vertical="center"/>
      <protection locked="0"/>
    </xf>
    <xf numFmtId="4" fontId="2" fillId="2" borderId="47" xfId="0" applyNumberFormat="1" applyFont="1" applyFill="1" applyBorder="1" applyAlignment="1" applyProtection="1">
      <alignment horizontal="left" vertical="center"/>
      <protection locked="0"/>
    </xf>
    <xf numFmtId="4" fontId="2" fillId="2" borderId="53" xfId="0" applyNumberFormat="1" applyFont="1" applyFill="1" applyBorder="1" applyAlignment="1" applyProtection="1">
      <alignment horizontal="left" vertical="center"/>
      <protection locked="0"/>
    </xf>
    <xf numFmtId="4" fontId="2" fillId="2" borderId="52" xfId="0" applyNumberFormat="1" applyFont="1" applyFill="1" applyBorder="1" applyAlignment="1" applyProtection="1">
      <alignment horizontal="left" vertical="center"/>
      <protection locked="0"/>
    </xf>
    <xf numFmtId="0" fontId="21" fillId="6" borderId="58" xfId="195" applyFont="1" applyFill="1" applyBorder="1" applyAlignment="1">
      <alignment horizontal="center" vertical="center" wrapText="1"/>
      <protection/>
    </xf>
    <xf numFmtId="0" fontId="21" fillId="6" borderId="67" xfId="195" applyFont="1" applyFill="1" applyBorder="1" applyAlignment="1">
      <alignment horizontal="center" vertical="center" wrapText="1"/>
      <protection/>
    </xf>
    <xf numFmtId="4" fontId="2" fillId="2" borderId="45" xfId="0" applyNumberFormat="1" applyFont="1" applyFill="1" applyBorder="1" applyAlignment="1" applyProtection="1">
      <alignment horizontal="center" vertical="center"/>
      <protection locked="0"/>
    </xf>
    <xf numFmtId="4" fontId="2" fillId="2" borderId="52" xfId="0" applyNumberFormat="1" applyFont="1" applyFill="1" applyBorder="1" applyAlignment="1" applyProtection="1">
      <alignment horizontal="center" vertical="center"/>
      <protection locked="0"/>
    </xf>
    <xf numFmtId="0" fontId="21" fillId="6" borderId="43" xfId="195" applyFont="1" applyFill="1" applyBorder="1" applyAlignment="1">
      <alignment horizontal="center" vertical="center" wrapText="1"/>
      <protection/>
    </xf>
    <xf numFmtId="0" fontId="21" fillId="6" borderId="63" xfId="195" applyFont="1" applyFill="1" applyBorder="1" applyAlignment="1">
      <alignment horizontal="center" vertical="center" wrapText="1"/>
      <protection/>
    </xf>
    <xf numFmtId="0" fontId="21" fillId="6" borderId="60" xfId="195" applyFont="1" applyFill="1" applyBorder="1" applyAlignment="1">
      <alignment horizontal="center" vertical="center" wrapText="1"/>
      <protection/>
    </xf>
    <xf numFmtId="0" fontId="21" fillId="6" borderId="61" xfId="195" applyFont="1" applyFill="1" applyBorder="1" applyAlignment="1">
      <alignment horizontal="center" vertical="center" wrapText="1"/>
      <protection/>
    </xf>
    <xf numFmtId="0" fontId="3" fillId="6" borderId="60" xfId="0" applyFont="1" applyFill="1" applyBorder="1" applyAlignment="1">
      <alignment horizontal="center" vertical="center"/>
    </xf>
    <xf numFmtId="0" fontId="3" fillId="6" borderId="61" xfId="0" applyFont="1" applyFill="1" applyBorder="1" applyAlignment="1">
      <alignment horizontal="center" vertical="center"/>
    </xf>
    <xf numFmtId="0" fontId="21" fillId="6" borderId="31" xfId="195" applyFont="1" applyFill="1" applyBorder="1" applyAlignment="1">
      <alignment horizontal="center" vertical="center" wrapText="1"/>
      <protection/>
    </xf>
    <xf numFmtId="0" fontId="21" fillId="6" borderId="138" xfId="195" applyFont="1" applyFill="1" applyBorder="1" applyAlignment="1">
      <alignment horizontal="center" vertical="center" wrapText="1"/>
      <protection/>
    </xf>
    <xf numFmtId="0" fontId="21" fillId="6" borderId="54" xfId="195" applyFont="1" applyFill="1" applyBorder="1" applyAlignment="1">
      <alignment horizontal="center" vertical="center" wrapText="1"/>
      <protection/>
    </xf>
    <xf numFmtId="0" fontId="21" fillId="6" borderId="139" xfId="195" applyFont="1" applyFill="1" applyBorder="1" applyAlignment="1">
      <alignment horizontal="center" vertical="center" wrapText="1"/>
      <protection/>
    </xf>
    <xf numFmtId="0" fontId="3" fillId="2" borderId="58" xfId="0" applyFont="1" applyFill="1" applyBorder="1" applyAlignment="1" applyProtection="1">
      <alignment horizontal="left" vertical="center"/>
      <protection/>
    </xf>
    <xf numFmtId="0" fontId="3" fillId="2" borderId="54" xfId="0" applyFont="1" applyFill="1" applyBorder="1" applyAlignment="1" applyProtection="1">
      <alignment horizontal="left" vertical="center"/>
      <protection/>
    </xf>
    <xf numFmtId="0" fontId="2" fillId="2" borderId="58" xfId="0" applyFont="1" applyFill="1" applyBorder="1" applyAlignment="1" applyProtection="1">
      <alignment horizontal="left" vertical="center"/>
      <protection/>
    </xf>
    <xf numFmtId="0" fontId="2" fillId="2" borderId="54" xfId="0" applyFont="1" applyFill="1" applyBorder="1" applyAlignment="1" applyProtection="1">
      <alignment horizontal="left" vertical="center"/>
      <protection/>
    </xf>
    <xf numFmtId="0" fontId="21" fillId="6" borderId="140" xfId="195" applyFont="1" applyFill="1" applyBorder="1" applyAlignment="1">
      <alignment horizontal="center" vertical="center" wrapText="1"/>
      <protection/>
    </xf>
    <xf numFmtId="0" fontId="3" fillId="6" borderId="42" xfId="0" applyFont="1" applyFill="1" applyBorder="1" applyAlignment="1">
      <alignment horizontal="center" vertical="center"/>
    </xf>
    <xf numFmtId="0" fontId="3" fillId="6" borderId="69" xfId="0" applyFont="1" applyFill="1" applyBorder="1" applyAlignment="1">
      <alignment horizontal="center" vertical="center"/>
    </xf>
    <xf numFmtId="0" fontId="21" fillId="6" borderId="68" xfId="195" applyFont="1" applyFill="1" applyBorder="1" applyAlignment="1">
      <alignment horizontal="center" vertical="center" wrapText="1"/>
      <protection/>
    </xf>
    <xf numFmtId="0" fontId="3" fillId="6" borderId="60" xfId="0" applyFont="1" applyFill="1" applyBorder="1" applyAlignment="1" applyProtection="1">
      <alignment horizontal="center" vertical="center"/>
      <protection/>
    </xf>
    <xf numFmtId="0" fontId="3" fillId="6" borderId="61" xfId="0" applyFont="1" applyFill="1" applyBorder="1" applyAlignment="1" applyProtection="1">
      <alignment horizontal="center" vertical="center"/>
      <protection/>
    </xf>
    <xf numFmtId="0" fontId="3" fillId="2" borderId="4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5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>
      <alignment horizontal="center"/>
    </xf>
    <xf numFmtId="0" fontId="21" fillId="6" borderId="60" xfId="195" applyFont="1" applyFill="1" applyBorder="1" applyAlignment="1">
      <alignment horizontal="center" wrapText="1"/>
      <protection/>
    </xf>
    <xf numFmtId="0" fontId="21" fillId="6" borderId="68" xfId="195" applyFont="1" applyFill="1" applyBorder="1" applyAlignment="1">
      <alignment horizontal="center" wrapText="1"/>
      <protection/>
    </xf>
    <xf numFmtId="0" fontId="21" fillId="6" borderId="61" xfId="195" applyFont="1" applyFill="1" applyBorder="1" applyAlignment="1">
      <alignment horizontal="center" wrapText="1"/>
      <protection/>
    </xf>
    <xf numFmtId="0" fontId="3" fillId="6" borderId="43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6" borderId="63" xfId="0" applyFont="1" applyFill="1" applyBorder="1" applyAlignment="1">
      <alignment horizontal="center"/>
    </xf>
    <xf numFmtId="0" fontId="21" fillId="6" borderId="58" xfId="195" applyFont="1" applyFill="1" applyBorder="1" applyAlignment="1">
      <alignment horizontal="center" wrapText="1"/>
      <protection/>
    </xf>
    <xf numFmtId="0" fontId="21" fillId="6" borderId="54" xfId="195" applyFont="1" applyFill="1" applyBorder="1" applyAlignment="1">
      <alignment horizontal="center" wrapText="1"/>
      <protection/>
    </xf>
    <xf numFmtId="0" fontId="21" fillId="6" borderId="67" xfId="195" applyFont="1" applyFill="1" applyBorder="1" applyAlignment="1">
      <alignment horizontal="center" wrapText="1"/>
      <protection/>
    </xf>
    <xf numFmtId="0" fontId="3" fillId="2" borderId="49" xfId="0" applyFont="1" applyFill="1" applyBorder="1" applyAlignment="1">
      <alignment horizontal="left"/>
    </xf>
    <xf numFmtId="0" fontId="3" fillId="2" borderId="50" xfId="0" applyFont="1" applyFill="1" applyBorder="1" applyAlignment="1">
      <alignment horizontal="left"/>
    </xf>
    <xf numFmtId="0" fontId="0" fillId="0" borderId="67" xfId="0" applyBorder="1" applyAlignment="1">
      <alignment horizontal="center" vertical="center"/>
    </xf>
    <xf numFmtId="0" fontId="3" fillId="2" borderId="35" xfId="0" applyFont="1" applyFill="1" applyBorder="1" applyAlignment="1">
      <alignment horizontal="left"/>
    </xf>
    <xf numFmtId="0" fontId="5" fillId="6" borderId="58" xfId="0" applyFont="1" applyFill="1" applyBorder="1" applyAlignment="1">
      <alignment horizontal="center" vertical="center"/>
    </xf>
    <xf numFmtId="0" fontId="5" fillId="6" borderId="54" xfId="0" applyFont="1" applyFill="1" applyBorder="1" applyAlignment="1">
      <alignment horizontal="center" vertical="center"/>
    </xf>
    <xf numFmtId="0" fontId="5" fillId="6" borderId="6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 applyProtection="1">
      <alignment horizontal="left" vertical="center"/>
      <protection locked="0"/>
    </xf>
    <xf numFmtId="4" fontId="2" fillId="2" borderId="52" xfId="0" applyNumberFormat="1" applyFont="1" applyFill="1" applyBorder="1" applyAlignment="1" applyProtection="1">
      <alignment horizontal="left" vertical="center"/>
      <protection locked="0"/>
    </xf>
    <xf numFmtId="4" fontId="2" fillId="2" borderId="47" xfId="0" applyNumberFormat="1" applyFont="1" applyFill="1" applyBorder="1" applyAlignment="1" applyProtection="1">
      <alignment horizontal="left" vertical="center"/>
      <protection locked="0"/>
    </xf>
    <xf numFmtId="4" fontId="2" fillId="2" borderId="53" xfId="0" applyNumberFormat="1" applyFont="1" applyFill="1" applyBorder="1" applyAlignment="1" applyProtection="1">
      <alignment horizontal="left" vertical="center"/>
      <protection locked="0"/>
    </xf>
    <xf numFmtId="4" fontId="3" fillId="2" borderId="49" xfId="0" applyNumberFormat="1" applyFont="1" applyFill="1" applyBorder="1" applyAlignment="1">
      <alignment horizontal="left"/>
    </xf>
    <xf numFmtId="4" fontId="3" fillId="2" borderId="50" xfId="0" applyNumberFormat="1" applyFont="1" applyFill="1" applyBorder="1" applyAlignment="1">
      <alignment horizontal="left"/>
    </xf>
    <xf numFmtId="4" fontId="2" fillId="2" borderId="55" xfId="0" applyNumberFormat="1" applyFont="1" applyFill="1" applyBorder="1" applyAlignment="1" applyProtection="1">
      <alignment horizontal="left" vertical="center"/>
      <protection locked="0"/>
    </xf>
    <xf numFmtId="4" fontId="2" fillId="2" borderId="57" xfId="0" applyNumberFormat="1" applyFont="1" applyFill="1" applyBorder="1" applyAlignment="1" applyProtection="1">
      <alignment horizontal="left" vertical="center"/>
      <protection locked="0"/>
    </xf>
    <xf numFmtId="0" fontId="3" fillId="2" borderId="58" xfId="0" applyFont="1" applyFill="1" applyBorder="1" applyAlignment="1">
      <alignment horizontal="left"/>
    </xf>
    <xf numFmtId="0" fontId="3" fillId="2" borderId="67" xfId="0" applyFont="1" applyFill="1" applyBorder="1" applyAlignment="1">
      <alignment horizontal="left"/>
    </xf>
    <xf numFmtId="0" fontId="3" fillId="20" borderId="49" xfId="0" applyFont="1" applyFill="1" applyBorder="1" applyAlignment="1">
      <alignment horizontal="left"/>
    </xf>
    <xf numFmtId="0" fontId="3" fillId="20" borderId="50" xfId="0" applyFont="1" applyFill="1" applyBorder="1" applyAlignment="1">
      <alignment horizontal="left"/>
    </xf>
    <xf numFmtId="0" fontId="5" fillId="20" borderId="49" xfId="0" applyFont="1" applyFill="1" applyBorder="1" applyAlignment="1">
      <alignment horizontal="left"/>
    </xf>
    <xf numFmtId="0" fontId="5" fillId="20" borderId="50" xfId="0" applyFont="1" applyFill="1" applyBorder="1" applyAlignment="1">
      <alignment horizontal="left"/>
    </xf>
    <xf numFmtId="4" fontId="5" fillId="6" borderId="58" xfId="0" applyNumberFormat="1" applyFont="1" applyFill="1" applyBorder="1" applyAlignment="1" applyProtection="1">
      <alignment horizontal="left" vertical="center"/>
      <protection/>
    </xf>
    <xf numFmtId="4" fontId="5" fillId="6" borderId="67" xfId="0" applyNumberFormat="1" applyFont="1" applyFill="1" applyBorder="1" applyAlignment="1" applyProtection="1">
      <alignment horizontal="left" vertical="center"/>
      <protection/>
    </xf>
    <xf numFmtId="4" fontId="5" fillId="6" borderId="58" xfId="0" applyNumberFormat="1" applyFont="1" applyFill="1" applyBorder="1" applyAlignment="1" applyProtection="1">
      <alignment vertical="center"/>
      <protection/>
    </xf>
    <xf numFmtId="4" fontId="5" fillId="6" borderId="67" xfId="0" applyNumberFormat="1" applyFont="1" applyFill="1" applyBorder="1" applyAlignment="1" applyProtection="1">
      <alignment vertical="center"/>
      <protection/>
    </xf>
    <xf numFmtId="4" fontId="5" fillId="24" borderId="58" xfId="0" applyNumberFormat="1" applyFont="1" applyFill="1" applyBorder="1" applyAlignment="1" applyProtection="1">
      <alignment horizontal="left" vertical="center"/>
      <protection/>
    </xf>
    <xf numFmtId="4" fontId="5" fillId="24" borderId="67" xfId="0" applyNumberFormat="1" applyFont="1" applyFill="1" applyBorder="1" applyAlignment="1" applyProtection="1">
      <alignment horizontal="left" vertical="center"/>
      <protection/>
    </xf>
    <xf numFmtId="4" fontId="52" fillId="2" borderId="141" xfId="0" applyNumberFormat="1" applyFont="1" applyFill="1" applyBorder="1" applyAlignment="1" applyProtection="1">
      <alignment horizontal="right" vertical="center"/>
      <protection/>
    </xf>
    <xf numFmtId="4" fontId="52" fillId="2" borderId="142" xfId="0" applyNumberFormat="1" applyFont="1" applyFill="1" applyBorder="1" applyAlignment="1" applyProtection="1">
      <alignment horizontal="right" vertical="center"/>
      <protection/>
    </xf>
    <xf numFmtId="4" fontId="52" fillId="2" borderId="143" xfId="0" applyNumberFormat="1" applyFont="1" applyFill="1" applyBorder="1" applyAlignment="1" applyProtection="1">
      <alignment horizontal="right" vertical="center"/>
      <protection/>
    </xf>
    <xf numFmtId="4" fontId="10" fillId="2" borderId="26" xfId="0" applyNumberFormat="1" applyFont="1" applyFill="1" applyBorder="1" applyAlignment="1" applyProtection="1">
      <alignment horizontal="left"/>
      <protection/>
    </xf>
    <xf numFmtId="4" fontId="5" fillId="23" borderId="49" xfId="0" applyNumberFormat="1" applyFont="1" applyFill="1" applyBorder="1" applyAlignment="1" applyProtection="1">
      <alignment horizontal="left" vertical="center"/>
      <protection/>
    </xf>
    <xf numFmtId="4" fontId="5" fillId="23" borderId="50" xfId="0" applyNumberFormat="1" applyFont="1" applyFill="1" applyBorder="1" applyAlignment="1" applyProtection="1">
      <alignment horizontal="left" vertical="center"/>
      <protection/>
    </xf>
    <xf numFmtId="4" fontId="15" fillId="21" borderId="49" xfId="0" applyNumberFormat="1" applyFont="1" applyFill="1" applyBorder="1" applyAlignment="1" applyProtection="1">
      <alignment horizontal="left"/>
      <protection/>
    </xf>
    <xf numFmtId="4" fontId="15" fillId="21" borderId="50" xfId="0" applyNumberFormat="1" applyFont="1" applyFill="1" applyBorder="1" applyAlignment="1" applyProtection="1">
      <alignment horizontal="left"/>
      <protection/>
    </xf>
    <xf numFmtId="4" fontId="5" fillId="22" borderId="58" xfId="0" applyNumberFormat="1" applyFont="1" applyFill="1" applyBorder="1" applyAlignment="1" applyProtection="1">
      <alignment horizontal="left" vertical="center"/>
      <protection/>
    </xf>
    <xf numFmtId="4" fontId="5" fillId="22" borderId="67" xfId="0" applyNumberFormat="1" applyFont="1" applyFill="1" applyBorder="1" applyAlignment="1" applyProtection="1">
      <alignment horizontal="left" vertical="center"/>
      <protection/>
    </xf>
    <xf numFmtId="4" fontId="6" fillId="6" borderId="58" xfId="0" applyNumberFormat="1" applyFont="1" applyFill="1" applyBorder="1" applyAlignment="1" applyProtection="1">
      <alignment horizontal="center" vertical="center"/>
      <protection/>
    </xf>
    <xf numFmtId="4" fontId="6" fillId="6" borderId="67" xfId="0" applyNumberFormat="1" applyFont="1" applyFill="1" applyBorder="1" applyAlignment="1" applyProtection="1">
      <alignment horizontal="center" vertical="center"/>
      <protection/>
    </xf>
    <xf numFmtId="3" fontId="4" fillId="6" borderId="0" xfId="0" applyNumberFormat="1" applyFont="1" applyFill="1" applyBorder="1" applyAlignment="1" applyProtection="1">
      <alignment horizontal="center" vertical="center"/>
      <protection/>
    </xf>
    <xf numFmtId="4" fontId="3" fillId="19" borderId="0" xfId="0" applyNumberFormat="1" applyFont="1" applyFill="1" applyBorder="1" applyAlignment="1" applyProtection="1">
      <alignment horizontal="left" vertical="center" wrapText="1"/>
      <protection/>
    </xf>
    <xf numFmtId="4" fontId="2" fillId="2" borderId="0" xfId="0" applyNumberFormat="1" applyFont="1" applyFill="1" applyBorder="1" applyAlignment="1" applyProtection="1">
      <alignment horizontal="center" vertical="center"/>
      <protection/>
    </xf>
    <xf numFmtId="4" fontId="5" fillId="21" borderId="49" xfId="0" applyNumberFormat="1" applyFont="1" applyFill="1" applyBorder="1" applyAlignment="1" applyProtection="1">
      <alignment horizontal="left" vertical="center"/>
      <protection/>
    </xf>
    <xf numFmtId="4" fontId="5" fillId="21" borderId="50" xfId="0" applyNumberFormat="1" applyFont="1" applyFill="1" applyBorder="1" applyAlignment="1" applyProtection="1">
      <alignment horizontal="left" vertical="center"/>
      <protection/>
    </xf>
    <xf numFmtId="4" fontId="3" fillId="24" borderId="58" xfId="0" applyNumberFormat="1" applyFont="1" applyFill="1" applyBorder="1" applyAlignment="1" applyProtection="1">
      <alignment vertical="center"/>
      <protection/>
    </xf>
    <xf numFmtId="4" fontId="3" fillId="24" borderId="67" xfId="0" applyNumberFormat="1" applyFont="1" applyFill="1" applyBorder="1" applyAlignment="1" applyProtection="1">
      <alignment vertical="center"/>
      <protection/>
    </xf>
    <xf numFmtId="49" fontId="3" fillId="2" borderId="72" xfId="192" applyNumberFormat="1" applyFont="1" applyFill="1" applyBorder="1" applyAlignment="1" applyProtection="1">
      <alignment horizontal="center" vertical="center"/>
      <protection locked="0"/>
    </xf>
    <xf numFmtId="49" fontId="3" fillId="2" borderId="57" xfId="192" applyNumberFormat="1" applyFont="1" applyFill="1" applyBorder="1" applyAlignment="1" applyProtection="1">
      <alignment horizontal="center" vertical="center"/>
      <protection locked="0"/>
    </xf>
    <xf numFmtId="49" fontId="2" fillId="2" borderId="57" xfId="192" applyNumberFormat="1" applyFont="1" applyFill="1" applyBorder="1" applyAlignment="1" applyProtection="1">
      <alignment horizontal="center" vertical="center"/>
      <protection locked="0"/>
    </xf>
    <xf numFmtId="49" fontId="2" fillId="2" borderId="72" xfId="192" applyNumberFormat="1" applyFont="1" applyFill="1" applyBorder="1" applyAlignment="1" applyProtection="1">
      <alignment horizontal="center" vertical="center"/>
      <protection locked="0"/>
    </xf>
    <xf numFmtId="49" fontId="3" fillId="2" borderId="72" xfId="194" applyNumberFormat="1" applyFont="1" applyFill="1" applyBorder="1" applyAlignment="1" applyProtection="1">
      <alignment horizontal="center" vertical="center"/>
      <protection locked="0"/>
    </xf>
    <xf numFmtId="49" fontId="3" fillId="2" borderId="57" xfId="194" applyNumberFormat="1" applyFont="1" applyFill="1" applyBorder="1" applyAlignment="1" applyProtection="1">
      <alignment horizontal="center" vertical="center"/>
      <protection locked="0"/>
    </xf>
    <xf numFmtId="49" fontId="2" fillId="2" borderId="57" xfId="194" applyNumberFormat="1" applyFont="1" applyFill="1" applyBorder="1" applyAlignment="1" applyProtection="1">
      <alignment horizontal="center" vertical="center"/>
      <protection locked="0"/>
    </xf>
    <xf numFmtId="49" fontId="3" fillId="2" borderId="52" xfId="194" applyNumberFormat="1" applyFont="1" applyFill="1" applyBorder="1" applyAlignment="1" applyProtection="1">
      <alignment horizontal="center" vertical="center"/>
      <protection locked="0"/>
    </xf>
    <xf numFmtId="49" fontId="2" fillId="2" borderId="52" xfId="194" applyNumberFormat="1" applyFont="1" applyFill="1" applyBorder="1" applyAlignment="1" applyProtection="1">
      <alignment horizontal="center" vertical="center"/>
      <protection locked="0"/>
    </xf>
    <xf numFmtId="49" fontId="3" fillId="2" borderId="83" xfId="194" applyNumberFormat="1" applyFont="1" applyFill="1" applyBorder="1" applyAlignment="1" applyProtection="1">
      <alignment horizontal="center" vertical="center"/>
      <protection locked="0"/>
    </xf>
    <xf numFmtId="49" fontId="2" fillId="2" borderId="83" xfId="194" applyNumberFormat="1" applyFont="1" applyFill="1" applyBorder="1" applyAlignment="1" applyProtection="1">
      <alignment horizontal="center" vertical="center"/>
      <protection locked="0"/>
    </xf>
    <xf numFmtId="49" fontId="2" fillId="2" borderId="72" xfId="194" applyNumberFormat="1" applyFont="1" applyFill="1" applyBorder="1" applyAlignment="1" applyProtection="1">
      <alignment horizontal="center" vertical="center"/>
      <protection locked="0"/>
    </xf>
  </cellXfs>
  <cellStyles count="269">
    <cellStyle name="Normal" xfId="0"/>
    <cellStyle name="-" xfId="15"/>
    <cellStyle name="%" xfId="16"/>
    <cellStyle name="%_Afsat Templates for Forecast 3 &amp; Budgets" xfId="17"/>
    <cellStyle name="_IFC Areeba Comp" xfId="18"/>
    <cellStyle name="_IFC_InvestcomAfghanFinancialModel_v7_New Capex" xfId="19"/>
    <cellStyle name="_IFC_InvestcomAfghanFinancialModel_v7_New Capex 2" xfId="20"/>
    <cellStyle name="_Mobile Market" xfId="21"/>
    <cellStyle name="_Rough Calcs" xfId="22"/>
    <cellStyle name="1,comma" xfId="23"/>
    <cellStyle name="20% - Accent1 2" xfId="24"/>
    <cellStyle name="20% - Accent1 2 2" xfId="25"/>
    <cellStyle name="20% - Accent2 2" xfId="26"/>
    <cellStyle name="20% - Accent2 2 2" xfId="27"/>
    <cellStyle name="20% - Accent3 2" xfId="28"/>
    <cellStyle name="20% - Accent3 2 2" xfId="29"/>
    <cellStyle name="20% - Accent4 2" xfId="30"/>
    <cellStyle name="20% - Accent4 2 2" xfId="31"/>
    <cellStyle name="20% - Accent5 2" xfId="32"/>
    <cellStyle name="20% - Accent5 2 2" xfId="33"/>
    <cellStyle name="20% - Accent6 2" xfId="34"/>
    <cellStyle name="20% - Accent6 2 2" xfId="35"/>
    <cellStyle name="20% - Énfasis1" xfId="36"/>
    <cellStyle name="20% - Énfasis2" xfId="37"/>
    <cellStyle name="20% - Énfasis3" xfId="38"/>
    <cellStyle name="20% - Énfasis4" xfId="39"/>
    <cellStyle name="20% - Énfasis5" xfId="40"/>
    <cellStyle name="20% - Énfasis6" xfId="41"/>
    <cellStyle name="40% - Accent1 2" xfId="42"/>
    <cellStyle name="40% - Accent1 2 2" xfId="43"/>
    <cellStyle name="40% - Accent2 2" xfId="44"/>
    <cellStyle name="40% - Accent2 2 2" xfId="45"/>
    <cellStyle name="40% - Accent3 2" xfId="46"/>
    <cellStyle name="40% - Accent3 2 2" xfId="47"/>
    <cellStyle name="40% - Accent4 2" xfId="48"/>
    <cellStyle name="40% - Accent4 2 2" xfId="49"/>
    <cellStyle name="40% - Accent5 2" xfId="50"/>
    <cellStyle name="40% - Accent5 2 2" xfId="51"/>
    <cellStyle name="40% - Accent6 2" xfId="52"/>
    <cellStyle name="40% - Accent6 2 2" xfId="53"/>
    <cellStyle name="40% - Énfasis1" xfId="54"/>
    <cellStyle name="40% - Énfasis2" xfId="55"/>
    <cellStyle name="40% - Énfasis3" xfId="56"/>
    <cellStyle name="40% - Énfasis4" xfId="57"/>
    <cellStyle name="40% - Énfasis5" xfId="58"/>
    <cellStyle name="40% - Énfasis6" xfId="59"/>
    <cellStyle name="60% - Accent1 2" xfId="60"/>
    <cellStyle name="60% - Accent2 2" xfId="61"/>
    <cellStyle name="60% - Accent3 2" xfId="62"/>
    <cellStyle name="60% - Accent4 2" xfId="63"/>
    <cellStyle name="60% - Accent5 2" xfId="64"/>
    <cellStyle name="60% - Accent6 2" xfId="65"/>
    <cellStyle name="60% - Énfasis1" xfId="66"/>
    <cellStyle name="60% - Énfasis2" xfId="67"/>
    <cellStyle name="60% - Énfasis3" xfId="68"/>
    <cellStyle name="60% - Énfasis4" xfId="69"/>
    <cellStyle name="60% - Énfasis5" xfId="70"/>
    <cellStyle name="60% - Énfasis6" xfId="71"/>
    <cellStyle name="Accent1 2" xfId="72"/>
    <cellStyle name="Accent2 2" xfId="73"/>
    <cellStyle name="Accent3 2" xfId="74"/>
    <cellStyle name="Accent4 2" xfId="75"/>
    <cellStyle name="Accent5 2" xfId="76"/>
    <cellStyle name="Accent6 2" xfId="77"/>
    <cellStyle name="Actual Date" xfId="78"/>
    <cellStyle name="Arial 10" xfId="79"/>
    <cellStyle name="Arial 12" xfId="80"/>
    <cellStyle name="arr" xfId="81"/>
    <cellStyle name="arr 2" xfId="82"/>
    <cellStyle name="Bad 2" xfId="83"/>
    <cellStyle name="BlackStrike" xfId="84"/>
    <cellStyle name="BlackText" xfId="85"/>
    <cellStyle name="BlackText 2" xfId="86"/>
    <cellStyle name="Body_InputCellText" xfId="87"/>
    <cellStyle name="BoldText" xfId="88"/>
    <cellStyle name="British Pound" xfId="89"/>
    <cellStyle name="Buena" xfId="90"/>
    <cellStyle name="Calculation 2" xfId="91"/>
    <cellStyle name="Cálculo" xfId="92"/>
    <cellStyle name="Celda de comprobación" xfId="93"/>
    <cellStyle name="Celda vinculada" xfId="94"/>
    <cellStyle name="Check Cell 2" xfId="95"/>
    <cellStyle name="Comma 0" xfId="96"/>
    <cellStyle name="Comma 0*" xfId="97"/>
    <cellStyle name="Comma 2" xfId="98"/>
    <cellStyle name="Comma 2 10" xfId="99"/>
    <cellStyle name="Comma 2_ACE - O&amp;M Station Budget 2013 (issue1 27-07-2012)" xfId="100"/>
    <cellStyle name="Comma 3" xfId="101"/>
    <cellStyle name="Comma 3 2" xfId="102"/>
    <cellStyle name="Comma 4" xfId="103"/>
    <cellStyle name="Comma 4 2" xfId="104"/>
    <cellStyle name="Comma 4 2 2" xfId="105"/>
    <cellStyle name="Comma 4 3" xfId="106"/>
    <cellStyle name="Comma 4 3 2" xfId="107"/>
    <cellStyle name="Comma 4 4" xfId="108"/>
    <cellStyle name="Comma 5" xfId="109"/>
    <cellStyle name="Comma 5 2" xfId="110"/>
    <cellStyle name="Comma 5 2 2" xfId="111"/>
    <cellStyle name="Comma 5 3" xfId="112"/>
    <cellStyle name="Comma 6" xfId="113"/>
    <cellStyle name="Comma 7" xfId="114"/>
    <cellStyle name="Comma0" xfId="115"/>
    <cellStyle name="Currency [2]" xfId="116"/>
    <cellStyle name="Currency 0" xfId="117"/>
    <cellStyle name="Currency 2" xfId="118"/>
    <cellStyle name="Currency 3" xfId="119"/>
    <cellStyle name="Currency 4" xfId="120"/>
    <cellStyle name="Currency 5" xfId="121"/>
    <cellStyle name="Currency0" xfId="122"/>
    <cellStyle name="Date" xfId="123"/>
    <cellStyle name="Date 2" xfId="124"/>
    <cellStyle name="Date Aligned" xfId="125"/>
    <cellStyle name="Dotted Line" xfId="126"/>
    <cellStyle name="Double Accounting" xfId="127"/>
    <cellStyle name="Encabezado 4" xfId="128"/>
    <cellStyle name="Énfasis1" xfId="129"/>
    <cellStyle name="Énfasis2" xfId="130"/>
    <cellStyle name="Énfasis3" xfId="131"/>
    <cellStyle name="Énfasis4" xfId="132"/>
    <cellStyle name="Énfasis5" xfId="133"/>
    <cellStyle name="Énfasis6" xfId="134"/>
    <cellStyle name="Entrada" xfId="135"/>
    <cellStyle name="Euro" xfId="136"/>
    <cellStyle name="Euro 2" xfId="137"/>
    <cellStyle name="Explanatory Text 2" xfId="138"/>
    <cellStyle name="Fixed" xfId="139"/>
    <cellStyle name="Footnote" xfId="140"/>
    <cellStyle name="Formula" xfId="141"/>
    <cellStyle name="Formula 2" xfId="142"/>
    <cellStyle name="Good 2" xfId="143"/>
    <cellStyle name="Grey" xfId="144"/>
    <cellStyle name="hard no" xfId="145"/>
    <cellStyle name="hard no 2" xfId="146"/>
    <cellStyle name="Hard Percent" xfId="147"/>
    <cellStyle name="hardno" xfId="148"/>
    <cellStyle name="Header" xfId="149"/>
    <cellStyle name="Heading" xfId="150"/>
    <cellStyle name="Heading 1 2" xfId="151"/>
    <cellStyle name="Heading 2 2" xfId="152"/>
    <cellStyle name="Heading 3 2" xfId="153"/>
    <cellStyle name="Heading 4 2" xfId="154"/>
    <cellStyle name="Heading2" xfId="155"/>
    <cellStyle name="Heading3" xfId="156"/>
    <cellStyle name="Hyperlink" xfId="157"/>
    <cellStyle name="Followed Hyperlink" xfId="158"/>
    <cellStyle name="Incorrecto" xfId="159"/>
    <cellStyle name="Input [yellow]" xfId="160"/>
    <cellStyle name="Input [yellow] 2" xfId="161"/>
    <cellStyle name="Input 2" xfId="162"/>
    <cellStyle name="Input 3" xfId="163"/>
    <cellStyle name="Input 4" xfId="164"/>
    <cellStyle name="Input1" xfId="165"/>
    <cellStyle name="Input2" xfId="166"/>
    <cellStyle name="Linked Cell 2" xfId="167"/>
    <cellStyle name="Comma" xfId="168"/>
    <cellStyle name="Comma [0]" xfId="169"/>
    <cellStyle name="Millions" xfId="170"/>
    <cellStyle name="Millions $" xfId="171"/>
    <cellStyle name="Millions $ 2" xfId="172"/>
    <cellStyle name="Millions 2" xfId="173"/>
    <cellStyle name="Millions 3" xfId="174"/>
    <cellStyle name="Millions 4" xfId="175"/>
    <cellStyle name="Millions 5" xfId="176"/>
    <cellStyle name="Millions_Book2" xfId="177"/>
    <cellStyle name="Currency" xfId="178"/>
    <cellStyle name="Currency [0]" xfId="179"/>
    <cellStyle name="Moneda 2" xfId="180"/>
    <cellStyle name="MS_Arabic" xfId="181"/>
    <cellStyle name="Multiple" xfId="182"/>
    <cellStyle name="Neutral" xfId="183"/>
    <cellStyle name="Neutral 2" xfId="184"/>
    <cellStyle name="no dec" xfId="185"/>
    <cellStyle name="Normal - Style1" xfId="186"/>
    <cellStyle name="Normal 10" xfId="187"/>
    <cellStyle name="Normal 10 2" xfId="188"/>
    <cellStyle name="Normal 11" xfId="189"/>
    <cellStyle name="Normal 11 2" xfId="190"/>
    <cellStyle name="Normal 12" xfId="191"/>
    <cellStyle name="Normal 13" xfId="192"/>
    <cellStyle name="Normal 14" xfId="193"/>
    <cellStyle name="Normal 15" xfId="194"/>
    <cellStyle name="Normal 2" xfId="195"/>
    <cellStyle name="Normal 2 2" xfId="196"/>
    <cellStyle name="Normal 2 3" xfId="197"/>
    <cellStyle name="Normal 2 3 2" xfId="198"/>
    <cellStyle name="Normal 2_ACE - O&amp;M Station Budget 2013 (issue1 27-07-2012)" xfId="199"/>
    <cellStyle name="Normal 3" xfId="200"/>
    <cellStyle name="Normal 3 2" xfId="201"/>
    <cellStyle name="Normal 3 2 2" xfId="202"/>
    <cellStyle name="Normal 4" xfId="203"/>
    <cellStyle name="Normal 4 2" xfId="204"/>
    <cellStyle name="Normal 4 2 2" xfId="205"/>
    <cellStyle name="Normal 4 3" xfId="206"/>
    <cellStyle name="Normal 4 3 2" xfId="207"/>
    <cellStyle name="Normal 4 4" xfId="208"/>
    <cellStyle name="Normal 4 5" xfId="209"/>
    <cellStyle name="Normal 4_CRPREPORT2011" xfId="210"/>
    <cellStyle name="Normal 5" xfId="211"/>
    <cellStyle name="Normal 5 2" xfId="212"/>
    <cellStyle name="Normal 5 2 2" xfId="213"/>
    <cellStyle name="Normal 5 3" xfId="214"/>
    <cellStyle name="Normal 5_CRPREPORT2011" xfId="215"/>
    <cellStyle name="Normal 6" xfId="216"/>
    <cellStyle name="Normal 7" xfId="217"/>
    <cellStyle name="Normal 8" xfId="218"/>
    <cellStyle name="Normal 8 2" xfId="219"/>
    <cellStyle name="Normal 9" xfId="220"/>
    <cellStyle name="Normal 9 2" xfId="221"/>
    <cellStyle name="Normal2" xfId="222"/>
    <cellStyle name="NormalGB" xfId="223"/>
    <cellStyle name="NormalHelv" xfId="224"/>
    <cellStyle name="NormalHelv 2" xfId="225"/>
    <cellStyle name="Notas" xfId="226"/>
    <cellStyle name="Note 2" xfId="227"/>
    <cellStyle name="number" xfId="228"/>
    <cellStyle name="Output 2" xfId="229"/>
    <cellStyle name="Page Number" xfId="230"/>
    <cellStyle name="Percent [2]" xfId="231"/>
    <cellStyle name="Percent 2" xfId="232"/>
    <cellStyle name="Percent 2 2" xfId="233"/>
    <cellStyle name="Percent 3" xfId="234"/>
    <cellStyle name="Percent" xfId="235"/>
    <cellStyle name="Porcentaje 2" xfId="236"/>
    <cellStyle name="Private" xfId="237"/>
    <cellStyle name="Private 2" xfId="238"/>
    <cellStyle name="Private1" xfId="239"/>
    <cellStyle name="Salida" xfId="240"/>
    <cellStyle name="Salomon Logo" xfId="241"/>
    <cellStyle name="Single Accounting" xfId="242"/>
    <cellStyle name="Style 1" xfId="243"/>
    <cellStyle name="Style 1 2" xfId="244"/>
    <cellStyle name="Summary" xfId="245"/>
    <cellStyle name="Table Head" xfId="246"/>
    <cellStyle name="Table Head Aligned" xfId="247"/>
    <cellStyle name="Table Head Blue" xfId="248"/>
    <cellStyle name="Table Head Green" xfId="249"/>
    <cellStyle name="Table Head_Val_Sum_Graph" xfId="250"/>
    <cellStyle name="Table Text" xfId="251"/>
    <cellStyle name="Table Title" xfId="252"/>
    <cellStyle name="Table Units" xfId="253"/>
    <cellStyle name="Table_Header" xfId="254"/>
    <cellStyle name="TableBase" xfId="255"/>
    <cellStyle name="TableBase 2" xfId="256"/>
    <cellStyle name="TableHead" xfId="257"/>
    <cellStyle name="TableHead 2" xfId="258"/>
    <cellStyle name="Text" xfId="259"/>
    <cellStyle name="Text 1" xfId="260"/>
    <cellStyle name="Text Head 1" xfId="261"/>
    <cellStyle name="Texto de advertencia" xfId="262"/>
    <cellStyle name="Texto explicativo" xfId="263"/>
    <cellStyle name="Time" xfId="264"/>
    <cellStyle name="Time 2" xfId="265"/>
    <cellStyle name="Times 10" xfId="266"/>
    <cellStyle name="Times 12" xfId="267"/>
    <cellStyle name="Times New Roman" xfId="268"/>
    <cellStyle name="Title 2" xfId="269"/>
    <cellStyle name="Título" xfId="270"/>
    <cellStyle name="Título 1" xfId="271"/>
    <cellStyle name="Título 2" xfId="272"/>
    <cellStyle name="Título 3" xfId="273"/>
    <cellStyle name="Total" xfId="274"/>
    <cellStyle name="Total 2" xfId="275"/>
    <cellStyle name="Underline_Single" xfId="276"/>
    <cellStyle name="Warning Text 2" xfId="277"/>
    <cellStyle name="WhitePattern" xfId="278"/>
    <cellStyle name="WhitePattern1" xfId="279"/>
    <cellStyle name="WhiteText" xfId="280"/>
    <cellStyle name="year" xfId="281"/>
    <cellStyle name="Yen" xfId="28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133350</xdr:rowOff>
    </xdr:from>
    <xdr:to>
      <xdr:col>2</xdr:col>
      <xdr:colOff>1028700</xdr:colOff>
      <xdr:row>3</xdr:row>
      <xdr:rowOff>76200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33350"/>
          <a:ext cx="981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200025</xdr:rowOff>
    </xdr:from>
    <xdr:to>
      <xdr:col>3</xdr:col>
      <xdr:colOff>76200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00025"/>
          <a:ext cx="952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1066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1066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1066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1066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1066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1066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1066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133350</xdr:rowOff>
    </xdr:from>
    <xdr:to>
      <xdr:col>3</xdr:col>
      <xdr:colOff>990600</xdr:colOff>
      <xdr:row>3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33350"/>
          <a:ext cx="1219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1066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85725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90500"/>
          <a:ext cx="971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1066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161925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1085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161925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1085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161925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1085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342900</xdr:rowOff>
    </xdr:from>
    <xdr:to>
      <xdr:col>3</xdr:col>
      <xdr:colOff>47625</xdr:colOff>
      <xdr:row>3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42900"/>
          <a:ext cx="1076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85725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0"/>
          <a:ext cx="971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57150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1925"/>
          <a:ext cx="990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57150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1925"/>
          <a:ext cx="990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1066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57150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1925"/>
          <a:ext cx="990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57150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1925"/>
          <a:ext cx="990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57150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1925"/>
          <a:ext cx="990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0"/>
  <sheetViews>
    <sheetView zoomScale="108" zoomScaleNormal="108" zoomScalePageLayoutView="0" workbookViewId="0" topLeftCell="A1">
      <selection activeCell="J20" sqref="J20"/>
    </sheetView>
  </sheetViews>
  <sheetFormatPr defaultColWidth="10.6640625" defaultRowHeight="15.75"/>
  <cols>
    <col min="1" max="1" width="3.3359375" style="4" customWidth="1"/>
    <col min="2" max="2" width="3.4453125" style="2" customWidth="1"/>
    <col min="3" max="3" width="12.3359375" style="4" customWidth="1"/>
    <col min="4" max="13" width="10.6640625" style="4" customWidth="1"/>
    <col min="14" max="14" width="3.3359375" style="2" customWidth="1"/>
    <col min="15" max="17" width="10.6640625" style="2" customWidth="1"/>
    <col min="18" max="16384" width="10.6640625" style="4" customWidth="1"/>
  </cols>
  <sheetData>
    <row r="1" spans="4:25" s="2" customFormat="1" ht="22.5" customHeight="1">
      <c r="D1" s="3"/>
      <c r="O1" s="903"/>
      <c r="P1" s="903"/>
      <c r="Q1" s="903"/>
      <c r="R1" s="903"/>
      <c r="S1" s="903"/>
      <c r="T1" s="903"/>
      <c r="U1" s="903"/>
      <c r="V1" s="903"/>
      <c r="W1" s="903"/>
      <c r="X1" s="903"/>
      <c r="Y1" s="903"/>
    </row>
    <row r="2" spans="4:25" s="2" customFormat="1" ht="22.5" customHeight="1">
      <c r="D2" s="21" t="s">
        <v>410</v>
      </c>
      <c r="O2" s="903"/>
      <c r="P2" s="903"/>
      <c r="Q2" s="903"/>
      <c r="R2" s="903"/>
      <c r="S2" s="903"/>
      <c r="T2" s="903"/>
      <c r="U2" s="903"/>
      <c r="V2" s="903"/>
      <c r="W2" s="903"/>
      <c r="X2" s="903"/>
      <c r="Y2" s="903"/>
    </row>
    <row r="3" spans="4:25" s="2" customFormat="1" ht="22.5" customHeight="1">
      <c r="D3" s="61" t="s">
        <v>411</v>
      </c>
      <c r="O3" s="903"/>
      <c r="P3" s="903"/>
      <c r="Q3" s="903"/>
      <c r="R3" s="903"/>
      <c r="S3" s="903"/>
      <c r="T3" s="903"/>
      <c r="U3" s="903"/>
      <c r="V3" s="903"/>
      <c r="W3" s="903"/>
      <c r="X3" s="903"/>
      <c r="Y3" s="903"/>
    </row>
    <row r="4" spans="15:25" s="2" customFormat="1" ht="22.5" customHeight="1" thickBot="1">
      <c r="O4" s="903"/>
      <c r="P4" s="903"/>
      <c r="Q4" s="903"/>
      <c r="R4" s="903"/>
      <c r="S4" s="903"/>
      <c r="T4" s="903"/>
      <c r="U4" s="903"/>
      <c r="V4" s="903"/>
      <c r="W4" s="903"/>
      <c r="X4" s="903"/>
      <c r="Y4" s="903"/>
    </row>
    <row r="5" spans="2:25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03"/>
      <c r="P5" s="903"/>
      <c r="Q5" s="903"/>
      <c r="R5" s="903"/>
      <c r="S5" s="903"/>
      <c r="T5" s="903"/>
      <c r="U5" s="903"/>
      <c r="V5" s="903"/>
      <c r="W5" s="903"/>
      <c r="X5" s="903"/>
      <c r="Y5" s="903"/>
    </row>
    <row r="6" spans="2:25" s="2" customFormat="1" ht="30" customHeight="1">
      <c r="B6" s="8"/>
      <c r="C6" s="1" t="s">
        <v>379</v>
      </c>
      <c r="D6" s="3"/>
      <c r="E6" s="3"/>
      <c r="F6" s="3"/>
      <c r="G6" s="3"/>
      <c r="H6" s="3"/>
      <c r="I6" s="3"/>
      <c r="J6" s="3"/>
      <c r="K6" s="3"/>
      <c r="L6" s="3"/>
      <c r="M6" s="1226">
        <f>ejercicio</f>
        <v>2019</v>
      </c>
      <c r="N6" s="9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</row>
    <row r="7" spans="2:25" s="2" customFormat="1" ht="30" customHeight="1">
      <c r="B7" s="8"/>
      <c r="C7" s="1" t="s">
        <v>380</v>
      </c>
      <c r="D7" s="3"/>
      <c r="E7" s="3"/>
      <c r="F7" s="3"/>
      <c r="G7" s="3"/>
      <c r="H7" s="3"/>
      <c r="I7" s="3"/>
      <c r="J7" s="3"/>
      <c r="K7" s="10"/>
      <c r="L7" s="3"/>
      <c r="M7" s="1226"/>
      <c r="N7" s="9"/>
      <c r="O7" s="903"/>
      <c r="P7" s="903"/>
      <c r="Q7" s="903"/>
      <c r="R7" s="903"/>
      <c r="S7" s="903"/>
      <c r="T7" s="903"/>
      <c r="U7" s="903"/>
      <c r="V7" s="903"/>
      <c r="W7" s="903"/>
      <c r="X7" s="903"/>
      <c r="Y7" s="903"/>
    </row>
    <row r="8" spans="2:25" s="2" customFormat="1" ht="30" customHeight="1">
      <c r="B8" s="8"/>
      <c r="N8" s="9"/>
      <c r="O8" s="903"/>
      <c r="P8" s="903"/>
      <c r="Q8" s="903"/>
      <c r="R8" s="903"/>
      <c r="S8" s="903"/>
      <c r="T8" s="903"/>
      <c r="U8" s="903"/>
      <c r="V8" s="903"/>
      <c r="W8" s="903"/>
      <c r="X8" s="903"/>
      <c r="Y8" s="903"/>
    </row>
    <row r="9" spans="2:25" s="2" customFormat="1" ht="30" customHeight="1">
      <c r="B9" s="8"/>
      <c r="N9" s="9"/>
      <c r="O9" s="903"/>
      <c r="P9" s="903"/>
      <c r="Q9" s="904"/>
      <c r="R9" s="904"/>
      <c r="S9" s="904"/>
      <c r="T9" s="904"/>
      <c r="U9" s="903"/>
      <c r="V9" s="903"/>
      <c r="W9" s="903"/>
      <c r="X9" s="903"/>
      <c r="Y9" s="903"/>
    </row>
    <row r="10" spans="2:25" s="2" customFormat="1" ht="6.75" customHeight="1">
      <c r="B10" s="8"/>
      <c r="N10" s="9"/>
      <c r="O10" s="903"/>
      <c r="P10" s="903"/>
      <c r="Q10" s="904"/>
      <c r="R10" s="904"/>
      <c r="S10" s="904"/>
      <c r="T10" s="904"/>
      <c r="U10" s="903"/>
      <c r="V10" s="903"/>
      <c r="W10" s="903"/>
      <c r="X10" s="903"/>
      <c r="Y10" s="903"/>
    </row>
    <row r="11" spans="2:37" ht="30" customHeight="1">
      <c r="B11" s="8"/>
      <c r="C11" s="11" t="s">
        <v>412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05"/>
      <c r="P11" s="903"/>
      <c r="Q11" s="904"/>
      <c r="R11" s="904"/>
      <c r="S11" s="904"/>
      <c r="T11" s="904"/>
      <c r="U11" s="903"/>
      <c r="V11" s="903"/>
      <c r="W11" s="903"/>
      <c r="X11" s="903"/>
      <c r="Y11" s="903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25" s="2" customFormat="1" ht="30" customHeight="1">
      <c r="B12" s="8"/>
      <c r="N12" s="9"/>
      <c r="O12" s="903"/>
      <c r="P12" s="903"/>
      <c r="Q12" s="904"/>
      <c r="R12" s="904"/>
      <c r="S12" s="904"/>
      <c r="T12" s="904"/>
      <c r="U12" s="903"/>
      <c r="V12" s="903"/>
      <c r="W12" s="903"/>
      <c r="X12" s="903"/>
      <c r="Y12" s="903"/>
    </row>
    <row r="13" spans="2:25" s="15" customFormat="1" ht="30" customHeight="1">
      <c r="B13" s="8"/>
      <c r="C13" s="269" t="s">
        <v>413</v>
      </c>
      <c r="D13" s="1227" t="s">
        <v>225</v>
      </c>
      <c r="E13" s="1228"/>
      <c r="F13" s="1228"/>
      <c r="G13" s="1228"/>
      <c r="H13" s="1228"/>
      <c r="I13" s="1228"/>
      <c r="J13" s="1228"/>
      <c r="K13" s="1228"/>
      <c r="L13" s="1228"/>
      <c r="M13" s="1229"/>
      <c r="N13" s="9"/>
      <c r="O13" s="906"/>
      <c r="P13" s="906"/>
      <c r="Q13" s="907"/>
      <c r="R13" s="907"/>
      <c r="S13" s="907"/>
      <c r="T13" s="907"/>
      <c r="U13" s="906"/>
      <c r="V13" s="906"/>
      <c r="W13" s="906"/>
      <c r="X13" s="906"/>
      <c r="Y13" s="906"/>
    </row>
    <row r="14" spans="2:25" s="15" customFormat="1" ht="30" customHeight="1">
      <c r="B14" s="8"/>
      <c r="C14" s="269" t="s">
        <v>160</v>
      </c>
      <c r="D14" s="1227" t="s">
        <v>161</v>
      </c>
      <c r="E14" s="1228"/>
      <c r="F14" s="1229"/>
      <c r="G14" s="360"/>
      <c r="H14" s="360"/>
      <c r="I14" s="14"/>
      <c r="J14" s="14"/>
      <c r="K14" s="14"/>
      <c r="L14" s="14"/>
      <c r="M14" s="14"/>
      <c r="N14" s="9"/>
      <c r="O14" s="906"/>
      <c r="P14" s="906"/>
      <c r="Q14" s="907"/>
      <c r="R14" s="907"/>
      <c r="S14" s="908" t="s">
        <v>161</v>
      </c>
      <c r="T14" s="907"/>
      <c r="U14" s="906"/>
      <c r="V14" s="906"/>
      <c r="W14" s="906"/>
      <c r="X14" s="906"/>
      <c r="Y14" s="906"/>
    </row>
    <row r="15" spans="2:25" s="2" customFormat="1" ht="30" customHeight="1">
      <c r="B15" s="8"/>
      <c r="C15" s="269" t="s">
        <v>414</v>
      </c>
      <c r="D15" s="479">
        <v>2019</v>
      </c>
      <c r="E15" s="14"/>
      <c r="F15" s="14"/>
      <c r="G15" s="360"/>
      <c r="H15" s="360"/>
      <c r="I15" s="14"/>
      <c r="J15" s="14"/>
      <c r="K15" s="14"/>
      <c r="L15" s="14"/>
      <c r="M15" s="14"/>
      <c r="N15" s="9"/>
      <c r="O15" s="903"/>
      <c r="P15" s="903"/>
      <c r="Q15" s="904"/>
      <c r="R15" s="904"/>
      <c r="S15" s="909" t="s">
        <v>162</v>
      </c>
      <c r="T15" s="904"/>
      <c r="U15" s="903"/>
      <c r="V15" s="903"/>
      <c r="W15" s="903"/>
      <c r="X15" s="903"/>
      <c r="Y15" s="903"/>
    </row>
    <row r="16" spans="2:25" s="2" customFormat="1" ht="30" customHeight="1">
      <c r="B16" s="8"/>
      <c r="C16" s="12"/>
      <c r="D16" s="1230"/>
      <c r="E16" s="1230"/>
      <c r="F16" s="1230"/>
      <c r="G16" s="1230"/>
      <c r="H16" s="1230"/>
      <c r="I16" s="1230"/>
      <c r="J16" s="1230"/>
      <c r="K16" s="1230"/>
      <c r="L16" s="1230"/>
      <c r="M16" s="1230"/>
      <c r="N16" s="9"/>
      <c r="O16" s="903"/>
      <c r="P16" s="903"/>
      <c r="Q16" s="904"/>
      <c r="R16" s="904"/>
      <c r="S16" s="904"/>
      <c r="T16" s="904"/>
      <c r="U16" s="903"/>
      <c r="V16" s="903"/>
      <c r="W16" s="903"/>
      <c r="X16" s="903"/>
      <c r="Y16" s="903"/>
    </row>
    <row r="17" spans="2:25" s="2" customFormat="1" ht="30" customHeight="1">
      <c r="B17" s="8"/>
      <c r="C17" s="70" t="s">
        <v>446</v>
      </c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9"/>
      <c r="O17" s="903"/>
      <c r="P17" s="903"/>
      <c r="Q17" s="904"/>
      <c r="R17" s="904"/>
      <c r="S17" s="904"/>
      <c r="T17" s="904"/>
      <c r="U17" s="903"/>
      <c r="V17" s="903"/>
      <c r="W17" s="903"/>
      <c r="X17" s="903"/>
      <c r="Y17" s="903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03"/>
      <c r="P18" s="903"/>
      <c r="Q18" s="904"/>
      <c r="R18" s="904"/>
      <c r="S18" s="904"/>
      <c r="T18" s="904"/>
      <c r="U18" s="903"/>
      <c r="V18" s="903"/>
      <c r="W18" s="903"/>
      <c r="X18" s="903"/>
      <c r="Y18" s="903"/>
    </row>
    <row r="19" spans="2:25" s="2" customFormat="1" ht="24.75" customHeight="1">
      <c r="B19" s="8"/>
      <c r="C19" s="2" t="s">
        <v>416</v>
      </c>
      <c r="D19" s="2" t="s">
        <v>417</v>
      </c>
      <c r="N19" s="9"/>
      <c r="O19" s="903"/>
      <c r="P19" s="903"/>
      <c r="Q19" s="904"/>
      <c r="R19" s="904"/>
      <c r="S19" s="904"/>
      <c r="T19" s="904"/>
      <c r="U19" s="903"/>
      <c r="V19" s="903"/>
      <c r="W19" s="903"/>
      <c r="X19" s="903"/>
      <c r="Y19" s="903"/>
    </row>
    <row r="20" spans="2:25" s="2" customFormat="1" ht="24.75" customHeight="1">
      <c r="B20" s="8"/>
      <c r="C20" s="2" t="s">
        <v>418</v>
      </c>
      <c r="D20" s="2" t="s">
        <v>419</v>
      </c>
      <c r="N20" s="9"/>
      <c r="O20" s="903"/>
      <c r="P20" s="903"/>
      <c r="Q20" s="904"/>
      <c r="R20" s="904"/>
      <c r="S20" s="904"/>
      <c r="T20" s="904"/>
      <c r="U20" s="903"/>
      <c r="V20" s="903"/>
      <c r="W20" s="903"/>
      <c r="X20" s="903"/>
      <c r="Y20" s="903"/>
    </row>
    <row r="21" spans="2:25" s="2" customFormat="1" ht="24.75" customHeight="1">
      <c r="B21" s="8"/>
      <c r="C21" s="2" t="s">
        <v>420</v>
      </c>
      <c r="D21" s="2" t="s">
        <v>421</v>
      </c>
      <c r="N21" s="9"/>
      <c r="O21" s="903"/>
      <c r="P21" s="903"/>
      <c r="Q21" s="904"/>
      <c r="R21" s="904"/>
      <c r="S21" s="904"/>
      <c r="T21" s="904"/>
      <c r="U21" s="903"/>
      <c r="V21" s="903"/>
      <c r="W21" s="903"/>
      <c r="X21" s="903"/>
      <c r="Y21" s="903"/>
    </row>
    <row r="22" spans="2:25" s="2" customFormat="1" ht="24.75" customHeight="1">
      <c r="B22" s="8"/>
      <c r="C22" s="2" t="s">
        <v>426</v>
      </c>
      <c r="D22" s="2" t="s">
        <v>427</v>
      </c>
      <c r="N22" s="9"/>
      <c r="O22" s="903"/>
      <c r="P22" s="903"/>
      <c r="Q22" s="904"/>
      <c r="R22" s="904"/>
      <c r="S22" s="904"/>
      <c r="T22" s="904"/>
      <c r="U22" s="903"/>
      <c r="V22" s="903"/>
      <c r="W22" s="903"/>
      <c r="X22" s="903"/>
      <c r="Y22" s="903"/>
    </row>
    <row r="23" spans="2:25" s="2" customFormat="1" ht="24.75" customHeight="1">
      <c r="B23" s="8"/>
      <c r="C23" s="2" t="s">
        <v>422</v>
      </c>
      <c r="D23" s="271" t="s">
        <v>1039</v>
      </c>
      <c r="N23" s="9"/>
      <c r="O23" s="903"/>
      <c r="P23" s="903"/>
      <c r="Q23" s="904"/>
      <c r="R23" s="904"/>
      <c r="S23" s="904"/>
      <c r="T23" s="904"/>
      <c r="U23" s="903"/>
      <c r="V23" s="903"/>
      <c r="W23" s="903"/>
      <c r="X23" s="903"/>
      <c r="Y23" s="903"/>
    </row>
    <row r="24" spans="2:25" s="2" customFormat="1" ht="24.75" customHeight="1">
      <c r="B24" s="8"/>
      <c r="C24" s="2" t="s">
        <v>423</v>
      </c>
      <c r="D24" s="2" t="s">
        <v>424</v>
      </c>
      <c r="N24" s="9"/>
      <c r="O24" s="903"/>
      <c r="P24" s="903"/>
      <c r="Q24" s="903"/>
      <c r="R24" s="903"/>
      <c r="S24" s="903"/>
      <c r="T24" s="903"/>
      <c r="U24" s="903"/>
      <c r="V24" s="903"/>
      <c r="W24" s="903"/>
      <c r="X24" s="903"/>
      <c r="Y24" s="903"/>
    </row>
    <row r="25" spans="2:25" s="2" customFormat="1" ht="24.75" customHeight="1">
      <c r="B25" s="8"/>
      <c r="C25" s="2" t="s">
        <v>425</v>
      </c>
      <c r="D25" s="2" t="s">
        <v>428</v>
      </c>
      <c r="N25" s="9"/>
      <c r="O25" s="903"/>
      <c r="P25" s="903"/>
      <c r="Q25" s="903"/>
      <c r="R25" s="903"/>
      <c r="S25" s="903"/>
      <c r="T25" s="903"/>
      <c r="U25" s="903"/>
      <c r="V25" s="903"/>
      <c r="W25" s="903"/>
      <c r="X25" s="903"/>
      <c r="Y25" s="903"/>
    </row>
    <row r="26" spans="2:25" s="2" customFormat="1" ht="24.75" customHeight="1">
      <c r="B26" s="8"/>
      <c r="C26" s="2" t="s">
        <v>429</v>
      </c>
      <c r="D26" s="2" t="s">
        <v>430</v>
      </c>
      <c r="N26" s="9"/>
      <c r="O26" s="903"/>
      <c r="P26" s="903"/>
      <c r="Q26" s="903"/>
      <c r="R26" s="903"/>
      <c r="S26" s="903"/>
      <c r="T26" s="903"/>
      <c r="U26" s="903"/>
      <c r="V26" s="903"/>
      <c r="W26" s="903"/>
      <c r="X26" s="903"/>
      <c r="Y26" s="903"/>
    </row>
    <row r="27" spans="2:25" s="2" customFormat="1" ht="24.75" customHeight="1">
      <c r="B27" s="8"/>
      <c r="C27" s="2" t="s">
        <v>431</v>
      </c>
      <c r="D27" s="2" t="s">
        <v>432</v>
      </c>
      <c r="N27" s="9"/>
      <c r="O27" s="903"/>
      <c r="P27" s="903"/>
      <c r="Q27" s="903"/>
      <c r="R27" s="903"/>
      <c r="S27" s="903"/>
      <c r="T27" s="903"/>
      <c r="U27" s="903"/>
      <c r="V27" s="903"/>
      <c r="W27" s="903"/>
      <c r="X27" s="903"/>
      <c r="Y27" s="903"/>
    </row>
    <row r="28" spans="2:25" s="2" customFormat="1" ht="24.75" customHeight="1">
      <c r="B28" s="8"/>
      <c r="C28" s="2" t="s">
        <v>433</v>
      </c>
      <c r="D28" s="2" t="s">
        <v>434</v>
      </c>
      <c r="N28" s="9"/>
      <c r="O28" s="903"/>
      <c r="P28" s="903"/>
      <c r="Q28" s="903"/>
      <c r="R28" s="903"/>
      <c r="S28" s="903"/>
      <c r="T28" s="903"/>
      <c r="U28" s="903"/>
      <c r="V28" s="903"/>
      <c r="W28" s="903"/>
      <c r="X28" s="903"/>
      <c r="Y28" s="903"/>
    </row>
    <row r="29" spans="2:25" s="2" customFormat="1" ht="24.75" customHeight="1">
      <c r="B29" s="8"/>
      <c r="C29" s="2" t="s">
        <v>435</v>
      </c>
      <c r="D29" s="361" t="s">
        <v>1064</v>
      </c>
      <c r="N29" s="9"/>
      <c r="O29" s="903"/>
      <c r="P29" s="903"/>
      <c r="Q29" s="903"/>
      <c r="R29" s="903"/>
      <c r="S29" s="903"/>
      <c r="T29" s="903"/>
      <c r="U29" s="903"/>
      <c r="V29" s="903"/>
      <c r="W29" s="903"/>
      <c r="X29" s="903"/>
      <c r="Y29" s="903"/>
    </row>
    <row r="30" spans="2:25" s="2" customFormat="1" ht="24.75" customHeight="1">
      <c r="B30" s="8"/>
      <c r="C30" s="2" t="s">
        <v>437</v>
      </c>
      <c r="D30" s="2" t="s">
        <v>436</v>
      </c>
      <c r="N30" s="9"/>
      <c r="O30" s="903"/>
      <c r="P30" s="903"/>
      <c r="Q30" s="903"/>
      <c r="R30" s="903"/>
      <c r="S30" s="903"/>
      <c r="T30" s="903"/>
      <c r="U30" s="903"/>
      <c r="V30" s="903"/>
      <c r="W30" s="903"/>
      <c r="X30" s="903"/>
      <c r="Y30" s="903"/>
    </row>
    <row r="31" spans="2:25" s="2" customFormat="1" ht="24.75" customHeight="1">
      <c r="B31" s="8"/>
      <c r="C31" s="2" t="s">
        <v>439</v>
      </c>
      <c r="D31" s="2" t="s">
        <v>438</v>
      </c>
      <c r="N31" s="9"/>
      <c r="O31" s="903"/>
      <c r="P31" s="903"/>
      <c r="Q31" s="903"/>
      <c r="R31" s="903"/>
      <c r="S31" s="903"/>
      <c r="T31" s="903"/>
      <c r="U31" s="903"/>
      <c r="V31" s="903"/>
      <c r="W31" s="903"/>
      <c r="X31" s="903"/>
      <c r="Y31" s="903"/>
    </row>
    <row r="32" spans="2:25" s="2" customFormat="1" ht="24.75" customHeight="1">
      <c r="B32" s="8"/>
      <c r="C32" s="361" t="s">
        <v>440</v>
      </c>
      <c r="D32" s="2" t="s">
        <v>441</v>
      </c>
      <c r="N32" s="9"/>
      <c r="O32" s="903"/>
      <c r="P32" s="903"/>
      <c r="Q32" s="903"/>
      <c r="R32" s="903"/>
      <c r="S32" s="903"/>
      <c r="T32" s="903"/>
      <c r="U32" s="903"/>
      <c r="V32" s="903"/>
      <c r="W32" s="903"/>
      <c r="X32" s="903"/>
      <c r="Y32" s="903"/>
    </row>
    <row r="33" spans="2:25" s="2" customFormat="1" ht="24.75" customHeight="1">
      <c r="B33" s="8"/>
      <c r="C33" s="361" t="s">
        <v>1060</v>
      </c>
      <c r="D33" s="2" t="s">
        <v>443</v>
      </c>
      <c r="N33" s="9"/>
      <c r="O33" s="903"/>
      <c r="P33" s="903"/>
      <c r="Q33" s="903"/>
      <c r="R33" s="903"/>
      <c r="S33" s="903"/>
      <c r="T33" s="903"/>
      <c r="U33" s="903"/>
      <c r="V33" s="903"/>
      <c r="W33" s="903"/>
      <c r="X33" s="903"/>
      <c r="Y33" s="903"/>
    </row>
    <row r="34" spans="2:25" s="2" customFormat="1" ht="24.75" customHeight="1">
      <c r="B34" s="8"/>
      <c r="C34" s="361" t="s">
        <v>1061</v>
      </c>
      <c r="D34" s="2" t="s">
        <v>444</v>
      </c>
      <c r="N34" s="9"/>
      <c r="O34" s="903"/>
      <c r="P34" s="903"/>
      <c r="Q34" s="903"/>
      <c r="R34" s="903"/>
      <c r="S34" s="903"/>
      <c r="T34" s="903"/>
      <c r="U34" s="903"/>
      <c r="V34" s="903"/>
      <c r="W34" s="903"/>
      <c r="X34" s="903"/>
      <c r="Y34" s="903"/>
    </row>
    <row r="35" spans="2:25" s="2" customFormat="1" ht="24.75" customHeight="1">
      <c r="B35" s="8"/>
      <c r="C35" s="361" t="s">
        <v>1062</v>
      </c>
      <c r="D35" s="2" t="s">
        <v>445</v>
      </c>
      <c r="N35" s="9"/>
      <c r="O35" s="903"/>
      <c r="P35" s="903"/>
      <c r="Q35" s="903"/>
      <c r="R35" s="903"/>
      <c r="S35" s="903"/>
      <c r="T35" s="903"/>
      <c r="U35" s="903"/>
      <c r="V35" s="903"/>
      <c r="W35" s="903"/>
      <c r="X35" s="903"/>
      <c r="Y35" s="903"/>
    </row>
    <row r="36" spans="2:14" s="2" customFormat="1" ht="24.75" customHeight="1">
      <c r="B36" s="8"/>
      <c r="C36" s="361" t="s">
        <v>1063</v>
      </c>
      <c r="D36" s="2" t="s">
        <v>448</v>
      </c>
      <c r="N36" s="9"/>
    </row>
    <row r="37" spans="2:14" s="2" customFormat="1" ht="24.75" customHeight="1">
      <c r="B37" s="8"/>
      <c r="N37" s="9"/>
    </row>
    <row r="38" spans="2:14" s="2" customFormat="1" ht="24.75" customHeight="1">
      <c r="B38" s="8"/>
      <c r="N38" s="9"/>
    </row>
    <row r="39" spans="2:14" s="2" customFormat="1" ht="24.75" customHeight="1">
      <c r="B39" s="8"/>
      <c r="C39" s="271" t="s">
        <v>447</v>
      </c>
      <c r="D39" s="901" t="s">
        <v>449</v>
      </c>
      <c r="N39" s="9"/>
    </row>
    <row r="40" spans="2:14" s="2" customFormat="1" ht="24.75" customHeight="1">
      <c r="B40" s="8"/>
      <c r="N40" s="9"/>
    </row>
    <row r="41" spans="2:14" s="2" customFormat="1" ht="24.75" customHeight="1">
      <c r="B41" s="8"/>
      <c r="C41" s="70" t="s">
        <v>898</v>
      </c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9"/>
    </row>
    <row r="42" spans="2:14" s="2" customFormat="1" ht="24.75" customHeight="1">
      <c r="B42" s="8"/>
      <c r="N42" s="9"/>
    </row>
    <row r="43" spans="2:14" s="2" customFormat="1" ht="24.75" customHeight="1">
      <c r="B43" s="8"/>
      <c r="C43" s="271" t="s">
        <v>899</v>
      </c>
      <c r="N43" s="9"/>
    </row>
    <row r="44" spans="2:14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="2" customFormat="1" ht="30" customHeight="1"/>
    <row r="46" spans="3:13" s="42" customFormat="1" ht="12.75">
      <c r="C46" s="37" t="s">
        <v>451</v>
      </c>
      <c r="G46" s="43"/>
      <c r="M46" s="41" t="s">
        <v>456</v>
      </c>
    </row>
    <row r="47" spans="3:7" s="42" customFormat="1" ht="12.75">
      <c r="C47" s="38" t="s">
        <v>452</v>
      </c>
      <c r="G47" s="43"/>
    </row>
    <row r="48" spans="3:7" s="42" customFormat="1" ht="12.75">
      <c r="C48" s="38" t="s">
        <v>453</v>
      </c>
      <c r="G48" s="43"/>
    </row>
    <row r="49" spans="3:7" s="42" customFormat="1" ht="12.75">
      <c r="C49" s="38" t="s">
        <v>454</v>
      </c>
      <c r="G49" s="43"/>
    </row>
    <row r="50" spans="3:7" s="42" customFormat="1" ht="12.75">
      <c r="C50" s="38" t="s">
        <v>455</v>
      </c>
      <c r="G50" s="43"/>
    </row>
    <row r="51" s="2" customFormat="1" ht="30" customHeight="1"/>
    <row r="52" s="2" customFormat="1" ht="30" customHeight="1"/>
    <row r="53" s="2" customFormat="1" ht="30" customHeight="1"/>
    <row r="54" s="2" customFormat="1" ht="30" customHeight="1"/>
    <row r="55" s="2" customFormat="1" ht="30" customHeight="1"/>
    <row r="56" s="2" customFormat="1" ht="30" customHeight="1"/>
    <row r="57" s="2" customFormat="1" ht="30" customHeight="1"/>
    <row r="58" s="2" customFormat="1" ht="30" customHeight="1"/>
    <row r="59" s="2" customFormat="1" ht="30" customHeight="1"/>
    <row r="60" s="2" customFormat="1" ht="30" customHeight="1"/>
    <row r="61" s="2" customFormat="1" ht="30" customHeight="1"/>
    <row r="62" s="2" customFormat="1" ht="30" customHeight="1"/>
    <row r="63" s="2" customFormat="1" ht="30" customHeight="1"/>
    <row r="64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</sheetData>
  <sheetProtection password="C494" sheet="1" objects="1" scenarios="1"/>
  <mergeCells count="4">
    <mergeCell ref="M6:M7"/>
    <mergeCell ref="D13:M13"/>
    <mergeCell ref="D16:M16"/>
    <mergeCell ref="D14:F14"/>
  </mergeCells>
  <dataValidations count="1">
    <dataValidation type="list" allowBlank="1" showInputMessage="1" showErrorMessage="1" sqref="D14">
      <formula1>$S$14:$S$15</formula1>
    </dataValidation>
  </dataValidations>
  <printOptions/>
  <pageMargins left="0.7500000000000001" right="0.7500000000000001" top="1" bottom="1" header="0.5" footer="0.5"/>
  <pageSetup fitToHeight="1" fitToWidth="1" orientation="portrait" paperSize="9" scale="5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1"/>
  <sheetViews>
    <sheetView zoomScalePageLayoutView="0" workbookViewId="0" topLeftCell="A19">
      <selection activeCell="K25" sqref="K25"/>
    </sheetView>
  </sheetViews>
  <sheetFormatPr defaultColWidth="10.6640625" defaultRowHeight="22.5" customHeight="1"/>
  <cols>
    <col min="1" max="1" width="4.3359375" style="42" bestFit="1" customWidth="1"/>
    <col min="2" max="2" width="3.3359375" style="42" customWidth="1"/>
    <col min="3" max="3" width="9.5546875" style="42" customWidth="1"/>
    <col min="4" max="4" width="5.5546875" style="42" customWidth="1"/>
    <col min="5" max="5" width="69.6640625" style="42" customWidth="1"/>
    <col min="6" max="8" width="18.3359375" style="88" customWidth="1"/>
    <col min="9" max="9" width="3.3359375" style="42" customWidth="1"/>
    <col min="10" max="16384" width="10.6640625" style="42" customWidth="1"/>
  </cols>
  <sheetData>
    <row r="1" ht="22.5" customHeight="1">
      <c r="D1" s="44"/>
    </row>
    <row r="2" ht="22.5" customHeight="1">
      <c r="D2" s="64" t="s">
        <v>753</v>
      </c>
    </row>
    <row r="3" ht="22.5" customHeight="1">
      <c r="D3" s="64" t="s">
        <v>754</v>
      </c>
    </row>
    <row r="4" ht="22.5" customHeight="1" thickBot="1">
      <c r="A4" s="42" t="s">
        <v>153</v>
      </c>
    </row>
    <row r="5" spans="2:24" ht="9" customHeight="1">
      <c r="B5" s="45"/>
      <c r="C5" s="46"/>
      <c r="D5" s="46"/>
      <c r="E5" s="46"/>
      <c r="F5" s="89"/>
      <c r="G5" s="89"/>
      <c r="H5" s="89"/>
      <c r="I5" s="47"/>
      <c r="K5" s="362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4"/>
    </row>
    <row r="6" spans="2:24" ht="30" customHeight="1">
      <c r="B6" s="48"/>
      <c r="C6" s="1" t="s">
        <v>379</v>
      </c>
      <c r="D6" s="44"/>
      <c r="E6" s="44"/>
      <c r="F6" s="90"/>
      <c r="G6" s="90"/>
      <c r="H6" s="1226">
        <f>ejercicio</f>
        <v>2019</v>
      </c>
      <c r="I6" s="50"/>
      <c r="K6" s="365"/>
      <c r="L6" s="366" t="s">
        <v>1067</v>
      </c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8"/>
    </row>
    <row r="7" spans="2:24" ht="30" customHeight="1">
      <c r="B7" s="48"/>
      <c r="C7" s="1" t="s">
        <v>380</v>
      </c>
      <c r="D7" s="44"/>
      <c r="E7" s="44"/>
      <c r="F7" s="90"/>
      <c r="G7" s="90"/>
      <c r="H7" s="1226"/>
      <c r="I7" s="50"/>
      <c r="K7" s="365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8"/>
    </row>
    <row r="8" spans="2:24" ht="30" customHeight="1">
      <c r="B8" s="48"/>
      <c r="C8" s="49"/>
      <c r="D8" s="44"/>
      <c r="E8" s="44"/>
      <c r="F8" s="90"/>
      <c r="G8" s="90"/>
      <c r="H8" s="91"/>
      <c r="I8" s="50"/>
      <c r="K8" s="365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8"/>
    </row>
    <row r="9" spans="2:24" s="58" customFormat="1" ht="30" customHeight="1">
      <c r="B9" s="56"/>
      <c r="C9" s="39" t="s">
        <v>381</v>
      </c>
      <c r="D9" s="1240" t="str">
        <f>Entidad</f>
        <v>INSTITUTO TECNOLOGICO Y DE ENERGIAS RENOVABLES S.A.</v>
      </c>
      <c r="E9" s="1240"/>
      <c r="F9" s="1240"/>
      <c r="G9" s="1240"/>
      <c r="H9" s="1240"/>
      <c r="I9" s="57"/>
      <c r="K9" s="369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1"/>
    </row>
    <row r="10" spans="2:24" ht="6.75" customHeight="1">
      <c r="B10" s="48"/>
      <c r="C10" s="44"/>
      <c r="D10" s="44"/>
      <c r="E10" s="44"/>
      <c r="F10" s="90"/>
      <c r="G10" s="90"/>
      <c r="H10" s="90"/>
      <c r="I10" s="50"/>
      <c r="K10" s="365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8"/>
    </row>
    <row r="11" spans="2:24" s="60" customFormat="1" ht="30" customHeight="1">
      <c r="B11" s="24"/>
      <c r="C11" s="11" t="s">
        <v>695</v>
      </c>
      <c r="D11" s="11"/>
      <c r="E11" s="11"/>
      <c r="F11" s="92"/>
      <c r="G11" s="92"/>
      <c r="H11" s="92"/>
      <c r="I11" s="59"/>
      <c r="K11" s="372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4"/>
    </row>
    <row r="12" spans="2:24" s="60" customFormat="1" ht="30" customHeight="1">
      <c r="B12" s="24"/>
      <c r="C12" s="902">
        <f>IF(_GENERAL!D14&lt;&gt;"Normal","No aplica a empresas que presentan cuentas en modelo abreviado o PyMES","")</f>
      </c>
      <c r="D12" s="66"/>
      <c r="E12" s="66"/>
      <c r="F12" s="93"/>
      <c r="G12" s="93"/>
      <c r="H12" s="93"/>
      <c r="I12" s="59"/>
      <c r="K12" s="372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4"/>
    </row>
    <row r="13" spans="2:24" ht="22.5" customHeight="1">
      <c r="B13" s="48"/>
      <c r="C13" s="348"/>
      <c r="D13" s="349"/>
      <c r="E13" s="349"/>
      <c r="F13" s="356" t="s">
        <v>557</v>
      </c>
      <c r="G13" s="356" t="s">
        <v>558</v>
      </c>
      <c r="H13" s="356" t="s">
        <v>559</v>
      </c>
      <c r="I13" s="50"/>
      <c r="K13" s="365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8"/>
    </row>
    <row r="14" spans="2:24" ht="22.5" customHeight="1">
      <c r="B14" s="48"/>
      <c r="C14" s="354"/>
      <c r="D14" s="355"/>
      <c r="E14" s="355"/>
      <c r="F14" s="357">
        <f>ejercicio-2</f>
        <v>2017</v>
      </c>
      <c r="G14" s="357">
        <f>ejercicio-1</f>
        <v>2018</v>
      </c>
      <c r="H14" s="357">
        <f>ejercicio</f>
        <v>2019</v>
      </c>
      <c r="I14" s="50"/>
      <c r="K14" s="365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8"/>
    </row>
    <row r="15" spans="2:24" ht="22.5" customHeight="1">
      <c r="B15" s="48"/>
      <c r="C15" s="350" t="s">
        <v>696</v>
      </c>
      <c r="D15" s="86"/>
      <c r="E15" s="85"/>
      <c r="F15" s="135"/>
      <c r="G15" s="135"/>
      <c r="H15" s="135"/>
      <c r="I15" s="50"/>
      <c r="K15" s="365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8"/>
    </row>
    <row r="16" spans="2:24" ht="22.5" customHeight="1">
      <c r="B16" s="48"/>
      <c r="C16" s="351" t="s">
        <v>697</v>
      </c>
      <c r="D16" s="70"/>
      <c r="E16" s="69"/>
      <c r="F16" s="491">
        <f>'FC-3_CPyG'!E76</f>
        <v>1275723.0800000015</v>
      </c>
      <c r="G16" s="491">
        <f>'FC-3_CPyG'!F76</f>
        <v>478203.2999999989</v>
      </c>
      <c r="H16" s="491">
        <f>'FC-3_CPyG'!G76</f>
        <v>2207948.729999998</v>
      </c>
      <c r="I16" s="50"/>
      <c r="K16" s="365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8"/>
    </row>
    <row r="17" spans="2:24" ht="22.5" customHeight="1">
      <c r="B17" s="48"/>
      <c r="C17" s="351" t="s">
        <v>698</v>
      </c>
      <c r="D17" s="70"/>
      <c r="E17" s="69"/>
      <c r="F17" s="132">
        <f>SUM(F18:F28)</f>
        <v>1869796.91</v>
      </c>
      <c r="G17" s="132">
        <f>SUM(G18:G28)</f>
        <v>838786.7300000004</v>
      </c>
      <c r="H17" s="132">
        <f>SUM(H18:H28)</f>
        <v>3610743.17</v>
      </c>
      <c r="I17" s="50"/>
      <c r="K17" s="365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8"/>
    </row>
    <row r="18" spans="2:24" ht="22.5" customHeight="1">
      <c r="B18" s="48"/>
      <c r="C18" s="303"/>
      <c r="D18" s="72" t="s">
        <v>699</v>
      </c>
      <c r="E18" s="72"/>
      <c r="F18" s="403">
        <v>3924675</v>
      </c>
      <c r="G18" s="403">
        <v>4003820.22</v>
      </c>
      <c r="H18" s="403">
        <v>6298878.45</v>
      </c>
      <c r="I18" s="50"/>
      <c r="K18" s="365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8"/>
    </row>
    <row r="19" spans="2:24" ht="22.5" customHeight="1">
      <c r="B19" s="48"/>
      <c r="C19" s="303"/>
      <c r="D19" s="72" t="s">
        <v>700</v>
      </c>
      <c r="E19" s="72"/>
      <c r="F19" s="403"/>
      <c r="G19" s="403"/>
      <c r="H19" s="403"/>
      <c r="I19" s="50"/>
      <c r="K19" s="365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8"/>
    </row>
    <row r="20" spans="2:24" ht="22.5" customHeight="1">
      <c r="B20" s="48"/>
      <c r="C20" s="303"/>
      <c r="D20" s="72" t="s">
        <v>701</v>
      </c>
      <c r="E20" s="72"/>
      <c r="F20" s="403"/>
      <c r="G20" s="403"/>
      <c r="H20" s="403"/>
      <c r="I20" s="50"/>
      <c r="K20" s="365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8"/>
    </row>
    <row r="21" spans="2:24" ht="22.5" customHeight="1">
      <c r="B21" s="48"/>
      <c r="C21" s="303"/>
      <c r="D21" s="72" t="s">
        <v>702</v>
      </c>
      <c r="E21" s="72"/>
      <c r="F21" s="403">
        <v>-419505.1</v>
      </c>
      <c r="G21" s="403">
        <v>-488937.59</v>
      </c>
      <c r="H21" s="403">
        <v>-710085.74</v>
      </c>
      <c r="I21" s="50"/>
      <c r="K21" s="365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8"/>
    </row>
    <row r="22" spans="2:24" ht="22.5" customHeight="1">
      <c r="B22" s="48"/>
      <c r="C22" s="303"/>
      <c r="D22" s="72" t="s">
        <v>703</v>
      </c>
      <c r="E22" s="72"/>
      <c r="F22" s="403"/>
      <c r="G22" s="403"/>
      <c r="H22" s="403"/>
      <c r="I22" s="50"/>
      <c r="K22" s="365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8"/>
    </row>
    <row r="23" spans="2:24" ht="22.5" customHeight="1">
      <c r="B23" s="48"/>
      <c r="C23" s="303"/>
      <c r="D23" s="72" t="s">
        <v>704</v>
      </c>
      <c r="E23" s="72"/>
      <c r="F23" s="403"/>
      <c r="G23" s="403"/>
      <c r="H23" s="403"/>
      <c r="I23" s="50"/>
      <c r="K23" s="365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8"/>
    </row>
    <row r="24" spans="2:24" ht="22.5" customHeight="1">
      <c r="B24" s="48"/>
      <c r="C24" s="303"/>
      <c r="D24" s="72" t="s">
        <v>705</v>
      </c>
      <c r="E24" s="72"/>
      <c r="F24" s="403">
        <v>-1722058.58</v>
      </c>
      <c r="G24" s="403">
        <v>-1844749.9</v>
      </c>
      <c r="H24" s="403">
        <v>-1694338.2</v>
      </c>
      <c r="I24" s="50"/>
      <c r="K24" s="365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8"/>
    </row>
    <row r="25" spans="2:24" ht="22.5" customHeight="1">
      <c r="B25" s="48"/>
      <c r="C25" s="303"/>
      <c r="D25" s="72" t="s">
        <v>706</v>
      </c>
      <c r="E25" s="72"/>
      <c r="F25" s="403">
        <v>183014.83</v>
      </c>
      <c r="G25" s="403">
        <v>190221.25</v>
      </c>
      <c r="H25" s="403">
        <v>357117.96</v>
      </c>
      <c r="I25" s="50"/>
      <c r="K25" s="365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8"/>
    </row>
    <row r="26" spans="2:24" ht="22.5" customHeight="1">
      <c r="B26" s="48"/>
      <c r="C26" s="303"/>
      <c r="D26" s="72" t="s">
        <v>707</v>
      </c>
      <c r="E26" s="72"/>
      <c r="F26" s="403">
        <v>1001.78</v>
      </c>
      <c r="G26" s="403"/>
      <c r="H26" s="403"/>
      <c r="I26" s="50"/>
      <c r="K26" s="365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8"/>
    </row>
    <row r="27" spans="2:24" ht="22.5" customHeight="1">
      <c r="B27" s="48"/>
      <c r="C27" s="303"/>
      <c r="D27" s="72" t="s">
        <v>708</v>
      </c>
      <c r="E27" s="72"/>
      <c r="F27" s="403"/>
      <c r="G27" s="403"/>
      <c r="H27" s="403"/>
      <c r="I27" s="50"/>
      <c r="K27" s="365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8"/>
    </row>
    <row r="28" spans="2:24" ht="22.5" customHeight="1">
      <c r="B28" s="48"/>
      <c r="C28" s="303"/>
      <c r="D28" s="72" t="s">
        <v>709</v>
      </c>
      <c r="E28" s="72"/>
      <c r="F28" s="403">
        <v>-97331.02</v>
      </c>
      <c r="G28" s="403">
        <v>-1021567.25</v>
      </c>
      <c r="H28" s="403">
        <v>-640829.3</v>
      </c>
      <c r="I28" s="50"/>
      <c r="K28" s="365" t="s">
        <v>363</v>
      </c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8"/>
    </row>
    <row r="29" spans="2:24" ht="22.5" customHeight="1">
      <c r="B29" s="48"/>
      <c r="C29" s="351" t="s">
        <v>710</v>
      </c>
      <c r="D29" s="70"/>
      <c r="E29" s="69"/>
      <c r="F29" s="132">
        <f>SUM(F30:F35)</f>
        <v>64116.67999999982</v>
      </c>
      <c r="G29" s="132">
        <f>SUM(G30:G35)</f>
        <v>1100820.9899999998</v>
      </c>
      <c r="H29" s="132">
        <f>SUM(H30:H35)</f>
        <v>2126049.66</v>
      </c>
      <c r="I29" s="50"/>
      <c r="K29" s="365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8"/>
    </row>
    <row r="30" spans="2:24" ht="22.5" customHeight="1">
      <c r="B30" s="48"/>
      <c r="C30" s="303"/>
      <c r="D30" s="72" t="s">
        <v>711</v>
      </c>
      <c r="E30" s="72"/>
      <c r="F30" s="403">
        <v>97100.7</v>
      </c>
      <c r="G30" s="403"/>
      <c r="H30" s="403">
        <v>900</v>
      </c>
      <c r="I30" s="50"/>
      <c r="K30" s="375" t="s">
        <v>362</v>
      </c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7"/>
    </row>
    <row r="31" spans="2:24" ht="22.5" customHeight="1">
      <c r="B31" s="48"/>
      <c r="C31" s="303"/>
      <c r="D31" s="72" t="s">
        <v>712</v>
      </c>
      <c r="E31" s="72"/>
      <c r="F31" s="403">
        <v>542276.76</v>
      </c>
      <c r="G31" s="403">
        <v>728813.13</v>
      </c>
      <c r="H31" s="403">
        <v>225776.6</v>
      </c>
      <c r="I31" s="50"/>
      <c r="K31" s="375" t="s">
        <v>362</v>
      </c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6"/>
      <c r="X31" s="377"/>
    </row>
    <row r="32" spans="2:24" ht="22.5" customHeight="1">
      <c r="B32" s="48"/>
      <c r="C32" s="303"/>
      <c r="D32" s="72" t="s">
        <v>713</v>
      </c>
      <c r="E32" s="72"/>
      <c r="F32" s="403">
        <v>106616.66</v>
      </c>
      <c r="G32" s="403">
        <v>2168092.86</v>
      </c>
      <c r="H32" s="403">
        <v>2054023.38</v>
      </c>
      <c r="I32" s="50"/>
      <c r="K32" s="365" t="s">
        <v>363</v>
      </c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8"/>
    </row>
    <row r="33" spans="2:24" ht="22.5" customHeight="1">
      <c r="B33" s="48"/>
      <c r="C33" s="303"/>
      <c r="D33" s="72" t="s">
        <v>714</v>
      </c>
      <c r="E33" s="72"/>
      <c r="F33" s="403">
        <v>-709540.45</v>
      </c>
      <c r="G33" s="403">
        <v>-825645.25</v>
      </c>
      <c r="H33" s="403">
        <v>-622088.95</v>
      </c>
      <c r="I33" s="50"/>
      <c r="K33" s="365" t="s">
        <v>362</v>
      </c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8"/>
    </row>
    <row r="34" spans="2:24" ht="22.5" customHeight="1">
      <c r="B34" s="48"/>
      <c r="C34" s="303"/>
      <c r="D34" s="72" t="s">
        <v>715</v>
      </c>
      <c r="E34" s="72"/>
      <c r="F34" s="403">
        <v>27663.009999999776</v>
      </c>
      <c r="G34" s="403">
        <v>-970439.75</v>
      </c>
      <c r="H34" s="403">
        <v>467438.63</v>
      </c>
      <c r="I34" s="50"/>
      <c r="K34" s="365" t="s">
        <v>363</v>
      </c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8"/>
    </row>
    <row r="35" spans="2:24" ht="22.5" customHeight="1">
      <c r="B35" s="48"/>
      <c r="C35" s="303"/>
      <c r="D35" s="72" t="s">
        <v>716</v>
      </c>
      <c r="E35" s="72"/>
      <c r="F35" s="403"/>
      <c r="G35" s="403"/>
      <c r="H35" s="403"/>
      <c r="I35" s="50"/>
      <c r="K35" s="365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8"/>
    </row>
    <row r="36" spans="2:24" ht="22.5" customHeight="1">
      <c r="B36" s="48"/>
      <c r="C36" s="351" t="s">
        <v>717</v>
      </c>
      <c r="D36" s="70"/>
      <c r="E36" s="69"/>
      <c r="F36" s="132">
        <f>SUM(F37:F41)</f>
        <v>930992.2</v>
      </c>
      <c r="G36" s="132">
        <f>SUM(G37:G41)</f>
        <v>1122480.45</v>
      </c>
      <c r="H36" s="132">
        <f>SUM(H37:H41)</f>
        <v>875032.04</v>
      </c>
      <c r="I36" s="50"/>
      <c r="K36" s="378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80"/>
    </row>
    <row r="37" spans="2:24" ht="22.5" customHeight="1">
      <c r="B37" s="48"/>
      <c r="C37" s="303"/>
      <c r="D37" s="72" t="s">
        <v>718</v>
      </c>
      <c r="E37" s="72"/>
      <c r="F37" s="403">
        <v>-182688.16</v>
      </c>
      <c r="G37" s="403">
        <v>-189021.25</v>
      </c>
      <c r="H37" s="403">
        <v>-355917.96</v>
      </c>
      <c r="I37" s="50"/>
      <c r="K37" s="378" t="s">
        <v>363</v>
      </c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80"/>
    </row>
    <row r="38" spans="2:24" ht="22.5" customHeight="1">
      <c r="B38" s="48"/>
      <c r="C38" s="303"/>
      <c r="D38" s="72" t="s">
        <v>719</v>
      </c>
      <c r="E38" s="72"/>
      <c r="F38" s="403">
        <v>1086104.76</v>
      </c>
      <c r="G38" s="403">
        <v>1311501.7</v>
      </c>
      <c r="H38" s="403">
        <v>1230950</v>
      </c>
      <c r="I38" s="50"/>
      <c r="K38" s="378" t="s">
        <v>363</v>
      </c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80"/>
    </row>
    <row r="39" spans="2:24" ht="22.5" customHeight="1">
      <c r="B39" s="48"/>
      <c r="C39" s="303"/>
      <c r="D39" s="72" t="s">
        <v>720</v>
      </c>
      <c r="E39" s="72"/>
      <c r="F39" s="403">
        <v>27575.6</v>
      </c>
      <c r="G39" s="403"/>
      <c r="H39" s="403"/>
      <c r="I39" s="50"/>
      <c r="K39" s="378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80"/>
    </row>
    <row r="40" spans="2:24" ht="22.5" customHeight="1">
      <c r="B40" s="48"/>
      <c r="C40" s="303"/>
      <c r="D40" s="72" t="s">
        <v>721</v>
      </c>
      <c r="E40" s="72"/>
      <c r="F40" s="403"/>
      <c r="G40" s="403"/>
      <c r="H40" s="403"/>
      <c r="I40" s="50"/>
      <c r="K40" s="378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380"/>
    </row>
    <row r="41" spans="2:24" ht="22.5" customHeight="1">
      <c r="B41" s="48"/>
      <c r="C41" s="303"/>
      <c r="D41" s="72" t="s">
        <v>722</v>
      </c>
      <c r="E41" s="72"/>
      <c r="F41" s="403"/>
      <c r="G41" s="403"/>
      <c r="H41" s="403"/>
      <c r="I41" s="50"/>
      <c r="K41" s="378"/>
      <c r="L41" s="379"/>
      <c r="M41" s="379"/>
      <c r="N41" s="379"/>
      <c r="O41" s="379"/>
      <c r="P41" s="379"/>
      <c r="Q41" s="379"/>
      <c r="R41" s="379"/>
      <c r="S41" s="379"/>
      <c r="T41" s="379"/>
      <c r="U41" s="379"/>
      <c r="V41" s="379"/>
      <c r="W41" s="379"/>
      <c r="X41" s="380"/>
    </row>
    <row r="42" spans="2:24" ht="22.5" customHeight="1" thickBot="1">
      <c r="B42" s="48"/>
      <c r="C42" s="352" t="s">
        <v>723</v>
      </c>
      <c r="D42" s="83"/>
      <c r="E42" s="83"/>
      <c r="F42" s="323">
        <f>F16+F17+F29+F36</f>
        <v>4140628.870000001</v>
      </c>
      <c r="G42" s="323">
        <f>G16+G17+G29+G36</f>
        <v>3540291.469999999</v>
      </c>
      <c r="H42" s="323">
        <f>H16+H17+H29+H36</f>
        <v>8819773.599999998</v>
      </c>
      <c r="I42" s="50"/>
      <c r="K42" s="378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80"/>
    </row>
    <row r="43" spans="2:24" ht="22.5" customHeight="1">
      <c r="B43" s="48"/>
      <c r="C43" s="303"/>
      <c r="D43" s="62"/>
      <c r="E43" s="62"/>
      <c r="F43" s="135"/>
      <c r="G43" s="135"/>
      <c r="H43" s="135"/>
      <c r="I43" s="50"/>
      <c r="K43" s="378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80"/>
    </row>
    <row r="44" spans="2:24" ht="22.5" customHeight="1">
      <c r="B44" s="48"/>
      <c r="C44" s="350" t="s">
        <v>724</v>
      </c>
      <c r="D44" s="86"/>
      <c r="E44" s="85"/>
      <c r="F44" s="135"/>
      <c r="G44" s="135"/>
      <c r="H44" s="135"/>
      <c r="I44" s="50"/>
      <c r="K44" s="378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80"/>
    </row>
    <row r="45" spans="2:24" ht="22.5" customHeight="1">
      <c r="B45" s="48"/>
      <c r="C45" s="351" t="s">
        <v>725</v>
      </c>
      <c r="D45" s="70"/>
      <c r="E45" s="69"/>
      <c r="F45" s="132">
        <f>SUM(F46:F53)</f>
        <v>-5238221.87</v>
      </c>
      <c r="G45" s="132">
        <f>SUM(G46:G53)</f>
        <v>-61762186.08</v>
      </c>
      <c r="H45" s="132">
        <f>SUM(H46:H53)</f>
        <v>-4272238.38</v>
      </c>
      <c r="I45" s="50"/>
      <c r="K45" s="378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80"/>
    </row>
    <row r="46" spans="2:24" ht="22.5" customHeight="1">
      <c r="B46" s="48"/>
      <c r="C46" s="303"/>
      <c r="D46" s="72" t="s">
        <v>726</v>
      </c>
      <c r="E46" s="72"/>
      <c r="F46" s="403"/>
      <c r="G46" s="403"/>
      <c r="H46" s="403"/>
      <c r="I46" s="50"/>
      <c r="K46" s="378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80"/>
    </row>
    <row r="47" spans="2:24" ht="22.5" customHeight="1">
      <c r="B47" s="48"/>
      <c r="C47" s="303"/>
      <c r="D47" s="72" t="s">
        <v>727</v>
      </c>
      <c r="E47" s="72"/>
      <c r="F47" s="403">
        <v>-84998.17</v>
      </c>
      <c r="G47" s="403">
        <v>-1670</v>
      </c>
      <c r="H47" s="403"/>
      <c r="I47" s="50"/>
      <c r="K47" s="378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79"/>
      <c r="X47" s="380"/>
    </row>
    <row r="48" spans="2:24" ht="22.5" customHeight="1">
      <c r="B48" s="48"/>
      <c r="C48" s="303"/>
      <c r="D48" s="72" t="s">
        <v>728</v>
      </c>
      <c r="E48" s="72"/>
      <c r="F48" s="403">
        <v>-5071203.7</v>
      </c>
      <c r="G48" s="403">
        <v>-61547506.08</v>
      </c>
      <c r="H48" s="403">
        <v>-4272238.38</v>
      </c>
      <c r="I48" s="50"/>
      <c r="K48" s="378" t="s">
        <v>363</v>
      </c>
      <c r="L48" s="379"/>
      <c r="M48" s="379"/>
      <c r="N48" s="379"/>
      <c r="O48" s="379"/>
      <c r="P48" s="379"/>
      <c r="Q48" s="379"/>
      <c r="R48" s="379"/>
      <c r="S48" s="379"/>
      <c r="T48" s="379"/>
      <c r="U48" s="379"/>
      <c r="V48" s="379"/>
      <c r="W48" s="379"/>
      <c r="X48" s="380"/>
    </row>
    <row r="49" spans="2:24" ht="22.5" customHeight="1">
      <c r="B49" s="48"/>
      <c r="C49" s="303"/>
      <c r="D49" s="72" t="s">
        <v>729</v>
      </c>
      <c r="E49" s="72"/>
      <c r="F49" s="403"/>
      <c r="G49" s="403"/>
      <c r="H49" s="403"/>
      <c r="I49" s="50"/>
      <c r="K49" s="378"/>
      <c r="L49" s="379"/>
      <c r="M49" s="379"/>
      <c r="N49" s="379"/>
      <c r="O49" s="379"/>
      <c r="P49" s="379"/>
      <c r="Q49" s="379"/>
      <c r="R49" s="379"/>
      <c r="S49" s="379"/>
      <c r="T49" s="379"/>
      <c r="U49" s="379"/>
      <c r="V49" s="379"/>
      <c r="W49" s="379"/>
      <c r="X49" s="380"/>
    </row>
    <row r="50" spans="2:24" ht="22.5" customHeight="1">
      <c r="B50" s="48"/>
      <c r="C50" s="303"/>
      <c r="D50" s="72" t="s">
        <v>730</v>
      </c>
      <c r="E50" s="72"/>
      <c r="F50" s="403">
        <v>-82020</v>
      </c>
      <c r="G50" s="403">
        <v>-213010</v>
      </c>
      <c r="H50" s="403"/>
      <c r="I50" s="50"/>
      <c r="K50" s="378"/>
      <c r="L50" s="379"/>
      <c r="M50" s="379"/>
      <c r="N50" s="379"/>
      <c r="O50" s="379"/>
      <c r="P50" s="379"/>
      <c r="Q50" s="379"/>
      <c r="R50" s="379"/>
      <c r="S50" s="379"/>
      <c r="T50" s="379"/>
      <c r="U50" s="379"/>
      <c r="V50" s="379"/>
      <c r="W50" s="379"/>
      <c r="X50" s="380"/>
    </row>
    <row r="51" spans="2:24" ht="22.5" customHeight="1">
      <c r="B51" s="48"/>
      <c r="C51" s="303"/>
      <c r="D51" s="72" t="s">
        <v>731</v>
      </c>
      <c r="E51" s="72"/>
      <c r="F51" s="403"/>
      <c r="G51" s="403"/>
      <c r="H51" s="403"/>
      <c r="I51" s="50"/>
      <c r="K51" s="378"/>
      <c r="L51" s="379"/>
      <c r="M51" s="379"/>
      <c r="N51" s="379"/>
      <c r="O51" s="379"/>
      <c r="P51" s="379"/>
      <c r="Q51" s="379"/>
      <c r="R51" s="379"/>
      <c r="S51" s="379"/>
      <c r="T51" s="379"/>
      <c r="U51" s="379"/>
      <c r="V51" s="379"/>
      <c r="W51" s="379"/>
      <c r="X51" s="380"/>
    </row>
    <row r="52" spans="2:24" s="75" customFormat="1" ht="22.5" customHeight="1">
      <c r="B52" s="24"/>
      <c r="C52" s="303"/>
      <c r="D52" s="72" t="s">
        <v>757</v>
      </c>
      <c r="E52" s="72"/>
      <c r="F52" s="403"/>
      <c r="G52" s="403"/>
      <c r="H52" s="403"/>
      <c r="I52" s="59"/>
      <c r="K52" s="378"/>
      <c r="L52" s="379"/>
      <c r="M52" s="379"/>
      <c r="N52" s="379"/>
      <c r="O52" s="379"/>
      <c r="P52" s="379"/>
      <c r="Q52" s="379"/>
      <c r="R52" s="379"/>
      <c r="S52" s="379"/>
      <c r="T52" s="379"/>
      <c r="U52" s="379"/>
      <c r="V52" s="379"/>
      <c r="W52" s="379"/>
      <c r="X52" s="380"/>
    </row>
    <row r="53" spans="2:24" ht="22.5" customHeight="1">
      <c r="B53" s="48"/>
      <c r="C53" s="303"/>
      <c r="D53" s="72" t="s">
        <v>758</v>
      </c>
      <c r="E53" s="72"/>
      <c r="F53" s="403"/>
      <c r="G53" s="403"/>
      <c r="H53" s="403"/>
      <c r="I53" s="50"/>
      <c r="K53" s="378"/>
      <c r="L53" s="379"/>
      <c r="M53" s="379"/>
      <c r="N53" s="379"/>
      <c r="O53" s="379"/>
      <c r="P53" s="379"/>
      <c r="Q53" s="379"/>
      <c r="R53" s="379"/>
      <c r="S53" s="379"/>
      <c r="T53" s="379"/>
      <c r="U53" s="379"/>
      <c r="V53" s="379"/>
      <c r="W53" s="379"/>
      <c r="X53" s="380"/>
    </row>
    <row r="54" spans="2:24" ht="22.5" customHeight="1">
      <c r="B54" s="48"/>
      <c r="C54" s="351" t="s">
        <v>732</v>
      </c>
      <c r="D54" s="70"/>
      <c r="E54" s="69"/>
      <c r="F54" s="132">
        <f>SUM(F55:F62)</f>
        <v>2039596</v>
      </c>
      <c r="G54" s="132">
        <f>SUM(G55:G62)</f>
        <v>783700</v>
      </c>
      <c r="H54" s="132">
        <f>SUM(H55:H62)</f>
        <v>798320</v>
      </c>
      <c r="I54" s="50"/>
      <c r="K54" s="378"/>
      <c r="L54" s="379"/>
      <c r="M54" s="379"/>
      <c r="N54" s="379"/>
      <c r="O54" s="379"/>
      <c r="P54" s="379"/>
      <c r="Q54" s="379"/>
      <c r="R54" s="379"/>
      <c r="S54" s="379"/>
      <c r="T54" s="379"/>
      <c r="U54" s="379"/>
      <c r="V54" s="379"/>
      <c r="W54" s="379"/>
      <c r="X54" s="380"/>
    </row>
    <row r="55" spans="2:24" ht="22.5" customHeight="1">
      <c r="B55" s="48"/>
      <c r="C55" s="303"/>
      <c r="D55" s="72" t="s">
        <v>726</v>
      </c>
      <c r="E55" s="72"/>
      <c r="F55" s="403"/>
      <c r="G55" s="403"/>
      <c r="H55" s="403"/>
      <c r="I55" s="50"/>
      <c r="K55" s="378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79"/>
      <c r="X55" s="380"/>
    </row>
    <row r="56" spans="2:24" ht="22.5" customHeight="1">
      <c r="B56" s="48"/>
      <c r="C56" s="303"/>
      <c r="D56" s="72" t="s">
        <v>727</v>
      </c>
      <c r="E56" s="72"/>
      <c r="F56" s="403"/>
      <c r="G56" s="403"/>
      <c r="H56" s="403"/>
      <c r="I56" s="50"/>
      <c r="K56" s="378"/>
      <c r="L56" s="379"/>
      <c r="M56" s="379"/>
      <c r="N56" s="379"/>
      <c r="O56" s="379"/>
      <c r="P56" s="379"/>
      <c r="Q56" s="379"/>
      <c r="R56" s="379"/>
      <c r="S56" s="379"/>
      <c r="T56" s="379"/>
      <c r="U56" s="379"/>
      <c r="V56" s="379"/>
      <c r="W56" s="379"/>
      <c r="X56" s="380"/>
    </row>
    <row r="57" spans="2:24" ht="22.5" customHeight="1">
      <c r="B57" s="48"/>
      <c r="C57" s="303"/>
      <c r="D57" s="72" t="s">
        <v>728</v>
      </c>
      <c r="E57" s="72"/>
      <c r="F57" s="403"/>
      <c r="G57" s="403"/>
      <c r="H57" s="403"/>
      <c r="I57" s="50"/>
      <c r="K57" s="378"/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79"/>
      <c r="X57" s="380"/>
    </row>
    <row r="58" spans="2:24" ht="22.5" customHeight="1">
      <c r="B58" s="48"/>
      <c r="C58" s="303"/>
      <c r="D58" s="72" t="s">
        <v>729</v>
      </c>
      <c r="E58" s="72"/>
      <c r="F58" s="403"/>
      <c r="G58" s="403"/>
      <c r="H58" s="403"/>
      <c r="I58" s="50"/>
      <c r="K58" s="378"/>
      <c r="L58" s="379"/>
      <c r="M58" s="379"/>
      <c r="N58" s="379"/>
      <c r="O58" s="379"/>
      <c r="P58" s="379"/>
      <c r="Q58" s="379"/>
      <c r="R58" s="379"/>
      <c r="S58" s="379"/>
      <c r="T58" s="379"/>
      <c r="U58" s="379"/>
      <c r="V58" s="379"/>
      <c r="W58" s="379"/>
      <c r="X58" s="380"/>
    </row>
    <row r="59" spans="2:24" ht="22.5" customHeight="1">
      <c r="B59" s="48"/>
      <c r="C59" s="303"/>
      <c r="D59" s="72" t="s">
        <v>730</v>
      </c>
      <c r="E59" s="72"/>
      <c r="F59" s="403">
        <v>2039596</v>
      </c>
      <c r="G59" s="403">
        <v>783700</v>
      </c>
      <c r="H59" s="403">
        <v>798320</v>
      </c>
      <c r="I59" s="50"/>
      <c r="K59" s="378" t="s">
        <v>362</v>
      </c>
      <c r="L59" s="379"/>
      <c r="M59" s="379"/>
      <c r="N59" s="379"/>
      <c r="O59" s="379"/>
      <c r="P59" s="379"/>
      <c r="Q59" s="379"/>
      <c r="R59" s="379"/>
      <c r="S59" s="379"/>
      <c r="T59" s="379"/>
      <c r="U59" s="379"/>
      <c r="V59" s="379"/>
      <c r="W59" s="379"/>
      <c r="X59" s="380"/>
    </row>
    <row r="60" spans="2:24" ht="22.5" customHeight="1">
      <c r="B60" s="48"/>
      <c r="C60" s="303"/>
      <c r="D60" s="72" t="s">
        <v>731</v>
      </c>
      <c r="E60" s="72"/>
      <c r="F60" s="403"/>
      <c r="G60" s="403"/>
      <c r="H60" s="403"/>
      <c r="I60" s="50"/>
      <c r="K60" s="378"/>
      <c r="L60" s="379"/>
      <c r="M60" s="379"/>
      <c r="N60" s="379"/>
      <c r="O60" s="379"/>
      <c r="P60" s="379"/>
      <c r="Q60" s="379"/>
      <c r="R60" s="379"/>
      <c r="S60" s="379"/>
      <c r="T60" s="379"/>
      <c r="U60" s="379"/>
      <c r="V60" s="379"/>
      <c r="W60" s="379"/>
      <c r="X60" s="380"/>
    </row>
    <row r="61" spans="2:24" ht="22.5" customHeight="1">
      <c r="B61" s="48"/>
      <c r="C61" s="303"/>
      <c r="D61" s="72" t="s">
        <v>757</v>
      </c>
      <c r="E61" s="72"/>
      <c r="F61" s="403"/>
      <c r="G61" s="403"/>
      <c r="H61" s="403"/>
      <c r="I61" s="50"/>
      <c r="K61" s="378"/>
      <c r="L61" s="379"/>
      <c r="M61" s="379"/>
      <c r="N61" s="379"/>
      <c r="O61" s="379"/>
      <c r="P61" s="379"/>
      <c r="Q61" s="379"/>
      <c r="R61" s="379"/>
      <c r="S61" s="379"/>
      <c r="T61" s="379"/>
      <c r="U61" s="379"/>
      <c r="V61" s="379"/>
      <c r="W61" s="379"/>
      <c r="X61" s="380"/>
    </row>
    <row r="62" spans="2:24" ht="22.5" customHeight="1">
      <c r="B62" s="48"/>
      <c r="C62" s="303"/>
      <c r="D62" s="72" t="s">
        <v>758</v>
      </c>
      <c r="E62" s="72"/>
      <c r="F62" s="403"/>
      <c r="G62" s="403"/>
      <c r="H62" s="403"/>
      <c r="I62" s="50"/>
      <c r="K62" s="378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80"/>
    </row>
    <row r="63" spans="2:24" ht="22.5" customHeight="1" thickBot="1">
      <c r="B63" s="48"/>
      <c r="C63" s="352" t="s">
        <v>733</v>
      </c>
      <c r="D63" s="83"/>
      <c r="E63" s="83"/>
      <c r="F63" s="323">
        <f>F45+F54</f>
        <v>-3198625.87</v>
      </c>
      <c r="G63" s="323">
        <f>G45+G54</f>
        <v>-60978486.08</v>
      </c>
      <c r="H63" s="323">
        <f>H45+H54</f>
        <v>-3473918.38</v>
      </c>
      <c r="I63" s="50"/>
      <c r="K63" s="378"/>
      <c r="L63" s="379"/>
      <c r="M63" s="379"/>
      <c r="N63" s="379"/>
      <c r="O63" s="379"/>
      <c r="P63" s="379"/>
      <c r="Q63" s="379"/>
      <c r="R63" s="379"/>
      <c r="S63" s="379"/>
      <c r="T63" s="379"/>
      <c r="U63" s="379"/>
      <c r="V63" s="379"/>
      <c r="W63" s="379"/>
      <c r="X63" s="380"/>
    </row>
    <row r="64" spans="2:24" ht="22.5" customHeight="1">
      <c r="B64" s="48"/>
      <c r="C64" s="303"/>
      <c r="D64" s="62"/>
      <c r="E64" s="62"/>
      <c r="F64" s="135"/>
      <c r="G64" s="135"/>
      <c r="H64" s="135"/>
      <c r="I64" s="50"/>
      <c r="K64" s="378"/>
      <c r="L64" s="379"/>
      <c r="M64" s="379"/>
      <c r="N64" s="379"/>
      <c r="O64" s="379"/>
      <c r="P64" s="379"/>
      <c r="Q64" s="379"/>
      <c r="R64" s="379"/>
      <c r="S64" s="379"/>
      <c r="T64" s="379"/>
      <c r="U64" s="379"/>
      <c r="V64" s="379"/>
      <c r="W64" s="379"/>
      <c r="X64" s="380"/>
    </row>
    <row r="65" spans="2:24" ht="22.5" customHeight="1">
      <c r="B65" s="48"/>
      <c r="C65" s="350" t="s">
        <v>734</v>
      </c>
      <c r="D65" s="86"/>
      <c r="E65" s="85"/>
      <c r="F65" s="135"/>
      <c r="G65" s="135"/>
      <c r="H65" s="135"/>
      <c r="I65" s="50"/>
      <c r="K65" s="378"/>
      <c r="L65" s="379"/>
      <c r="M65" s="379"/>
      <c r="N65" s="379"/>
      <c r="O65" s="379"/>
      <c r="P65" s="379"/>
      <c r="Q65" s="379"/>
      <c r="R65" s="379"/>
      <c r="S65" s="379"/>
      <c r="T65" s="379"/>
      <c r="U65" s="379"/>
      <c r="V65" s="379"/>
      <c r="W65" s="379"/>
      <c r="X65" s="380"/>
    </row>
    <row r="66" spans="2:24" ht="22.5" customHeight="1">
      <c r="B66" s="48"/>
      <c r="C66" s="351" t="s">
        <v>735</v>
      </c>
      <c r="D66" s="70"/>
      <c r="E66" s="69"/>
      <c r="F66" s="132">
        <f>SUM(F67:F71)</f>
        <v>883176.42</v>
      </c>
      <c r="G66" s="132">
        <f>SUM(G67:G71)</f>
        <v>25915789.51</v>
      </c>
      <c r="H66" s="132">
        <f>SUM(H67:H71)</f>
        <v>567719.75</v>
      </c>
      <c r="I66" s="50"/>
      <c r="K66" s="378"/>
      <c r="L66" s="379"/>
      <c r="M66" s="379"/>
      <c r="N66" s="379"/>
      <c r="O66" s="379"/>
      <c r="P66" s="379"/>
      <c r="Q66" s="379"/>
      <c r="R66" s="379"/>
      <c r="S66" s="379"/>
      <c r="T66" s="379"/>
      <c r="U66" s="379"/>
      <c r="V66" s="379"/>
      <c r="W66" s="379"/>
      <c r="X66" s="380"/>
    </row>
    <row r="67" spans="2:24" ht="22.5" customHeight="1">
      <c r="B67" s="48"/>
      <c r="C67" s="303"/>
      <c r="D67" s="72" t="s">
        <v>736</v>
      </c>
      <c r="E67" s="72"/>
      <c r="F67" s="403"/>
      <c r="G67" s="403">
        <v>24999977.3</v>
      </c>
      <c r="H67" s="403"/>
      <c r="I67" s="50"/>
      <c r="K67" s="378" t="s">
        <v>206</v>
      </c>
      <c r="L67" s="379"/>
      <c r="M67" s="379"/>
      <c r="N67" s="379"/>
      <c r="O67" s="379"/>
      <c r="P67" s="379"/>
      <c r="Q67" s="379"/>
      <c r="R67" s="379"/>
      <c r="S67" s="379"/>
      <c r="T67" s="379"/>
      <c r="U67" s="379"/>
      <c r="V67" s="379"/>
      <c r="W67" s="379"/>
      <c r="X67" s="380"/>
    </row>
    <row r="68" spans="2:24" ht="22.5" customHeight="1">
      <c r="B68" s="48"/>
      <c r="C68" s="303"/>
      <c r="D68" s="72" t="s">
        <v>737</v>
      </c>
      <c r="E68" s="72"/>
      <c r="F68" s="403"/>
      <c r="G68" s="403"/>
      <c r="H68" s="403"/>
      <c r="I68" s="50"/>
      <c r="K68" s="378"/>
      <c r="L68" s="379"/>
      <c r="M68" s="379"/>
      <c r="N68" s="379"/>
      <c r="O68" s="379"/>
      <c r="P68" s="379"/>
      <c r="Q68" s="379"/>
      <c r="R68" s="379"/>
      <c r="S68" s="379"/>
      <c r="T68" s="379"/>
      <c r="U68" s="379"/>
      <c r="V68" s="379"/>
      <c r="W68" s="379"/>
      <c r="X68" s="380"/>
    </row>
    <row r="69" spans="2:24" ht="22.5" customHeight="1">
      <c r="B69" s="48"/>
      <c r="C69" s="303"/>
      <c r="D69" s="492" t="s">
        <v>1085</v>
      </c>
      <c r="E69" s="72"/>
      <c r="F69" s="403"/>
      <c r="G69" s="403"/>
      <c r="H69" s="403"/>
      <c r="I69" s="50"/>
      <c r="K69" s="378"/>
      <c r="L69" s="379"/>
      <c r="M69" s="379"/>
      <c r="N69" s="379"/>
      <c r="O69" s="379"/>
      <c r="P69" s="379"/>
      <c r="Q69" s="379"/>
      <c r="R69" s="379"/>
      <c r="S69" s="379"/>
      <c r="T69" s="379"/>
      <c r="U69" s="379"/>
      <c r="V69" s="379"/>
      <c r="W69" s="379"/>
      <c r="X69" s="380"/>
    </row>
    <row r="70" spans="2:24" ht="22.5" customHeight="1">
      <c r="B70" s="48"/>
      <c r="C70" s="303"/>
      <c r="D70" s="72" t="s">
        <v>738</v>
      </c>
      <c r="E70" s="72"/>
      <c r="F70" s="403"/>
      <c r="G70" s="403"/>
      <c r="H70" s="403"/>
      <c r="I70" s="50"/>
      <c r="K70" s="378"/>
      <c r="L70" s="379"/>
      <c r="M70" s="379"/>
      <c r="N70" s="379"/>
      <c r="O70" s="379"/>
      <c r="P70" s="379"/>
      <c r="Q70" s="379"/>
      <c r="R70" s="379"/>
      <c r="S70" s="379"/>
      <c r="T70" s="379"/>
      <c r="U70" s="379"/>
      <c r="V70" s="379"/>
      <c r="W70" s="379"/>
      <c r="X70" s="380"/>
    </row>
    <row r="71" spans="2:24" ht="22.5" customHeight="1">
      <c r="B71" s="48"/>
      <c r="C71" s="303"/>
      <c r="D71" s="72" t="s">
        <v>739</v>
      </c>
      <c r="E71" s="72"/>
      <c r="F71" s="403">
        <v>883176.42</v>
      </c>
      <c r="G71" s="403">
        <v>915812.21</v>
      </c>
      <c r="H71" s="403">
        <v>567719.75</v>
      </c>
      <c r="I71" s="50"/>
      <c r="K71" s="378" t="s">
        <v>362</v>
      </c>
      <c r="L71" s="379"/>
      <c r="M71" s="379"/>
      <c r="N71" s="379"/>
      <c r="O71" s="379"/>
      <c r="P71" s="379"/>
      <c r="Q71" s="379"/>
      <c r="R71" s="379"/>
      <c r="S71" s="379"/>
      <c r="T71" s="379"/>
      <c r="U71" s="379"/>
      <c r="V71" s="379"/>
      <c r="W71" s="379"/>
      <c r="X71" s="380"/>
    </row>
    <row r="72" spans="2:24" ht="22.5" customHeight="1">
      <c r="B72" s="48"/>
      <c r="C72" s="351" t="s">
        <v>740</v>
      </c>
      <c r="D72" s="70"/>
      <c r="E72" s="69"/>
      <c r="F72" s="132">
        <f>+F73+F79</f>
        <v>-2317798.8199999994</v>
      </c>
      <c r="G72" s="132">
        <f>+G73+G79</f>
        <v>31243649.34</v>
      </c>
      <c r="H72" s="132">
        <f>+H73+H79</f>
        <v>-4397572.45</v>
      </c>
      <c r="I72" s="50"/>
      <c r="K72" s="378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  <c r="X72" s="380"/>
    </row>
    <row r="73" spans="2:24" ht="22.5" customHeight="1">
      <c r="B73" s="48"/>
      <c r="C73" s="303"/>
      <c r="D73" s="72" t="s">
        <v>741</v>
      </c>
      <c r="E73" s="72"/>
      <c r="F73" s="134">
        <f>SUM(F74:F78)</f>
        <v>2040774.7</v>
      </c>
      <c r="G73" s="134">
        <f>SUM(G74:G78)</f>
        <v>34763966</v>
      </c>
      <c r="H73" s="134">
        <f>SUM(H74:H78)</f>
        <v>0</v>
      </c>
      <c r="I73" s="50"/>
      <c r="K73" s="378"/>
      <c r="L73" s="379"/>
      <c r="M73" s="379"/>
      <c r="N73" s="379"/>
      <c r="O73" s="379"/>
      <c r="P73" s="379"/>
      <c r="Q73" s="379"/>
      <c r="R73" s="379"/>
      <c r="S73" s="379"/>
      <c r="T73" s="379"/>
      <c r="U73" s="379"/>
      <c r="V73" s="379"/>
      <c r="W73" s="379"/>
      <c r="X73" s="380"/>
    </row>
    <row r="74" spans="2:24" ht="22.5" customHeight="1">
      <c r="B74" s="48"/>
      <c r="C74" s="353"/>
      <c r="D74" s="87"/>
      <c r="E74" s="87" t="s">
        <v>742</v>
      </c>
      <c r="F74" s="411"/>
      <c r="G74" s="411"/>
      <c r="H74" s="411"/>
      <c r="I74" s="50"/>
      <c r="K74" s="378"/>
      <c r="L74" s="379"/>
      <c r="M74" s="379"/>
      <c r="N74" s="379"/>
      <c r="O74" s="379"/>
      <c r="P74" s="379"/>
      <c r="Q74" s="379"/>
      <c r="R74" s="379"/>
      <c r="S74" s="379"/>
      <c r="T74" s="379"/>
      <c r="U74" s="379"/>
      <c r="V74" s="379"/>
      <c r="W74" s="379"/>
      <c r="X74" s="380"/>
    </row>
    <row r="75" spans="2:24" ht="22.5" customHeight="1">
      <c r="B75" s="48"/>
      <c r="C75" s="353"/>
      <c r="D75" s="87"/>
      <c r="E75" s="87" t="s">
        <v>743</v>
      </c>
      <c r="F75" s="411"/>
      <c r="G75" s="411">
        <v>34763966</v>
      </c>
      <c r="H75" s="411"/>
      <c r="I75" s="50"/>
      <c r="K75" s="378"/>
      <c r="L75" s="379"/>
      <c r="M75" s="379"/>
      <c r="N75" s="379"/>
      <c r="O75" s="379"/>
      <c r="P75" s="379"/>
      <c r="Q75" s="379"/>
      <c r="R75" s="379"/>
      <c r="S75" s="379"/>
      <c r="T75" s="379"/>
      <c r="U75" s="379"/>
      <c r="V75" s="379"/>
      <c r="W75" s="379"/>
      <c r="X75" s="380"/>
    </row>
    <row r="76" spans="2:24" ht="22.5" customHeight="1">
      <c r="B76" s="48"/>
      <c r="C76" s="353"/>
      <c r="D76" s="87"/>
      <c r="E76" s="87" t="s">
        <v>744</v>
      </c>
      <c r="F76" s="411">
        <v>2040774.7</v>
      </c>
      <c r="G76" s="411"/>
      <c r="H76" s="411"/>
      <c r="I76" s="50"/>
      <c r="K76" s="378"/>
      <c r="L76" s="379"/>
      <c r="M76" s="379"/>
      <c r="N76" s="379"/>
      <c r="O76" s="379"/>
      <c r="P76" s="379"/>
      <c r="Q76" s="379"/>
      <c r="R76" s="379"/>
      <c r="S76" s="379"/>
      <c r="T76" s="379"/>
      <c r="U76" s="379"/>
      <c r="V76" s="379"/>
      <c r="W76" s="379"/>
      <c r="X76" s="380"/>
    </row>
    <row r="77" spans="2:24" ht="22.5" customHeight="1">
      <c r="B77" s="48"/>
      <c r="C77" s="353"/>
      <c r="D77" s="87"/>
      <c r="E77" s="87" t="s">
        <v>745</v>
      </c>
      <c r="F77" s="411"/>
      <c r="G77" s="411"/>
      <c r="H77" s="411"/>
      <c r="I77" s="50"/>
      <c r="K77" s="378"/>
      <c r="L77" s="379"/>
      <c r="M77" s="379"/>
      <c r="N77" s="379"/>
      <c r="O77" s="379"/>
      <c r="P77" s="379"/>
      <c r="Q77" s="379"/>
      <c r="R77" s="379"/>
      <c r="S77" s="379"/>
      <c r="T77" s="379"/>
      <c r="U77" s="379"/>
      <c r="V77" s="379"/>
      <c r="W77" s="379"/>
      <c r="X77" s="380"/>
    </row>
    <row r="78" spans="2:24" ht="22.5" customHeight="1">
      <c r="B78" s="48"/>
      <c r="C78" s="353"/>
      <c r="D78" s="87"/>
      <c r="E78" s="87" t="s">
        <v>746</v>
      </c>
      <c r="F78" s="411"/>
      <c r="G78" s="411"/>
      <c r="H78" s="411"/>
      <c r="I78" s="50"/>
      <c r="K78" s="378"/>
      <c r="L78" s="379"/>
      <c r="M78" s="379"/>
      <c r="N78" s="379"/>
      <c r="O78" s="379"/>
      <c r="P78" s="379"/>
      <c r="Q78" s="379"/>
      <c r="R78" s="379"/>
      <c r="S78" s="379"/>
      <c r="T78" s="379"/>
      <c r="U78" s="379"/>
      <c r="V78" s="379"/>
      <c r="W78" s="379"/>
      <c r="X78" s="380"/>
    </row>
    <row r="79" spans="2:24" ht="22.5" customHeight="1">
      <c r="B79" s="48"/>
      <c r="C79" s="303"/>
      <c r="D79" s="73" t="s">
        <v>747</v>
      </c>
      <c r="E79" s="73"/>
      <c r="F79" s="321">
        <f>SUM(F80:F84)</f>
        <v>-4358573.52</v>
      </c>
      <c r="G79" s="321">
        <f>SUM(G80:G84)</f>
        <v>-3520316.66</v>
      </c>
      <c r="H79" s="321">
        <f>SUM(H80:H84)</f>
        <v>-4397572.45</v>
      </c>
      <c r="I79" s="50"/>
      <c r="K79" s="378"/>
      <c r="L79" s="379"/>
      <c r="M79" s="379"/>
      <c r="N79" s="379"/>
      <c r="O79" s="379"/>
      <c r="P79" s="379"/>
      <c r="Q79" s="379"/>
      <c r="R79" s="379"/>
      <c r="S79" s="379"/>
      <c r="T79" s="379"/>
      <c r="U79" s="379"/>
      <c r="V79" s="379"/>
      <c r="W79" s="379"/>
      <c r="X79" s="380"/>
    </row>
    <row r="80" spans="2:24" ht="22.5" customHeight="1">
      <c r="B80" s="48"/>
      <c r="C80" s="353"/>
      <c r="D80" s="87"/>
      <c r="E80" s="87" t="s">
        <v>1080</v>
      </c>
      <c r="F80" s="411"/>
      <c r="G80" s="411"/>
      <c r="H80" s="411"/>
      <c r="I80" s="50"/>
      <c r="K80" s="378"/>
      <c r="L80" s="379"/>
      <c r="M80" s="379"/>
      <c r="N80" s="379"/>
      <c r="O80" s="379"/>
      <c r="P80" s="379"/>
      <c r="Q80" s="379"/>
      <c r="R80" s="379"/>
      <c r="S80" s="379"/>
      <c r="T80" s="379"/>
      <c r="U80" s="379"/>
      <c r="V80" s="379"/>
      <c r="W80" s="379"/>
      <c r="X80" s="380"/>
    </row>
    <row r="81" spans="2:24" ht="22.5" customHeight="1">
      <c r="B81" s="48"/>
      <c r="C81" s="353"/>
      <c r="D81" s="87"/>
      <c r="E81" s="87" t="s">
        <v>1081</v>
      </c>
      <c r="F81" s="411">
        <v>-2122274.37</v>
      </c>
      <c r="G81" s="411">
        <v>-1392945.1</v>
      </c>
      <c r="H81" s="411">
        <v>-4309393.34</v>
      </c>
      <c r="I81" s="50"/>
      <c r="K81" s="378" t="s">
        <v>362</v>
      </c>
      <c r="L81" s="379"/>
      <c r="M81" s="379"/>
      <c r="N81" s="379"/>
      <c r="O81" s="379"/>
      <c r="P81" s="379"/>
      <c r="Q81" s="379"/>
      <c r="R81" s="379"/>
      <c r="S81" s="379"/>
      <c r="T81" s="379"/>
      <c r="U81" s="379"/>
      <c r="V81" s="379"/>
      <c r="W81" s="379"/>
      <c r="X81" s="380"/>
    </row>
    <row r="82" spans="2:24" ht="22.5" customHeight="1">
      <c r="B82" s="48"/>
      <c r="C82" s="353"/>
      <c r="D82" s="87"/>
      <c r="E82" s="87" t="s">
        <v>1082</v>
      </c>
      <c r="F82" s="411"/>
      <c r="G82" s="411"/>
      <c r="H82" s="411"/>
      <c r="I82" s="50"/>
      <c r="K82" s="378"/>
      <c r="L82" s="379"/>
      <c r="M82" s="379"/>
      <c r="N82" s="379"/>
      <c r="O82" s="379"/>
      <c r="P82" s="379"/>
      <c r="Q82" s="379"/>
      <c r="R82" s="379"/>
      <c r="S82" s="379"/>
      <c r="T82" s="379"/>
      <c r="U82" s="379"/>
      <c r="V82" s="379"/>
      <c r="W82" s="379"/>
      <c r="X82" s="380"/>
    </row>
    <row r="83" spans="2:24" ht="22.5" customHeight="1">
      <c r="B83" s="48"/>
      <c r="C83" s="353"/>
      <c r="D83" s="87"/>
      <c r="E83" s="87" t="s">
        <v>1083</v>
      </c>
      <c r="F83" s="411"/>
      <c r="G83" s="411"/>
      <c r="H83" s="411"/>
      <c r="I83" s="50"/>
      <c r="K83" s="378"/>
      <c r="L83" s="379"/>
      <c r="M83" s="379"/>
      <c r="N83" s="379"/>
      <c r="O83" s="379"/>
      <c r="P83" s="379"/>
      <c r="Q83" s="379"/>
      <c r="R83" s="379"/>
      <c r="S83" s="379"/>
      <c r="T83" s="379"/>
      <c r="U83" s="379"/>
      <c r="V83" s="379"/>
      <c r="W83" s="379"/>
      <c r="X83" s="380"/>
    </row>
    <row r="84" spans="2:24" ht="22.5" customHeight="1">
      <c r="B84" s="48"/>
      <c r="C84" s="353"/>
      <c r="D84" s="87"/>
      <c r="E84" s="87" t="s">
        <v>1084</v>
      </c>
      <c r="F84" s="411">
        <v>-2236299.15</v>
      </c>
      <c r="G84" s="411">
        <v>-2127371.56</v>
      </c>
      <c r="H84" s="411">
        <v>-88179.11</v>
      </c>
      <c r="I84" s="50"/>
      <c r="K84" s="378" t="s">
        <v>362</v>
      </c>
      <c r="L84" s="379"/>
      <c r="M84" s="379"/>
      <c r="N84" s="379"/>
      <c r="O84" s="379"/>
      <c r="P84" s="379"/>
      <c r="Q84" s="379"/>
      <c r="R84" s="379"/>
      <c r="S84" s="379"/>
      <c r="T84" s="379"/>
      <c r="U84" s="379"/>
      <c r="V84" s="379"/>
      <c r="W84" s="379"/>
      <c r="X84" s="380"/>
    </row>
    <row r="85" spans="2:24" ht="22.5" customHeight="1">
      <c r="B85" s="48"/>
      <c r="C85" s="351" t="s">
        <v>748</v>
      </c>
      <c r="D85" s="70"/>
      <c r="E85" s="69"/>
      <c r="F85" s="132">
        <f>+SUM(F86:F87)</f>
        <v>0</v>
      </c>
      <c r="G85" s="132">
        <f>+SUM(G86:G87)</f>
        <v>0</v>
      </c>
      <c r="H85" s="132">
        <f>+SUM(H86:H87)</f>
        <v>0</v>
      </c>
      <c r="I85" s="50"/>
      <c r="K85" s="378"/>
      <c r="L85" s="379"/>
      <c r="M85" s="379"/>
      <c r="N85" s="379"/>
      <c r="O85" s="379"/>
      <c r="P85" s="379"/>
      <c r="Q85" s="379"/>
      <c r="R85" s="379"/>
      <c r="S85" s="379"/>
      <c r="T85" s="379"/>
      <c r="U85" s="379"/>
      <c r="V85" s="379"/>
      <c r="W85" s="379"/>
      <c r="X85" s="380"/>
    </row>
    <row r="86" spans="2:24" ht="22.5" customHeight="1">
      <c r="B86" s="48"/>
      <c r="C86" s="303"/>
      <c r="D86" s="72" t="s">
        <v>749</v>
      </c>
      <c r="E86" s="72"/>
      <c r="F86" s="403"/>
      <c r="G86" s="403"/>
      <c r="H86" s="403"/>
      <c r="I86" s="50"/>
      <c r="K86" s="378"/>
      <c r="L86" s="379"/>
      <c r="M86" s="379"/>
      <c r="N86" s="379"/>
      <c r="O86" s="379"/>
      <c r="P86" s="379"/>
      <c r="Q86" s="379"/>
      <c r="R86" s="379"/>
      <c r="S86" s="379"/>
      <c r="T86" s="379"/>
      <c r="U86" s="379"/>
      <c r="V86" s="379"/>
      <c r="W86" s="379"/>
      <c r="X86" s="380"/>
    </row>
    <row r="87" spans="2:24" ht="22.5" customHeight="1">
      <c r="B87" s="48"/>
      <c r="C87" s="303"/>
      <c r="D87" s="72" t="s">
        <v>750</v>
      </c>
      <c r="E87" s="72"/>
      <c r="F87" s="403"/>
      <c r="G87" s="403"/>
      <c r="H87" s="403"/>
      <c r="I87" s="50"/>
      <c r="K87" s="378"/>
      <c r="L87" s="379"/>
      <c r="M87" s="379"/>
      <c r="N87" s="379"/>
      <c r="O87" s="379"/>
      <c r="P87" s="379"/>
      <c r="Q87" s="379"/>
      <c r="R87" s="379"/>
      <c r="S87" s="379"/>
      <c r="T87" s="379"/>
      <c r="U87" s="379"/>
      <c r="V87" s="379"/>
      <c r="W87" s="379"/>
      <c r="X87" s="380"/>
    </row>
    <row r="88" spans="2:24" ht="22.5" customHeight="1" thickBot="1">
      <c r="B88" s="48"/>
      <c r="C88" s="352" t="s">
        <v>755</v>
      </c>
      <c r="D88" s="83"/>
      <c r="E88" s="83"/>
      <c r="F88" s="323">
        <f>+F66+F72+F85</f>
        <v>-1434622.3999999994</v>
      </c>
      <c r="G88" s="323">
        <f>+G66+G72+G85</f>
        <v>57159438.85</v>
      </c>
      <c r="H88" s="323">
        <f>+H66+H72+H85</f>
        <v>-3829852.7</v>
      </c>
      <c r="I88" s="50"/>
      <c r="K88" s="378"/>
      <c r="L88" s="379"/>
      <c r="M88" s="379"/>
      <c r="N88" s="379"/>
      <c r="O88" s="379"/>
      <c r="P88" s="379"/>
      <c r="Q88" s="379"/>
      <c r="R88" s="379"/>
      <c r="S88" s="379"/>
      <c r="T88" s="379"/>
      <c r="U88" s="379"/>
      <c r="V88" s="379"/>
      <c r="W88" s="379"/>
      <c r="X88" s="380"/>
    </row>
    <row r="89" spans="2:24" ht="22.5" customHeight="1">
      <c r="B89" s="48"/>
      <c r="C89" s="303"/>
      <c r="D89" s="62"/>
      <c r="E89" s="62"/>
      <c r="F89" s="135"/>
      <c r="G89" s="135"/>
      <c r="H89" s="135"/>
      <c r="I89" s="50"/>
      <c r="K89" s="378"/>
      <c r="L89" s="379"/>
      <c r="M89" s="379"/>
      <c r="N89" s="379"/>
      <c r="O89" s="379"/>
      <c r="P89" s="379"/>
      <c r="Q89" s="379"/>
      <c r="R89" s="379"/>
      <c r="S89" s="379"/>
      <c r="T89" s="379"/>
      <c r="U89" s="379"/>
      <c r="V89" s="379"/>
      <c r="W89" s="379"/>
      <c r="X89" s="380"/>
    </row>
    <row r="90" spans="2:24" ht="22.5" customHeight="1" thickBot="1">
      <c r="B90" s="48"/>
      <c r="C90" s="352" t="s">
        <v>751</v>
      </c>
      <c r="D90" s="83"/>
      <c r="E90" s="83"/>
      <c r="F90" s="323">
        <v>0</v>
      </c>
      <c r="G90" s="323">
        <v>0</v>
      </c>
      <c r="H90" s="323">
        <v>0</v>
      </c>
      <c r="I90" s="50"/>
      <c r="K90" s="378"/>
      <c r="L90" s="379"/>
      <c r="M90" s="379"/>
      <c r="N90" s="379"/>
      <c r="O90" s="379"/>
      <c r="P90" s="379"/>
      <c r="Q90" s="379"/>
      <c r="R90" s="379"/>
      <c r="S90" s="379"/>
      <c r="T90" s="379"/>
      <c r="U90" s="379"/>
      <c r="V90" s="379"/>
      <c r="W90" s="379"/>
      <c r="X90" s="380"/>
    </row>
    <row r="91" spans="2:24" ht="22.5" customHeight="1">
      <c r="B91" s="48"/>
      <c r="C91" s="303"/>
      <c r="D91" s="62"/>
      <c r="E91" s="62"/>
      <c r="F91" s="135"/>
      <c r="G91" s="135"/>
      <c r="H91" s="135"/>
      <c r="I91" s="50"/>
      <c r="K91" s="378"/>
      <c r="L91" s="379"/>
      <c r="M91" s="379"/>
      <c r="N91" s="379"/>
      <c r="O91" s="379"/>
      <c r="P91" s="379"/>
      <c r="Q91" s="379"/>
      <c r="R91" s="379"/>
      <c r="S91" s="379"/>
      <c r="T91" s="379"/>
      <c r="U91" s="379"/>
      <c r="V91" s="379"/>
      <c r="W91" s="379"/>
      <c r="X91" s="380"/>
    </row>
    <row r="92" spans="2:24" ht="22.5" customHeight="1" thickBot="1">
      <c r="B92" s="48"/>
      <c r="C92" s="352" t="s">
        <v>756</v>
      </c>
      <c r="D92" s="83"/>
      <c r="E92" s="83"/>
      <c r="F92" s="323">
        <f>+F42+F63+F88+F90</f>
        <v>-492619.3999999985</v>
      </c>
      <c r="G92" s="323">
        <f>+G42+G63+G88+G90</f>
        <v>-278755.7599999979</v>
      </c>
      <c r="H92" s="323">
        <f>+H42+H63+H88+H90</f>
        <v>1516002.5199999977</v>
      </c>
      <c r="I92" s="50"/>
      <c r="K92" s="378"/>
      <c r="L92" s="379"/>
      <c r="M92" s="379"/>
      <c r="N92" s="379"/>
      <c r="O92" s="379"/>
      <c r="P92" s="379"/>
      <c r="Q92" s="379"/>
      <c r="R92" s="379"/>
      <c r="S92" s="379"/>
      <c r="T92" s="379"/>
      <c r="U92" s="379"/>
      <c r="V92" s="379"/>
      <c r="W92" s="379"/>
      <c r="X92" s="380"/>
    </row>
    <row r="93" spans="2:24" ht="22.5" customHeight="1">
      <c r="B93" s="48"/>
      <c r="C93" s="58"/>
      <c r="D93" s="58"/>
      <c r="E93" s="58"/>
      <c r="F93" s="58"/>
      <c r="G93" s="58"/>
      <c r="H93" s="58"/>
      <c r="I93" s="50"/>
      <c r="K93" s="378"/>
      <c r="L93" s="379"/>
      <c r="M93" s="379"/>
      <c r="N93" s="379"/>
      <c r="O93" s="379"/>
      <c r="P93" s="379"/>
      <c r="Q93" s="379"/>
      <c r="R93" s="379"/>
      <c r="S93" s="379"/>
      <c r="T93" s="379"/>
      <c r="U93" s="379"/>
      <c r="V93" s="379"/>
      <c r="W93" s="379"/>
      <c r="X93" s="380"/>
    </row>
    <row r="94" spans="2:24" ht="22.5" customHeight="1" thickBot="1">
      <c r="B94" s="48"/>
      <c r="C94" s="358" t="s">
        <v>1159</v>
      </c>
      <c r="D94" s="359"/>
      <c r="E94" s="359"/>
      <c r="F94" s="412">
        <v>8094955.06</v>
      </c>
      <c r="G94" s="320">
        <f>+F95</f>
        <v>7602335.66</v>
      </c>
      <c r="H94" s="320">
        <f>+G95</f>
        <v>7323579.9</v>
      </c>
      <c r="I94" s="50"/>
      <c r="K94" s="1180"/>
      <c r="L94" s="1181"/>
      <c r="M94" s="379"/>
      <c r="N94" s="379"/>
      <c r="O94" s="379"/>
      <c r="P94" s="379"/>
      <c r="Q94" s="379"/>
      <c r="R94" s="379"/>
      <c r="S94" s="379"/>
      <c r="T94" s="379"/>
      <c r="U94" s="379"/>
      <c r="V94" s="379"/>
      <c r="W94" s="379"/>
      <c r="X94" s="380"/>
    </row>
    <row r="95" spans="2:24" ht="22.5" customHeight="1" thickBot="1">
      <c r="B95" s="48"/>
      <c r="C95" s="352" t="s">
        <v>752</v>
      </c>
      <c r="D95" s="83"/>
      <c r="E95" s="83"/>
      <c r="F95" s="323">
        <f>'FC-4_ACTIVO'!E90</f>
        <v>7602335.66</v>
      </c>
      <c r="G95" s="323">
        <f>+'FC-4_ACTIVO'!F90</f>
        <v>7323579.9</v>
      </c>
      <c r="H95" s="323">
        <f>+'FC-4_ACTIVO'!G90</f>
        <v>8839582.42</v>
      </c>
      <c r="I95" s="50"/>
      <c r="K95" s="1180"/>
      <c r="L95" s="379"/>
      <c r="M95" s="379"/>
      <c r="N95" s="379"/>
      <c r="O95" s="379"/>
      <c r="P95" s="379"/>
      <c r="Q95" s="379"/>
      <c r="R95" s="379"/>
      <c r="S95" s="379"/>
      <c r="T95" s="379"/>
      <c r="U95" s="379"/>
      <c r="V95" s="379"/>
      <c r="W95" s="379"/>
      <c r="X95" s="380"/>
    </row>
    <row r="96" spans="2:24" ht="22.5" customHeight="1">
      <c r="B96" s="48"/>
      <c r="C96" s="754"/>
      <c r="D96" s="755"/>
      <c r="E96" s="755"/>
      <c r="F96" s="756"/>
      <c r="G96" s="756"/>
      <c r="H96" s="756"/>
      <c r="I96" s="50"/>
      <c r="K96" s="378"/>
      <c r="L96" s="379"/>
      <c r="M96" s="379"/>
      <c r="N96" s="379"/>
      <c r="O96" s="379"/>
      <c r="P96" s="379"/>
      <c r="Q96" s="379"/>
      <c r="R96" s="379"/>
      <c r="S96" s="379"/>
      <c r="T96" s="379"/>
      <c r="U96" s="379"/>
      <c r="V96" s="379"/>
      <c r="W96" s="379"/>
      <c r="X96" s="380"/>
    </row>
    <row r="97" spans="2:24" ht="22.5" customHeight="1">
      <c r="B97" s="48"/>
      <c r="C97" s="107" t="s">
        <v>1119</v>
      </c>
      <c r="D97" s="755"/>
      <c r="E97" s="755"/>
      <c r="F97" s="756"/>
      <c r="G97" s="756"/>
      <c r="H97" s="756"/>
      <c r="I97" s="50"/>
      <c r="K97" s="378"/>
      <c r="L97" s="379"/>
      <c r="M97" s="379"/>
      <c r="N97" s="379"/>
      <c r="O97" s="379"/>
      <c r="P97" s="379"/>
      <c r="Q97" s="379"/>
      <c r="R97" s="379"/>
      <c r="S97" s="379"/>
      <c r="T97" s="379"/>
      <c r="U97" s="379"/>
      <c r="V97" s="379"/>
      <c r="W97" s="379"/>
      <c r="X97" s="380"/>
    </row>
    <row r="98" spans="2:24" ht="22.5" customHeight="1">
      <c r="B98" s="48"/>
      <c r="C98" s="757" t="s">
        <v>1160</v>
      </c>
      <c r="D98" s="755"/>
      <c r="E98" s="755"/>
      <c r="F98" s="756"/>
      <c r="G98" s="756"/>
      <c r="H98" s="756"/>
      <c r="I98" s="50"/>
      <c r="K98" s="378"/>
      <c r="L98" s="379"/>
      <c r="M98" s="379"/>
      <c r="N98" s="379"/>
      <c r="O98" s="379"/>
      <c r="P98" s="379"/>
      <c r="Q98" s="379"/>
      <c r="R98" s="379"/>
      <c r="S98" s="379"/>
      <c r="T98" s="379"/>
      <c r="U98" s="379"/>
      <c r="V98" s="379"/>
      <c r="W98" s="379"/>
      <c r="X98" s="380"/>
    </row>
    <row r="99" spans="2:24" ht="22.5" customHeight="1">
      <c r="B99" s="48"/>
      <c r="C99" s="754"/>
      <c r="D99" s="755"/>
      <c r="E99" s="755"/>
      <c r="F99" s="756"/>
      <c r="G99" s="756"/>
      <c r="H99" s="756"/>
      <c r="I99" s="50"/>
      <c r="K99" s="378"/>
      <c r="L99" s="379"/>
      <c r="M99" s="379"/>
      <c r="N99" s="379"/>
      <c r="O99" s="379"/>
      <c r="P99" s="379"/>
      <c r="Q99" s="379"/>
      <c r="R99" s="379"/>
      <c r="S99" s="379"/>
      <c r="T99" s="379"/>
      <c r="U99" s="379"/>
      <c r="V99" s="379"/>
      <c r="W99" s="379"/>
      <c r="X99" s="380"/>
    </row>
    <row r="100" spans="2:24" ht="22.5" customHeight="1" thickBot="1">
      <c r="B100" s="52"/>
      <c r="C100" s="1239"/>
      <c r="D100" s="1239"/>
      <c r="E100" s="1239"/>
      <c r="F100" s="1239"/>
      <c r="G100" s="1239"/>
      <c r="H100" s="94"/>
      <c r="I100" s="55"/>
      <c r="K100" s="381"/>
      <c r="L100" s="382"/>
      <c r="M100" s="382"/>
      <c r="N100" s="382"/>
      <c r="O100" s="382"/>
      <c r="P100" s="382"/>
      <c r="Q100" s="382"/>
      <c r="R100" s="382"/>
      <c r="S100" s="382"/>
      <c r="T100" s="382"/>
      <c r="U100" s="382"/>
      <c r="V100" s="382"/>
      <c r="W100" s="382"/>
      <c r="X100" s="383"/>
    </row>
    <row r="101" spans="3:10" ht="22.5" customHeight="1">
      <c r="C101" s="44"/>
      <c r="D101" s="44"/>
      <c r="E101" s="44"/>
      <c r="F101" s="90"/>
      <c r="G101" s="90"/>
      <c r="H101" s="90"/>
      <c r="J101" s="42" t="s">
        <v>154</v>
      </c>
    </row>
    <row r="102" spans="3:8" ht="12.75">
      <c r="C102" s="37" t="s">
        <v>451</v>
      </c>
      <c r="D102" s="44"/>
      <c r="E102" s="44"/>
      <c r="F102" s="90"/>
      <c r="G102" s="90"/>
      <c r="H102" s="95" t="s">
        <v>423</v>
      </c>
    </row>
    <row r="103" spans="3:8" ht="12.75">
      <c r="C103" s="38" t="s">
        <v>452</v>
      </c>
      <c r="D103" s="44"/>
      <c r="E103" s="44"/>
      <c r="F103" s="90"/>
      <c r="G103" s="90"/>
      <c r="H103" s="90"/>
    </row>
    <row r="104" spans="3:8" ht="12.75">
      <c r="C104" s="38" t="s">
        <v>453</v>
      </c>
      <c r="D104" s="44"/>
      <c r="E104" s="44"/>
      <c r="F104" s="90"/>
      <c r="G104" s="90"/>
      <c r="H104" s="90"/>
    </row>
    <row r="105" spans="3:8" ht="12.75">
      <c r="C105" s="38" t="s">
        <v>454</v>
      </c>
      <c r="D105" s="44"/>
      <c r="E105" s="44"/>
      <c r="F105" s="90"/>
      <c r="G105" s="90"/>
      <c r="H105" s="90"/>
    </row>
    <row r="106" spans="3:8" ht="12.75">
      <c r="C106" s="38" t="s">
        <v>455</v>
      </c>
      <c r="D106" s="44"/>
      <c r="E106" s="44"/>
      <c r="F106" s="90"/>
      <c r="G106" s="90"/>
      <c r="H106" s="90"/>
    </row>
    <row r="107" spans="3:8" ht="22.5" customHeight="1">
      <c r="C107" s="44"/>
      <c r="D107" s="44"/>
      <c r="E107" s="44"/>
      <c r="F107" s="90"/>
      <c r="G107" s="90"/>
      <c r="H107" s="90"/>
    </row>
    <row r="108" spans="3:8" ht="22.5" customHeight="1">
      <c r="C108" s="44"/>
      <c r="D108" s="44"/>
      <c r="E108" s="44"/>
      <c r="F108" s="90"/>
      <c r="G108" s="90"/>
      <c r="H108" s="90"/>
    </row>
    <row r="109" spans="3:8" ht="22.5" customHeight="1">
      <c r="C109" s="44"/>
      <c r="D109" s="44"/>
      <c r="E109" s="44"/>
      <c r="F109" s="90"/>
      <c r="G109" s="90"/>
      <c r="H109" s="90"/>
    </row>
    <row r="110" spans="3:8" ht="22.5" customHeight="1">
      <c r="C110" s="44"/>
      <c r="D110" s="44"/>
      <c r="E110" s="44"/>
      <c r="F110" s="90"/>
      <c r="G110" s="90"/>
      <c r="H110" s="90"/>
    </row>
    <row r="111" spans="7:8" ht="22.5" customHeight="1">
      <c r="G111" s="90"/>
      <c r="H111" s="90"/>
    </row>
  </sheetData>
  <sheetProtection password="C494" sheet="1" objects="1" scenarios="1"/>
  <mergeCells count="3">
    <mergeCell ref="H6:H7"/>
    <mergeCell ref="D9:H9"/>
    <mergeCell ref="C100:G100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1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6"/>
  <sheetViews>
    <sheetView zoomScale="84" zoomScaleNormal="84" zoomScalePageLayoutView="0" workbookViewId="0" topLeftCell="A1">
      <selection activeCell="I46" sqref="I46"/>
    </sheetView>
  </sheetViews>
  <sheetFormatPr defaultColWidth="10.6640625" defaultRowHeight="22.5" customHeight="1"/>
  <cols>
    <col min="1" max="1" width="4.3359375" style="97" bestFit="1" customWidth="1"/>
    <col min="2" max="2" width="3.3359375" style="97" customWidth="1"/>
    <col min="3" max="3" width="13.5546875" style="97" customWidth="1"/>
    <col min="4" max="4" width="42.6640625" style="97" customWidth="1"/>
    <col min="5" max="6" width="12.6640625" style="98" customWidth="1"/>
    <col min="7" max="8" width="15.6640625" style="98" customWidth="1"/>
    <col min="9" max="18" width="12.6640625" style="98" customWidth="1"/>
    <col min="19" max="19" width="3.3359375" style="97" customWidth="1"/>
    <col min="20" max="16384" width="10.6640625" style="97" customWidth="1"/>
  </cols>
  <sheetData>
    <row r="2" ht="22.5" customHeight="1">
      <c r="D2" s="63" t="s">
        <v>753</v>
      </c>
    </row>
    <row r="3" ht="22.5" customHeight="1">
      <c r="D3" s="63" t="s">
        <v>754</v>
      </c>
    </row>
    <row r="4" ht="22.5" customHeight="1" thickBot="1">
      <c r="A4" s="97" t="s">
        <v>153</v>
      </c>
    </row>
    <row r="5" spans="2:34" ht="9" customHeight="1">
      <c r="B5" s="99"/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2"/>
      <c r="U5" s="362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4"/>
    </row>
    <row r="6" spans="2:34" ht="30" customHeight="1">
      <c r="B6" s="103"/>
      <c r="C6" s="67" t="s">
        <v>379</v>
      </c>
      <c r="D6" s="104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226">
        <f>ejercicio</f>
        <v>2019</v>
      </c>
      <c r="S6" s="106"/>
      <c r="U6" s="365"/>
      <c r="V6" s="366" t="s">
        <v>1067</v>
      </c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8"/>
    </row>
    <row r="7" spans="2:34" ht="30" customHeight="1">
      <c r="B7" s="103"/>
      <c r="C7" s="67" t="s">
        <v>380</v>
      </c>
      <c r="D7" s="104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226"/>
      <c r="S7" s="106"/>
      <c r="U7" s="365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8"/>
    </row>
    <row r="8" spans="2:34" ht="30" customHeight="1">
      <c r="B8" s="103"/>
      <c r="C8" s="107"/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8"/>
      <c r="S8" s="106"/>
      <c r="U8" s="365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  <c r="AH8" s="368"/>
    </row>
    <row r="9" spans="2:34" s="65" customFormat="1" ht="30" customHeight="1">
      <c r="B9" s="109"/>
      <c r="C9" s="40" t="s">
        <v>381</v>
      </c>
      <c r="D9" s="1240" t="str">
        <f>Entidad</f>
        <v>INSTITUTO TECNOLOGICO Y DE ENERGIAS RENOVABLES S.A.</v>
      </c>
      <c r="E9" s="1240"/>
      <c r="F9" s="1240"/>
      <c r="G9" s="1240"/>
      <c r="H9" s="1240"/>
      <c r="I9" s="1240"/>
      <c r="J9" s="1240"/>
      <c r="K9" s="1240"/>
      <c r="L9" s="1240"/>
      <c r="M9" s="1240"/>
      <c r="N9" s="1240"/>
      <c r="O9" s="1240"/>
      <c r="P9" s="1240"/>
      <c r="Q9" s="1240"/>
      <c r="R9" s="1240"/>
      <c r="S9" s="110"/>
      <c r="U9" s="369"/>
      <c r="V9" s="370"/>
      <c r="W9" s="370"/>
      <c r="X9" s="370"/>
      <c r="Y9" s="370"/>
      <c r="Z9" s="370"/>
      <c r="AA9" s="370"/>
      <c r="AB9" s="370"/>
      <c r="AC9" s="370"/>
      <c r="AD9" s="370"/>
      <c r="AE9" s="370"/>
      <c r="AF9" s="370"/>
      <c r="AG9" s="370"/>
      <c r="AH9" s="371"/>
    </row>
    <row r="10" spans="2:34" ht="6.75" customHeight="1">
      <c r="B10" s="103"/>
      <c r="C10" s="104"/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6"/>
      <c r="U10" s="365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7"/>
      <c r="AG10" s="367"/>
      <c r="AH10" s="368"/>
    </row>
    <row r="11" spans="2:34" s="115" customFormat="1" ht="30" customHeight="1">
      <c r="B11" s="111"/>
      <c r="C11" s="112" t="s">
        <v>1123</v>
      </c>
      <c r="D11" s="112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4"/>
      <c r="U11" s="372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4"/>
    </row>
    <row r="12" spans="2:34" s="115" customFormat="1" ht="30" customHeight="1">
      <c r="B12" s="111"/>
      <c r="C12" s="116"/>
      <c r="D12" s="11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14"/>
      <c r="U12" s="372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4"/>
    </row>
    <row r="13" spans="2:34" s="119" customFormat="1" ht="18.75" customHeight="1">
      <c r="B13" s="117"/>
      <c r="C13" s="336"/>
      <c r="D13" s="336"/>
      <c r="E13" s="336"/>
      <c r="F13" s="336"/>
      <c r="G13" s="336"/>
      <c r="H13" s="337" t="s">
        <v>763</v>
      </c>
      <c r="I13" s="1290" t="s">
        <v>1128</v>
      </c>
      <c r="J13" s="1291"/>
      <c r="K13" s="1291"/>
      <c r="L13" s="1291"/>
      <c r="M13" s="1292"/>
      <c r="N13" s="338"/>
      <c r="O13" s="339"/>
      <c r="P13" s="340" t="s">
        <v>766</v>
      </c>
      <c r="Q13" s="341">
        <f>ejercicio-1</f>
        <v>2018</v>
      </c>
      <c r="R13" s="723" t="s">
        <v>1129</v>
      </c>
      <c r="S13" s="118"/>
      <c r="U13" s="365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8"/>
    </row>
    <row r="14" spans="2:34" s="120" customFormat="1" ht="18.75" customHeight="1">
      <c r="B14" s="117"/>
      <c r="C14" s="342"/>
      <c r="D14" s="342"/>
      <c r="E14" s="342"/>
      <c r="F14" s="342"/>
      <c r="G14" s="342"/>
      <c r="H14" s="343" t="s">
        <v>764</v>
      </c>
      <c r="I14" s="344"/>
      <c r="J14" s="345"/>
      <c r="K14" s="345"/>
      <c r="L14" s="345"/>
      <c r="M14" s="346"/>
      <c r="N14" s="344"/>
      <c r="O14" s="345"/>
      <c r="P14" s="345"/>
      <c r="Q14" s="345"/>
      <c r="R14" s="346"/>
      <c r="S14" s="118"/>
      <c r="U14" s="365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8"/>
    </row>
    <row r="15" spans="2:34" s="120" customFormat="1" ht="18.75" customHeight="1">
      <c r="B15" s="117"/>
      <c r="C15" s="347" t="s">
        <v>759</v>
      </c>
      <c r="D15" s="347" t="s">
        <v>760</v>
      </c>
      <c r="E15" s="347" t="s">
        <v>761</v>
      </c>
      <c r="F15" s="347" t="s">
        <v>762</v>
      </c>
      <c r="G15" s="347" t="s">
        <v>1124</v>
      </c>
      <c r="H15" s="347">
        <f>ejercicio-1</f>
        <v>2018</v>
      </c>
      <c r="I15" s="347">
        <f>+ejercicio</f>
        <v>2019</v>
      </c>
      <c r="J15" s="347">
        <f>ejercicio+1</f>
        <v>2020</v>
      </c>
      <c r="K15" s="347">
        <f>ejercicio+2</f>
        <v>2021</v>
      </c>
      <c r="L15" s="347">
        <f>ejercicio+3</f>
        <v>2022</v>
      </c>
      <c r="M15" s="347" t="s">
        <v>765</v>
      </c>
      <c r="N15" s="347">
        <f>+ejercicio</f>
        <v>2019</v>
      </c>
      <c r="O15" s="347">
        <f>ejercicio+1</f>
        <v>2020</v>
      </c>
      <c r="P15" s="347">
        <f>ejercicio+2</f>
        <v>2021</v>
      </c>
      <c r="Q15" s="347">
        <f>ejercicio+3</f>
        <v>2022</v>
      </c>
      <c r="R15" s="347" t="s">
        <v>765</v>
      </c>
      <c r="S15" s="118"/>
      <c r="U15" s="365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8"/>
    </row>
    <row r="16" spans="2:34" ht="22.5" customHeight="1">
      <c r="B16" s="117"/>
      <c r="C16" s="413">
        <v>1</v>
      </c>
      <c r="D16" s="1167" t="s">
        <v>305</v>
      </c>
      <c r="E16" s="414"/>
      <c r="F16" s="414"/>
      <c r="G16" s="415">
        <v>563918.17</v>
      </c>
      <c r="H16" s="415">
        <v>563918.17</v>
      </c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106"/>
      <c r="U16" s="365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8"/>
    </row>
    <row r="17" spans="2:34" ht="22.5" customHeight="1">
      <c r="B17" s="117"/>
      <c r="C17" s="416">
        <v>2</v>
      </c>
      <c r="D17" s="1168" t="s">
        <v>306</v>
      </c>
      <c r="E17" s="418">
        <v>2016</v>
      </c>
      <c r="F17" s="418">
        <v>2019</v>
      </c>
      <c r="G17" s="419">
        <v>605591.11</v>
      </c>
      <c r="H17" s="419">
        <v>605591.11</v>
      </c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106"/>
      <c r="U17" s="365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8"/>
    </row>
    <row r="18" spans="2:34" ht="22.5" customHeight="1">
      <c r="B18" s="117"/>
      <c r="C18" s="416">
        <v>3</v>
      </c>
      <c r="D18" s="1168" t="s">
        <v>307</v>
      </c>
      <c r="E18" s="418">
        <v>2016</v>
      </c>
      <c r="F18" s="418">
        <v>2019</v>
      </c>
      <c r="G18" s="419">
        <v>585529.82</v>
      </c>
      <c r="H18" s="419">
        <v>571996.88</v>
      </c>
      <c r="I18" s="419">
        <v>13532.94</v>
      </c>
      <c r="J18" s="419"/>
      <c r="K18" s="419"/>
      <c r="L18" s="419"/>
      <c r="M18" s="419"/>
      <c r="N18" s="419"/>
      <c r="O18" s="419"/>
      <c r="P18" s="419"/>
      <c r="Q18" s="419"/>
      <c r="R18" s="419"/>
      <c r="S18" s="106"/>
      <c r="U18" s="365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8"/>
    </row>
    <row r="19" spans="2:34" ht="22.5" customHeight="1">
      <c r="B19" s="117"/>
      <c r="C19" s="416">
        <v>4</v>
      </c>
      <c r="D19" s="1168" t="s">
        <v>308</v>
      </c>
      <c r="E19" s="418">
        <v>2016</v>
      </c>
      <c r="F19" s="418">
        <v>2019</v>
      </c>
      <c r="G19" s="419">
        <v>381809.38</v>
      </c>
      <c r="H19" s="419">
        <v>381809.38</v>
      </c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106"/>
      <c r="U19" s="365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8"/>
    </row>
    <row r="20" spans="2:34" ht="22.5" customHeight="1">
      <c r="B20" s="117"/>
      <c r="C20" s="416">
        <v>5</v>
      </c>
      <c r="D20" s="1168" t="s">
        <v>309</v>
      </c>
      <c r="E20" s="418">
        <v>2018</v>
      </c>
      <c r="F20" s="418">
        <v>2018</v>
      </c>
      <c r="G20" s="419">
        <v>20614973.23</v>
      </c>
      <c r="H20" s="419">
        <v>20614973.23</v>
      </c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106"/>
      <c r="U20" s="365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8"/>
    </row>
    <row r="21" spans="2:34" ht="22.5" customHeight="1">
      <c r="B21" s="117"/>
      <c r="C21" s="416">
        <v>6</v>
      </c>
      <c r="D21" s="1168" t="s">
        <v>310</v>
      </c>
      <c r="E21" s="418">
        <v>2018</v>
      </c>
      <c r="F21" s="418">
        <v>2018</v>
      </c>
      <c r="G21" s="419">
        <v>39148992.77</v>
      </c>
      <c r="H21" s="419">
        <v>39148992.77</v>
      </c>
      <c r="I21" s="419"/>
      <c r="J21" s="419"/>
      <c r="K21" s="419"/>
      <c r="L21" s="419"/>
      <c r="M21" s="419"/>
      <c r="N21" s="419"/>
      <c r="O21" s="419"/>
      <c r="P21" s="419"/>
      <c r="Q21" s="419"/>
      <c r="R21" s="419"/>
      <c r="S21" s="106"/>
      <c r="U21" s="365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8"/>
    </row>
    <row r="22" spans="2:34" ht="22.5" customHeight="1">
      <c r="B22" s="117"/>
      <c r="C22" s="416">
        <v>7</v>
      </c>
      <c r="D22" s="1168" t="s">
        <v>311</v>
      </c>
      <c r="E22" s="418">
        <v>2016</v>
      </c>
      <c r="F22" s="418">
        <v>2019</v>
      </c>
      <c r="G22" s="419">
        <v>8705635.03</v>
      </c>
      <c r="H22" s="419">
        <v>4697483.3</v>
      </c>
      <c r="I22" s="419">
        <v>4008151.73</v>
      </c>
      <c r="J22" s="419"/>
      <c r="K22" s="419"/>
      <c r="L22" s="419"/>
      <c r="M22" s="419"/>
      <c r="N22" s="419"/>
      <c r="O22" s="419"/>
      <c r="P22" s="419"/>
      <c r="Q22" s="419"/>
      <c r="R22" s="419"/>
      <c r="S22" s="106"/>
      <c r="U22" s="365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8"/>
    </row>
    <row r="23" spans="2:34" ht="22.5" customHeight="1">
      <c r="B23" s="117"/>
      <c r="C23" s="416">
        <v>8</v>
      </c>
      <c r="D23" s="1168" t="s">
        <v>312</v>
      </c>
      <c r="E23" s="418">
        <v>2019</v>
      </c>
      <c r="F23" s="418">
        <v>2019</v>
      </c>
      <c r="G23" s="419">
        <v>885000</v>
      </c>
      <c r="H23" s="419">
        <v>300000</v>
      </c>
      <c r="I23" s="419">
        <v>235000</v>
      </c>
      <c r="J23" s="419">
        <v>200000</v>
      </c>
      <c r="K23" s="419">
        <v>150000</v>
      </c>
      <c r="L23" s="419"/>
      <c r="M23" s="419"/>
      <c r="N23" s="419"/>
      <c r="O23" s="419"/>
      <c r="P23" s="419"/>
      <c r="Q23" s="419"/>
      <c r="R23" s="419"/>
      <c r="S23" s="106"/>
      <c r="U23" s="365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8"/>
    </row>
    <row r="24" spans="2:34" ht="22.5" customHeight="1">
      <c r="B24" s="117"/>
      <c r="C24" s="416">
        <v>9</v>
      </c>
      <c r="D24" s="1168" t="s">
        <v>313</v>
      </c>
      <c r="E24" s="418">
        <v>2019</v>
      </c>
      <c r="F24" s="418">
        <v>2019</v>
      </c>
      <c r="G24" s="419">
        <v>50000</v>
      </c>
      <c r="H24" s="419"/>
      <c r="I24" s="419">
        <v>50000</v>
      </c>
      <c r="J24" s="419"/>
      <c r="K24" s="419"/>
      <c r="L24" s="419"/>
      <c r="M24" s="419"/>
      <c r="N24" s="419"/>
      <c r="O24" s="419"/>
      <c r="P24" s="419"/>
      <c r="Q24" s="419"/>
      <c r="R24" s="419"/>
      <c r="S24" s="106"/>
      <c r="U24" s="365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8"/>
    </row>
    <row r="25" spans="2:34" ht="22.5" customHeight="1">
      <c r="B25" s="117"/>
      <c r="C25" s="416">
        <v>10</v>
      </c>
      <c r="D25" s="1168" t="s">
        <v>314</v>
      </c>
      <c r="E25" s="418">
        <v>2017</v>
      </c>
      <c r="F25" s="418">
        <v>2019</v>
      </c>
      <c r="G25" s="419">
        <v>463802.21</v>
      </c>
      <c r="H25" s="419">
        <v>454308.39</v>
      </c>
      <c r="I25" s="419">
        <v>9493.82</v>
      </c>
      <c r="J25" s="419"/>
      <c r="K25" s="419"/>
      <c r="L25" s="419"/>
      <c r="M25" s="419"/>
      <c r="N25" s="419"/>
      <c r="O25" s="419"/>
      <c r="P25" s="419"/>
      <c r="Q25" s="419"/>
      <c r="R25" s="419"/>
      <c r="S25" s="106"/>
      <c r="U25" s="365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367"/>
      <c r="AH25" s="368"/>
    </row>
    <row r="26" spans="2:34" ht="22.5" customHeight="1">
      <c r="B26" s="117"/>
      <c r="C26" s="416">
        <v>11</v>
      </c>
      <c r="D26" s="1168" t="s">
        <v>315</v>
      </c>
      <c r="E26" s="418">
        <v>2018</v>
      </c>
      <c r="F26" s="418">
        <v>2019</v>
      </c>
      <c r="G26" s="419">
        <v>366200</v>
      </c>
      <c r="H26" s="419"/>
      <c r="I26" s="419">
        <v>366200</v>
      </c>
      <c r="J26" s="419"/>
      <c r="K26" s="419"/>
      <c r="L26" s="419"/>
      <c r="M26" s="419"/>
      <c r="N26" s="419"/>
      <c r="O26" s="419"/>
      <c r="P26" s="419"/>
      <c r="Q26" s="419"/>
      <c r="R26" s="419"/>
      <c r="S26" s="106"/>
      <c r="U26" s="365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367"/>
      <c r="AH26" s="368"/>
    </row>
    <row r="27" spans="2:34" ht="22.5" customHeight="1">
      <c r="B27" s="117"/>
      <c r="C27" s="416"/>
      <c r="D27" s="417"/>
      <c r="E27" s="418"/>
      <c r="F27" s="418"/>
      <c r="G27" s="419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106"/>
      <c r="U27" s="365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8"/>
    </row>
    <row r="28" spans="2:34" ht="22.5" customHeight="1">
      <c r="B28" s="117"/>
      <c r="C28" s="416"/>
      <c r="D28" s="417"/>
      <c r="E28" s="418"/>
      <c r="F28" s="418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106"/>
      <c r="U28" s="365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7"/>
      <c r="AG28" s="367"/>
      <c r="AH28" s="368"/>
    </row>
    <row r="29" spans="2:34" ht="22.5" customHeight="1">
      <c r="B29" s="117"/>
      <c r="C29" s="416"/>
      <c r="D29" s="417"/>
      <c r="E29" s="418"/>
      <c r="F29" s="418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106"/>
      <c r="U29" s="365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8"/>
    </row>
    <row r="30" spans="2:34" ht="22.5" customHeight="1">
      <c r="B30" s="117"/>
      <c r="C30" s="416"/>
      <c r="D30" s="417"/>
      <c r="E30" s="418"/>
      <c r="F30" s="418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106"/>
      <c r="U30" s="375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7"/>
    </row>
    <row r="31" spans="2:34" ht="22.5" customHeight="1">
      <c r="B31" s="117"/>
      <c r="C31" s="416"/>
      <c r="D31" s="417"/>
      <c r="E31" s="418"/>
      <c r="F31" s="418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106"/>
      <c r="U31" s="375"/>
      <c r="V31" s="376"/>
      <c r="W31" s="376"/>
      <c r="X31" s="376"/>
      <c r="Y31" s="376"/>
      <c r="Z31" s="376"/>
      <c r="AA31" s="376"/>
      <c r="AB31" s="376"/>
      <c r="AC31" s="376"/>
      <c r="AD31" s="376"/>
      <c r="AE31" s="376"/>
      <c r="AF31" s="376"/>
      <c r="AG31" s="376"/>
      <c r="AH31" s="377"/>
    </row>
    <row r="32" spans="2:34" ht="22.5" customHeight="1">
      <c r="B32" s="117"/>
      <c r="C32" s="416"/>
      <c r="D32" s="417"/>
      <c r="E32" s="418"/>
      <c r="F32" s="418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106"/>
      <c r="U32" s="365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8"/>
    </row>
    <row r="33" spans="2:34" ht="22.5" customHeight="1">
      <c r="B33" s="117"/>
      <c r="C33" s="416"/>
      <c r="D33" s="417"/>
      <c r="E33" s="418"/>
      <c r="F33" s="418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19"/>
      <c r="S33" s="106"/>
      <c r="U33" s="365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368"/>
    </row>
    <row r="34" spans="2:34" ht="22.5" customHeight="1">
      <c r="B34" s="117"/>
      <c r="C34" s="416"/>
      <c r="D34" s="417"/>
      <c r="E34" s="418"/>
      <c r="F34" s="418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106"/>
      <c r="U34" s="365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7"/>
      <c r="AG34" s="367"/>
      <c r="AH34" s="368"/>
    </row>
    <row r="35" spans="2:34" ht="22.5" customHeight="1">
      <c r="B35" s="117"/>
      <c r="C35" s="416"/>
      <c r="D35" s="417"/>
      <c r="E35" s="418"/>
      <c r="F35" s="418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106"/>
      <c r="U35" s="365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7"/>
      <c r="AG35" s="367"/>
      <c r="AH35" s="368"/>
    </row>
    <row r="36" spans="2:34" ht="22.5" customHeight="1">
      <c r="B36" s="117"/>
      <c r="C36" s="416"/>
      <c r="D36" s="417"/>
      <c r="E36" s="418"/>
      <c r="F36" s="418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106"/>
      <c r="U36" s="378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80"/>
    </row>
    <row r="37" spans="2:34" ht="22.5" customHeight="1">
      <c r="B37" s="117"/>
      <c r="C37" s="416"/>
      <c r="D37" s="417"/>
      <c r="E37" s="418"/>
      <c r="F37" s="418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106"/>
      <c r="U37" s="378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80"/>
    </row>
    <row r="38" spans="2:34" ht="22.5" customHeight="1">
      <c r="B38" s="117"/>
      <c r="C38" s="416"/>
      <c r="D38" s="417"/>
      <c r="E38" s="418"/>
      <c r="F38" s="418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106"/>
      <c r="U38" s="378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80"/>
    </row>
    <row r="39" spans="2:34" ht="22.5" customHeight="1">
      <c r="B39" s="117"/>
      <c r="C39" s="416"/>
      <c r="D39" s="417"/>
      <c r="E39" s="418"/>
      <c r="F39" s="418"/>
      <c r="G39" s="419"/>
      <c r="H39" s="419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106"/>
      <c r="U39" s="378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379"/>
      <c r="AH39" s="380"/>
    </row>
    <row r="40" spans="2:34" ht="22.5" customHeight="1">
      <c r="B40" s="117"/>
      <c r="C40" s="416"/>
      <c r="D40" s="417"/>
      <c r="E40" s="418"/>
      <c r="F40" s="418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106"/>
      <c r="U40" s="378"/>
      <c r="V40" s="379"/>
      <c r="W40" s="379"/>
      <c r="X40" s="379"/>
      <c r="Y40" s="379"/>
      <c r="Z40" s="379"/>
      <c r="AA40" s="379"/>
      <c r="AB40" s="379"/>
      <c r="AC40" s="379"/>
      <c r="AD40" s="379"/>
      <c r="AE40" s="379"/>
      <c r="AF40" s="379"/>
      <c r="AG40" s="379"/>
      <c r="AH40" s="380"/>
    </row>
    <row r="41" spans="2:34" ht="22.5" customHeight="1">
      <c r="B41" s="117"/>
      <c r="C41" s="416"/>
      <c r="D41" s="417"/>
      <c r="E41" s="418"/>
      <c r="F41" s="418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106"/>
      <c r="U41" s="378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G41" s="379"/>
      <c r="AH41" s="380"/>
    </row>
    <row r="42" spans="2:34" ht="22.5" customHeight="1">
      <c r="B42" s="117"/>
      <c r="C42" s="416"/>
      <c r="D42" s="417"/>
      <c r="E42" s="418"/>
      <c r="F42" s="418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106"/>
      <c r="U42" s="378"/>
      <c r="V42" s="379"/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G42" s="379"/>
      <c r="AH42" s="380"/>
    </row>
    <row r="43" spans="2:34" ht="22.5" customHeight="1">
      <c r="B43" s="117"/>
      <c r="C43" s="416"/>
      <c r="D43" s="417"/>
      <c r="E43" s="418"/>
      <c r="F43" s="418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106"/>
      <c r="U43" s="378"/>
      <c r="V43" s="379"/>
      <c r="W43" s="379"/>
      <c r="X43" s="379"/>
      <c r="Y43" s="379"/>
      <c r="Z43" s="379"/>
      <c r="AA43" s="379"/>
      <c r="AB43" s="379"/>
      <c r="AC43" s="379"/>
      <c r="AD43" s="379"/>
      <c r="AE43" s="379"/>
      <c r="AF43" s="379"/>
      <c r="AG43" s="379"/>
      <c r="AH43" s="380"/>
    </row>
    <row r="44" spans="2:34" ht="22.5" customHeight="1">
      <c r="B44" s="117"/>
      <c r="C44" s="416"/>
      <c r="D44" s="417"/>
      <c r="E44" s="418"/>
      <c r="F44" s="418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106"/>
      <c r="U44" s="378"/>
      <c r="V44" s="379"/>
      <c r="W44" s="379"/>
      <c r="X44" s="379"/>
      <c r="Y44" s="379"/>
      <c r="Z44" s="379"/>
      <c r="AA44" s="379"/>
      <c r="AB44" s="379"/>
      <c r="AC44" s="379"/>
      <c r="AD44" s="379"/>
      <c r="AE44" s="379"/>
      <c r="AF44" s="379"/>
      <c r="AG44" s="379"/>
      <c r="AH44" s="380"/>
    </row>
    <row r="45" spans="2:34" ht="22.5" customHeight="1">
      <c r="B45" s="117"/>
      <c r="C45" s="416"/>
      <c r="D45" s="417"/>
      <c r="E45" s="418"/>
      <c r="F45" s="418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106"/>
      <c r="U45" s="378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80"/>
    </row>
    <row r="46" spans="2:34" s="129" customFormat="1" ht="22.5" customHeight="1" thickBot="1">
      <c r="B46" s="117"/>
      <c r="C46" s="1293" t="s">
        <v>767</v>
      </c>
      <c r="D46" s="1294"/>
      <c r="E46" s="126">
        <f>MIN(E16:E45)</f>
        <v>2016</v>
      </c>
      <c r="F46" s="126">
        <f>MAX(F16:F45)</f>
        <v>2019</v>
      </c>
      <c r="G46" s="127">
        <f aca="true" t="shared" si="0" ref="G46:R46">SUM(G16:G45)</f>
        <v>72371451.72</v>
      </c>
      <c r="H46" s="127">
        <f t="shared" si="0"/>
        <v>67339073.23</v>
      </c>
      <c r="I46" s="127">
        <f t="shared" si="0"/>
        <v>4682378.49</v>
      </c>
      <c r="J46" s="127">
        <f t="shared" si="0"/>
        <v>200000</v>
      </c>
      <c r="K46" s="127">
        <f t="shared" si="0"/>
        <v>150000</v>
      </c>
      <c r="L46" s="127">
        <f t="shared" si="0"/>
        <v>0</v>
      </c>
      <c r="M46" s="127">
        <f t="shared" si="0"/>
        <v>0</v>
      </c>
      <c r="N46" s="127">
        <f t="shared" si="0"/>
        <v>0</v>
      </c>
      <c r="O46" s="127">
        <f t="shared" si="0"/>
        <v>0</v>
      </c>
      <c r="P46" s="127">
        <f t="shared" si="0"/>
        <v>0</v>
      </c>
      <c r="Q46" s="127">
        <f t="shared" si="0"/>
        <v>0</v>
      </c>
      <c r="R46" s="127">
        <f t="shared" si="0"/>
        <v>0</v>
      </c>
      <c r="S46" s="128"/>
      <c r="U46" s="378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80"/>
    </row>
    <row r="47" spans="2:34" s="129" customFormat="1" ht="22.5" customHeight="1">
      <c r="B47" s="117"/>
      <c r="C47" s="716"/>
      <c r="D47" s="716"/>
      <c r="E47" s="717"/>
      <c r="F47" s="717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128"/>
      <c r="U47" s="378"/>
      <c r="V47" s="379"/>
      <c r="W47" s="379"/>
      <c r="X47" s="379"/>
      <c r="Y47" s="379"/>
      <c r="Z47" s="379"/>
      <c r="AA47" s="379"/>
      <c r="AB47" s="379"/>
      <c r="AC47" s="379"/>
      <c r="AD47" s="379"/>
      <c r="AE47" s="379"/>
      <c r="AF47" s="379"/>
      <c r="AG47" s="379"/>
      <c r="AH47" s="380"/>
    </row>
    <row r="48" spans="2:34" s="129" customFormat="1" ht="22.5" customHeight="1">
      <c r="B48" s="117"/>
      <c r="C48" s="718" t="s">
        <v>1119</v>
      </c>
      <c r="D48" s="716"/>
      <c r="E48" s="717"/>
      <c r="F48" s="717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128"/>
      <c r="U48" s="378"/>
      <c r="V48" s="379"/>
      <c r="W48" s="379"/>
      <c r="X48" s="379"/>
      <c r="Y48" s="379"/>
      <c r="Z48" s="379"/>
      <c r="AA48" s="379"/>
      <c r="AB48" s="379"/>
      <c r="AC48" s="379"/>
      <c r="AD48" s="379"/>
      <c r="AE48" s="379"/>
      <c r="AF48" s="379"/>
      <c r="AG48" s="379"/>
      <c r="AH48" s="380"/>
    </row>
    <row r="49" spans="2:34" s="129" customFormat="1" ht="22.5" customHeight="1">
      <c r="B49" s="117"/>
      <c r="C49" s="719" t="s">
        <v>1120</v>
      </c>
      <c r="D49" s="716"/>
      <c r="E49" s="717"/>
      <c r="F49" s="720">
        <f>ejercicio-1</f>
        <v>2018</v>
      </c>
      <c r="G49" s="721" t="s">
        <v>1121</v>
      </c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128"/>
      <c r="U49" s="378"/>
      <c r="V49" s="379"/>
      <c r="W49" s="379"/>
      <c r="X49" s="379"/>
      <c r="Y49" s="379"/>
      <c r="Z49" s="379"/>
      <c r="AA49" s="379"/>
      <c r="AB49" s="379"/>
      <c r="AC49" s="379"/>
      <c r="AD49" s="379"/>
      <c r="AE49" s="379"/>
      <c r="AF49" s="379"/>
      <c r="AG49" s="379"/>
      <c r="AH49" s="380"/>
    </row>
    <row r="50" spans="2:34" s="129" customFormat="1" ht="22.5" customHeight="1">
      <c r="B50" s="117"/>
      <c r="C50" s="722" t="s">
        <v>1122</v>
      </c>
      <c r="D50" s="716"/>
      <c r="E50" s="717"/>
      <c r="F50" s="717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128"/>
      <c r="U50" s="378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80"/>
    </row>
    <row r="51" spans="2:34" s="129" customFormat="1" ht="22.5" customHeight="1">
      <c r="B51" s="117"/>
      <c r="C51" s="719" t="s">
        <v>1125</v>
      </c>
      <c r="D51" s="716"/>
      <c r="E51" s="717"/>
      <c r="F51" s="717"/>
      <c r="G51" s="720">
        <f>ejercicio-1</f>
        <v>2018</v>
      </c>
      <c r="H51" s="721" t="s">
        <v>1126</v>
      </c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128"/>
      <c r="U51" s="378"/>
      <c r="V51" s="379"/>
      <c r="W51" s="379"/>
      <c r="X51" s="379"/>
      <c r="Y51" s="379"/>
      <c r="Z51" s="379"/>
      <c r="AA51" s="379"/>
      <c r="AB51" s="379"/>
      <c r="AC51" s="379"/>
      <c r="AD51" s="379"/>
      <c r="AE51" s="379"/>
      <c r="AF51" s="379"/>
      <c r="AG51" s="379"/>
      <c r="AH51" s="380"/>
    </row>
    <row r="52" spans="2:34" s="129" customFormat="1" ht="22.5" customHeight="1">
      <c r="B52" s="117"/>
      <c r="C52" s="719" t="s">
        <v>1127</v>
      </c>
      <c r="D52" s="716"/>
      <c r="E52" s="717"/>
      <c r="F52" s="717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128"/>
      <c r="U52" s="378"/>
      <c r="V52" s="379"/>
      <c r="W52" s="379"/>
      <c r="X52" s="379"/>
      <c r="Y52" s="379"/>
      <c r="Z52" s="379"/>
      <c r="AA52" s="379"/>
      <c r="AB52" s="379"/>
      <c r="AC52" s="379"/>
      <c r="AD52" s="379"/>
      <c r="AE52" s="379"/>
      <c r="AF52" s="379"/>
      <c r="AG52" s="379"/>
      <c r="AH52" s="380"/>
    </row>
    <row r="53" spans="2:34" s="129" customFormat="1" ht="22.5" customHeight="1">
      <c r="B53" s="117"/>
      <c r="C53" s="719" t="s">
        <v>1131</v>
      </c>
      <c r="D53" s="716"/>
      <c r="E53" s="717"/>
      <c r="F53" s="717"/>
      <c r="G53" s="720">
        <f>ejercicio-1</f>
        <v>2018</v>
      </c>
      <c r="H53" s="721" t="s">
        <v>1130</v>
      </c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128"/>
      <c r="U53" s="378"/>
      <c r="V53" s="379"/>
      <c r="W53" s="379"/>
      <c r="X53" s="379"/>
      <c r="Y53" s="379"/>
      <c r="Z53" s="379"/>
      <c r="AA53" s="379"/>
      <c r="AB53" s="379"/>
      <c r="AC53" s="379"/>
      <c r="AD53" s="379"/>
      <c r="AE53" s="379"/>
      <c r="AF53" s="379"/>
      <c r="AG53" s="379"/>
      <c r="AH53" s="380"/>
    </row>
    <row r="54" spans="2:34" s="129" customFormat="1" ht="22.5" customHeight="1">
      <c r="B54" s="117"/>
      <c r="C54" s="716"/>
      <c r="D54" s="716"/>
      <c r="E54" s="717"/>
      <c r="F54" s="717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128"/>
      <c r="U54" s="378"/>
      <c r="V54" s="379"/>
      <c r="W54" s="379"/>
      <c r="X54" s="379"/>
      <c r="Y54" s="379"/>
      <c r="Z54" s="379"/>
      <c r="AA54" s="379"/>
      <c r="AB54" s="379"/>
      <c r="AC54" s="379"/>
      <c r="AD54" s="379"/>
      <c r="AE54" s="379"/>
      <c r="AF54" s="379"/>
      <c r="AG54" s="379"/>
      <c r="AH54" s="380"/>
    </row>
    <row r="55" spans="2:34" ht="22.5" customHeight="1" thickBot="1">
      <c r="B55" s="121"/>
      <c r="C55" s="1239"/>
      <c r="D55" s="1239"/>
      <c r="E55" s="1239"/>
      <c r="F55" s="1239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122"/>
      <c r="S55" s="123"/>
      <c r="U55" s="381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2"/>
      <c r="AH55" s="383"/>
    </row>
    <row r="56" spans="3:20" ht="22.5" customHeight="1">
      <c r="C56" s="104"/>
      <c r="D56" s="104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T56" s="97" t="s">
        <v>154</v>
      </c>
    </row>
    <row r="57" spans="3:18" ht="12.75">
      <c r="C57" s="124" t="s">
        <v>451</v>
      </c>
      <c r="D57" s="104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95" t="s">
        <v>425</v>
      </c>
    </row>
    <row r="58" spans="3:18" ht="12.75">
      <c r="C58" s="125" t="s">
        <v>452</v>
      </c>
      <c r="D58" s="104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</row>
    <row r="59" spans="3:18" ht="12.75">
      <c r="C59" s="125" t="s">
        <v>453</v>
      </c>
      <c r="D59" s="104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</row>
    <row r="60" spans="3:18" ht="12.75">
      <c r="C60" s="125" t="s">
        <v>454</v>
      </c>
      <c r="D60" s="104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</row>
    <row r="61" spans="3:18" ht="12.75">
      <c r="C61" s="125" t="s">
        <v>455</v>
      </c>
      <c r="D61" s="104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</row>
    <row r="62" spans="3:18" ht="22.5" customHeight="1">
      <c r="C62" s="104"/>
      <c r="D62" s="104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</row>
    <row r="63" spans="3:18" ht="22.5" customHeight="1">
      <c r="C63" s="104"/>
      <c r="D63" s="104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</row>
    <row r="64" spans="3:18" ht="22.5" customHeight="1">
      <c r="C64" s="104"/>
      <c r="D64" s="104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</row>
    <row r="65" spans="3:18" ht="22.5" customHeight="1">
      <c r="C65" s="104"/>
      <c r="D65" s="104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</row>
    <row r="66" spans="6:18" ht="22.5" customHeight="1"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</row>
  </sheetData>
  <sheetProtection password="C494" sheet="1" objects="1" scenarios="1" insertRows="0"/>
  <mergeCells count="5">
    <mergeCell ref="R6:R7"/>
    <mergeCell ref="D9:R9"/>
    <mergeCell ref="C55:F55"/>
    <mergeCell ref="I13:M13"/>
    <mergeCell ref="C46:D4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1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57"/>
  <sheetViews>
    <sheetView zoomScale="94" zoomScaleNormal="94" zoomScalePageLayoutView="0" workbookViewId="0" topLeftCell="A10">
      <selection activeCell="G18" sqref="G18"/>
    </sheetView>
  </sheetViews>
  <sheetFormatPr defaultColWidth="10.6640625" defaultRowHeight="22.5" customHeight="1"/>
  <cols>
    <col min="1" max="1" width="4.3359375" style="97" bestFit="1" customWidth="1"/>
    <col min="2" max="2" width="3.3359375" style="97" customWidth="1"/>
    <col min="3" max="3" width="13.5546875" style="97" customWidth="1"/>
    <col min="4" max="4" width="23.3359375" style="97" customWidth="1"/>
    <col min="5" max="13" width="13.4453125" style="98" customWidth="1"/>
    <col min="14" max="14" width="40.6640625" style="98" customWidth="1"/>
    <col min="15" max="15" width="3.3359375" style="97" customWidth="1"/>
    <col min="16" max="16384" width="10.6640625" style="97" customWidth="1"/>
  </cols>
  <sheetData>
    <row r="2" ht="22.5" customHeight="1">
      <c r="D2" s="63" t="s">
        <v>753</v>
      </c>
    </row>
    <row r="3" ht="22.5" customHeight="1">
      <c r="D3" s="63" t="s">
        <v>754</v>
      </c>
    </row>
    <row r="4" ht="22.5" customHeight="1" thickBot="1">
      <c r="A4" s="97" t="s">
        <v>153</v>
      </c>
    </row>
    <row r="5" spans="2:30" ht="9" customHeight="1">
      <c r="B5" s="99"/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  <c r="Q5" s="362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4"/>
    </row>
    <row r="6" spans="2:30" ht="30" customHeight="1">
      <c r="B6" s="103"/>
      <c r="C6" s="67" t="s">
        <v>379</v>
      </c>
      <c r="D6" s="104"/>
      <c r="E6" s="105"/>
      <c r="F6" s="105"/>
      <c r="G6" s="105"/>
      <c r="H6" s="105"/>
      <c r="I6" s="105"/>
      <c r="J6" s="105"/>
      <c r="K6" s="105"/>
      <c r="L6" s="105"/>
      <c r="M6" s="105"/>
      <c r="N6" s="1226">
        <f>ejercicio</f>
        <v>2019</v>
      </c>
      <c r="O6" s="106"/>
      <c r="Q6" s="365"/>
      <c r="R6" s="366" t="s">
        <v>1067</v>
      </c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8"/>
    </row>
    <row r="7" spans="2:30" ht="30" customHeight="1">
      <c r="B7" s="103"/>
      <c r="C7" s="67" t="s">
        <v>380</v>
      </c>
      <c r="D7" s="104"/>
      <c r="E7" s="105"/>
      <c r="F7" s="105"/>
      <c r="G7" s="105"/>
      <c r="H7" s="105"/>
      <c r="I7" s="105"/>
      <c r="J7" s="105"/>
      <c r="K7" s="105"/>
      <c r="L7" s="105"/>
      <c r="M7" s="105"/>
      <c r="N7" s="1226"/>
      <c r="O7" s="106"/>
      <c r="Q7" s="365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8"/>
    </row>
    <row r="8" spans="2:30" ht="30" customHeight="1">
      <c r="B8" s="103"/>
      <c r="C8" s="107"/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8"/>
      <c r="O8" s="106"/>
      <c r="Q8" s="365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8"/>
    </row>
    <row r="9" spans="2:30" s="65" customFormat="1" ht="30" customHeight="1">
      <c r="B9" s="109"/>
      <c r="C9" s="40" t="s">
        <v>381</v>
      </c>
      <c r="D9" s="1240" t="str">
        <f>Entidad</f>
        <v>INSTITUTO TECNOLOGICO Y DE ENERGIAS RENOVABLES S.A.</v>
      </c>
      <c r="E9" s="1240"/>
      <c r="F9" s="1240"/>
      <c r="G9" s="1240"/>
      <c r="H9" s="1240"/>
      <c r="I9" s="1240"/>
      <c r="J9" s="1240"/>
      <c r="K9" s="1240"/>
      <c r="L9" s="1240"/>
      <c r="M9" s="1240"/>
      <c r="N9" s="1240"/>
      <c r="O9" s="110"/>
      <c r="Q9" s="369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0"/>
      <c r="AC9" s="370"/>
      <c r="AD9" s="371"/>
    </row>
    <row r="10" spans="2:30" ht="6.75" customHeight="1">
      <c r="B10" s="103"/>
      <c r="C10" s="104"/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  <c r="Q10" s="365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8"/>
    </row>
    <row r="11" spans="2:30" s="115" customFormat="1" ht="30" customHeight="1">
      <c r="B11" s="111"/>
      <c r="C11" s="112" t="s">
        <v>792</v>
      </c>
      <c r="D11" s="112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4"/>
      <c r="Q11" s="372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4"/>
    </row>
    <row r="12" spans="2:30" s="115" customFormat="1" ht="30" customHeight="1">
      <c r="B12" s="111"/>
      <c r="C12" s="116"/>
      <c r="D12" s="11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114"/>
      <c r="Q12" s="372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4"/>
    </row>
    <row r="13" spans="2:30" s="119" customFormat="1" ht="22.5" customHeight="1">
      <c r="B13" s="117"/>
      <c r="C13" s="1295"/>
      <c r="D13" s="1296"/>
      <c r="E13" s="191" t="s">
        <v>789</v>
      </c>
      <c r="F13" s="1299" t="s">
        <v>779</v>
      </c>
      <c r="G13" s="1300"/>
      <c r="H13" s="1300"/>
      <c r="I13" s="1300"/>
      <c r="J13" s="1300"/>
      <c r="K13" s="1300"/>
      <c r="L13" s="1301"/>
      <c r="M13" s="191" t="s">
        <v>790</v>
      </c>
      <c r="N13" s="1297" t="s">
        <v>791</v>
      </c>
      <c r="O13" s="118"/>
      <c r="Q13" s="365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8"/>
    </row>
    <row r="14" spans="2:30" ht="48.75" customHeight="1">
      <c r="B14" s="103"/>
      <c r="C14" s="200" t="s">
        <v>786</v>
      </c>
      <c r="D14" s="198">
        <f>ejercicio-1</f>
        <v>2018</v>
      </c>
      <c r="E14" s="199">
        <f>ejercicio-1</f>
        <v>2018</v>
      </c>
      <c r="F14" s="195" t="s">
        <v>781</v>
      </c>
      <c r="G14" s="196" t="s">
        <v>780</v>
      </c>
      <c r="H14" s="196" t="s">
        <v>782</v>
      </c>
      <c r="I14" s="196" t="s">
        <v>783</v>
      </c>
      <c r="J14" s="196" t="s">
        <v>784</v>
      </c>
      <c r="K14" s="196" t="s">
        <v>785</v>
      </c>
      <c r="L14" s="197" t="s">
        <v>770</v>
      </c>
      <c r="M14" s="199">
        <f>ejercicio-1</f>
        <v>2018</v>
      </c>
      <c r="N14" s="1298"/>
      <c r="O14" s="106"/>
      <c r="Q14" s="365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8"/>
    </row>
    <row r="15" spans="2:30" s="120" customFormat="1" ht="22.5" customHeight="1">
      <c r="B15" s="117"/>
      <c r="C15" s="151" t="s">
        <v>772</v>
      </c>
      <c r="D15" s="152"/>
      <c r="E15" s="420">
        <v>5245581.98</v>
      </c>
      <c r="F15" s="421">
        <v>1670</v>
      </c>
      <c r="G15" s="422"/>
      <c r="H15" s="422"/>
      <c r="I15" s="422">
        <v>-674838.65</v>
      </c>
      <c r="J15" s="422"/>
      <c r="K15" s="422"/>
      <c r="L15" s="423"/>
      <c r="M15" s="167">
        <f>SUM(E15:L15)</f>
        <v>4572413.33</v>
      </c>
      <c r="N15" s="451"/>
      <c r="O15" s="118"/>
      <c r="Q15" s="365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8"/>
    </row>
    <row r="16" spans="2:30" ht="22.5" customHeight="1">
      <c r="B16" s="117"/>
      <c r="C16" s="153" t="s">
        <v>775</v>
      </c>
      <c r="D16" s="154"/>
      <c r="E16" s="424">
        <v>983156.28</v>
      </c>
      <c r="F16" s="425">
        <v>632508</v>
      </c>
      <c r="G16" s="426"/>
      <c r="H16" s="426"/>
      <c r="I16" s="426"/>
      <c r="J16" s="426"/>
      <c r="K16" s="426"/>
      <c r="L16" s="427"/>
      <c r="M16" s="170">
        <f>SUM(E16:L16)</f>
        <v>1615664.28</v>
      </c>
      <c r="N16" s="438"/>
      <c r="O16" s="106"/>
      <c r="Q16" s="365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8"/>
    </row>
    <row r="17" spans="2:30" ht="22.5" customHeight="1">
      <c r="B17" s="117"/>
      <c r="C17" s="153" t="s">
        <v>773</v>
      </c>
      <c r="D17" s="154"/>
      <c r="E17" s="424">
        <v>61754104.269999996</v>
      </c>
      <c r="F17" s="425">
        <v>61617404.29</v>
      </c>
      <c r="G17" s="426"/>
      <c r="H17" s="426"/>
      <c r="I17" s="426">
        <v>-3328981.57</v>
      </c>
      <c r="J17" s="426"/>
      <c r="K17" s="426"/>
      <c r="L17" s="427"/>
      <c r="M17" s="170">
        <f>SUM(E17:L17)</f>
        <v>120042526.99000001</v>
      </c>
      <c r="N17" s="438"/>
      <c r="O17" s="106"/>
      <c r="Q17" s="365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8"/>
    </row>
    <row r="18" spans="2:30" ht="22.5" customHeight="1">
      <c r="B18" s="117"/>
      <c r="C18" s="153" t="s">
        <v>776</v>
      </c>
      <c r="D18" s="154"/>
      <c r="E18" s="424"/>
      <c r="F18" s="425"/>
      <c r="G18" s="426"/>
      <c r="H18" s="426"/>
      <c r="I18" s="426"/>
      <c r="J18" s="426"/>
      <c r="K18" s="426"/>
      <c r="L18" s="427"/>
      <c r="M18" s="170">
        <f>SUM(E18:L18)</f>
        <v>0</v>
      </c>
      <c r="N18" s="438"/>
      <c r="O18" s="106"/>
      <c r="Q18" s="365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8"/>
    </row>
    <row r="19" spans="2:30" ht="22.5" customHeight="1">
      <c r="B19" s="117"/>
      <c r="C19" s="155" t="s">
        <v>774</v>
      </c>
      <c r="D19" s="156"/>
      <c r="E19" s="428"/>
      <c r="F19" s="429"/>
      <c r="G19" s="430"/>
      <c r="H19" s="430"/>
      <c r="I19" s="430"/>
      <c r="J19" s="430"/>
      <c r="K19" s="430"/>
      <c r="L19" s="431"/>
      <c r="M19" s="171">
        <f>SUM(E19:L19)</f>
        <v>0</v>
      </c>
      <c r="N19" s="477"/>
      <c r="O19" s="106"/>
      <c r="Q19" s="365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8"/>
    </row>
    <row r="20" spans="2:30" ht="22.5" customHeight="1" thickBot="1">
      <c r="B20" s="117"/>
      <c r="C20" s="157" t="s">
        <v>777</v>
      </c>
      <c r="D20" s="158"/>
      <c r="E20" s="127">
        <f>SUM(E15:E19)</f>
        <v>67982842.53</v>
      </c>
      <c r="F20" s="127">
        <f aca="true" t="shared" si="0" ref="F20:M20">SUM(F15:F19)</f>
        <v>62251582.29</v>
      </c>
      <c r="G20" s="127">
        <f t="shared" si="0"/>
        <v>0</v>
      </c>
      <c r="H20" s="127">
        <f t="shared" si="0"/>
        <v>0</v>
      </c>
      <c r="I20" s="127">
        <f t="shared" si="0"/>
        <v>-4003820.2199999997</v>
      </c>
      <c r="J20" s="127">
        <f t="shared" si="0"/>
        <v>0</v>
      </c>
      <c r="K20" s="127">
        <f t="shared" si="0"/>
        <v>0</v>
      </c>
      <c r="L20" s="127">
        <f t="shared" si="0"/>
        <v>0</v>
      </c>
      <c r="M20" s="127">
        <f t="shared" si="0"/>
        <v>126230604.60000001</v>
      </c>
      <c r="N20" s="159"/>
      <c r="O20" s="106"/>
      <c r="Q20" s="365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8"/>
    </row>
    <row r="21" spans="2:30" ht="7.5" customHeight="1">
      <c r="B21" s="117"/>
      <c r="C21" s="147"/>
      <c r="D21" s="147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06"/>
      <c r="Q21" s="365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8"/>
    </row>
    <row r="22" spans="2:30" ht="22.5" customHeight="1" thickBot="1">
      <c r="B22" s="117"/>
      <c r="C22" s="161" t="s">
        <v>778</v>
      </c>
      <c r="D22" s="162"/>
      <c r="E22" s="493">
        <v>1129265.22</v>
      </c>
      <c r="F22" s="494"/>
      <c r="G22" s="495"/>
      <c r="H22" s="495"/>
      <c r="I22" s="495"/>
      <c r="J22" s="495"/>
      <c r="K22" s="495"/>
      <c r="L22" s="496"/>
      <c r="M22" s="127">
        <f>SUM(E22:L22)</f>
        <v>1129265.22</v>
      </c>
      <c r="N22" s="758"/>
      <c r="O22" s="106"/>
      <c r="Q22" s="365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8"/>
    </row>
    <row r="23" spans="2:30" ht="22.5" customHeight="1">
      <c r="B23" s="117"/>
      <c r="C23" s="116"/>
      <c r="D23" s="11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106"/>
      <c r="Q23" s="365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8"/>
    </row>
    <row r="24" spans="2:30" ht="22.5" customHeight="1">
      <c r="B24" s="117"/>
      <c r="C24" s="1295"/>
      <c r="D24" s="1296"/>
      <c r="E24" s="191" t="s">
        <v>789</v>
      </c>
      <c r="F24" s="1299" t="s">
        <v>779</v>
      </c>
      <c r="G24" s="1300"/>
      <c r="H24" s="1300"/>
      <c r="I24" s="1300"/>
      <c r="J24" s="1300"/>
      <c r="K24" s="1300"/>
      <c r="L24" s="1301"/>
      <c r="M24" s="191" t="s">
        <v>790</v>
      </c>
      <c r="N24" s="1297" t="s">
        <v>791</v>
      </c>
      <c r="O24" s="106"/>
      <c r="Q24" s="365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8"/>
    </row>
    <row r="25" spans="2:30" ht="48.75" customHeight="1">
      <c r="B25" s="117"/>
      <c r="C25" s="200" t="s">
        <v>787</v>
      </c>
      <c r="D25" s="198">
        <f>ejercicio</f>
        <v>2019</v>
      </c>
      <c r="E25" s="199">
        <f>ejercicio</f>
        <v>2019</v>
      </c>
      <c r="F25" s="195" t="s">
        <v>781</v>
      </c>
      <c r="G25" s="196" t="s">
        <v>780</v>
      </c>
      <c r="H25" s="196" t="s">
        <v>782</v>
      </c>
      <c r="I25" s="196" t="s">
        <v>783</v>
      </c>
      <c r="J25" s="196" t="s">
        <v>784</v>
      </c>
      <c r="K25" s="196" t="s">
        <v>785</v>
      </c>
      <c r="L25" s="197" t="s">
        <v>770</v>
      </c>
      <c r="M25" s="199">
        <f>ejercicio</f>
        <v>2019</v>
      </c>
      <c r="N25" s="1298"/>
      <c r="O25" s="106"/>
      <c r="Q25" s="365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8"/>
    </row>
    <row r="26" spans="2:30" ht="22.5" customHeight="1">
      <c r="B26" s="117"/>
      <c r="C26" s="151" t="s">
        <v>772</v>
      </c>
      <c r="D26" s="152"/>
      <c r="E26" s="167">
        <f>+M15</f>
        <v>4572413.33</v>
      </c>
      <c r="F26" s="421"/>
      <c r="G26" s="422"/>
      <c r="H26" s="422"/>
      <c r="I26" s="422">
        <v>-675250.46</v>
      </c>
      <c r="J26" s="422"/>
      <c r="K26" s="422"/>
      <c r="L26" s="423"/>
      <c r="M26" s="167">
        <f>SUM(E26:L26)</f>
        <v>3897162.87</v>
      </c>
      <c r="N26" s="451"/>
      <c r="O26" s="106"/>
      <c r="Q26" s="365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8"/>
    </row>
    <row r="27" spans="2:30" ht="22.5" customHeight="1">
      <c r="B27" s="117"/>
      <c r="C27" s="153" t="s">
        <v>775</v>
      </c>
      <c r="D27" s="154"/>
      <c r="E27" s="170">
        <f>+M16</f>
        <v>1615664.28</v>
      </c>
      <c r="F27" s="425"/>
      <c r="G27" s="426"/>
      <c r="H27" s="426"/>
      <c r="I27" s="426"/>
      <c r="J27" s="426"/>
      <c r="K27" s="426"/>
      <c r="L27" s="427"/>
      <c r="M27" s="170">
        <f>SUM(E27:L27)</f>
        <v>1615664.28</v>
      </c>
      <c r="N27" s="438"/>
      <c r="O27" s="106"/>
      <c r="Q27" s="365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8"/>
    </row>
    <row r="28" spans="2:30" ht="22.5" customHeight="1">
      <c r="B28" s="117"/>
      <c r="C28" s="153" t="s">
        <v>773</v>
      </c>
      <c r="D28" s="154"/>
      <c r="E28" s="170">
        <f>+M17</f>
        <v>120042526.99000001</v>
      </c>
      <c r="F28" s="425">
        <v>4682378.49</v>
      </c>
      <c r="G28" s="426"/>
      <c r="H28" s="426"/>
      <c r="I28" s="426">
        <v>-5623627.99</v>
      </c>
      <c r="J28" s="426"/>
      <c r="K28" s="426"/>
      <c r="L28" s="427"/>
      <c r="M28" s="170">
        <f>SUM(E28:L28)</f>
        <v>119101277.49000001</v>
      </c>
      <c r="N28" s="1169"/>
      <c r="O28" s="106"/>
      <c r="Q28" s="365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8"/>
    </row>
    <row r="29" spans="2:30" ht="22.5" customHeight="1">
      <c r="B29" s="117"/>
      <c r="C29" s="153" t="s">
        <v>776</v>
      </c>
      <c r="D29" s="154"/>
      <c r="E29" s="170">
        <f>+M18</f>
        <v>0</v>
      </c>
      <c r="F29" s="425"/>
      <c r="G29" s="426"/>
      <c r="H29" s="426"/>
      <c r="I29" s="426"/>
      <c r="J29" s="426"/>
      <c r="K29" s="426"/>
      <c r="L29" s="427"/>
      <c r="M29" s="170">
        <f>SUM(E29:L29)</f>
        <v>0</v>
      </c>
      <c r="N29" s="438"/>
      <c r="O29" s="106"/>
      <c r="Q29" s="365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8"/>
    </row>
    <row r="30" spans="2:30" ht="22.5" customHeight="1">
      <c r="B30" s="117"/>
      <c r="C30" s="155" t="s">
        <v>774</v>
      </c>
      <c r="D30" s="156"/>
      <c r="E30" s="171">
        <f>+M19</f>
        <v>0</v>
      </c>
      <c r="F30" s="429"/>
      <c r="G30" s="430"/>
      <c r="H30" s="430"/>
      <c r="I30" s="430"/>
      <c r="J30" s="430"/>
      <c r="K30" s="430"/>
      <c r="L30" s="431"/>
      <c r="M30" s="171">
        <f>SUM(E30:L30)</f>
        <v>0</v>
      </c>
      <c r="N30" s="477"/>
      <c r="O30" s="106"/>
      <c r="Q30" s="375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7"/>
    </row>
    <row r="31" spans="2:30" ht="22.5" customHeight="1" thickBot="1">
      <c r="B31" s="117"/>
      <c r="C31" s="157" t="s">
        <v>777</v>
      </c>
      <c r="D31" s="158"/>
      <c r="E31" s="127">
        <f aca="true" t="shared" si="1" ref="E31:M31">SUM(E26:E30)</f>
        <v>126230604.60000001</v>
      </c>
      <c r="F31" s="127">
        <f t="shared" si="1"/>
        <v>4682378.49</v>
      </c>
      <c r="G31" s="127">
        <f t="shared" si="1"/>
        <v>0</v>
      </c>
      <c r="H31" s="127">
        <f t="shared" si="1"/>
        <v>0</v>
      </c>
      <c r="I31" s="127">
        <f t="shared" si="1"/>
        <v>-6298878.45</v>
      </c>
      <c r="J31" s="127">
        <f t="shared" si="1"/>
        <v>0</v>
      </c>
      <c r="K31" s="127">
        <f t="shared" si="1"/>
        <v>0</v>
      </c>
      <c r="L31" s="127">
        <f t="shared" si="1"/>
        <v>0</v>
      </c>
      <c r="M31" s="127">
        <f t="shared" si="1"/>
        <v>124614104.64000002</v>
      </c>
      <c r="N31" s="159"/>
      <c r="O31" s="106"/>
      <c r="Q31" s="375"/>
      <c r="R31" s="376"/>
      <c r="S31" s="376"/>
      <c r="T31" s="376"/>
      <c r="U31" s="376"/>
      <c r="V31" s="376"/>
      <c r="W31" s="376"/>
      <c r="X31" s="376"/>
      <c r="Y31" s="376"/>
      <c r="Z31" s="376"/>
      <c r="AA31" s="376"/>
      <c r="AB31" s="376"/>
      <c r="AC31" s="376"/>
      <c r="AD31" s="377"/>
    </row>
    <row r="32" spans="2:30" ht="9" customHeight="1">
      <c r="B32" s="117"/>
      <c r="C32" s="147"/>
      <c r="D32" s="147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06"/>
      <c r="Q32" s="365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8"/>
    </row>
    <row r="33" spans="2:30" ht="22.5" customHeight="1" thickBot="1">
      <c r="B33" s="117"/>
      <c r="C33" s="161" t="s">
        <v>778</v>
      </c>
      <c r="D33" s="162"/>
      <c r="E33" s="127">
        <f>+M22</f>
        <v>1129265.22</v>
      </c>
      <c r="F33" s="494"/>
      <c r="G33" s="495"/>
      <c r="H33" s="495"/>
      <c r="I33" s="495"/>
      <c r="J33" s="495"/>
      <c r="K33" s="495">
        <v>-900</v>
      </c>
      <c r="L33" s="496"/>
      <c r="M33" s="127">
        <f>SUM(E33:L33)</f>
        <v>1128365.22</v>
      </c>
      <c r="N33" s="758"/>
      <c r="O33" s="106"/>
      <c r="Q33" s="365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8"/>
    </row>
    <row r="34" spans="2:30" ht="22.5" customHeight="1">
      <c r="B34" s="117"/>
      <c r="C34" s="116"/>
      <c r="D34" s="11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106"/>
      <c r="Q34" s="365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8"/>
    </row>
    <row r="35" spans="2:30" ht="22.5" customHeight="1">
      <c r="B35" s="117"/>
      <c r="C35" s="166" t="s">
        <v>788</v>
      </c>
      <c r="D35" s="164"/>
      <c r="E35" s="165"/>
      <c r="F35" s="165"/>
      <c r="G35" s="165"/>
      <c r="H35" s="165"/>
      <c r="I35" s="165"/>
      <c r="J35" s="165"/>
      <c r="K35" s="165"/>
      <c r="L35" s="165"/>
      <c r="M35" s="165"/>
      <c r="N35" s="96"/>
      <c r="O35" s="106"/>
      <c r="Q35" s="365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8"/>
    </row>
    <row r="36" spans="2:30" ht="17.25">
      <c r="B36" s="117"/>
      <c r="C36" s="164" t="s">
        <v>1138</v>
      </c>
      <c r="D36" s="164"/>
      <c r="E36" s="165"/>
      <c r="F36" s="165"/>
      <c r="G36" s="165"/>
      <c r="H36" s="165"/>
      <c r="I36" s="165"/>
      <c r="J36" s="165"/>
      <c r="K36" s="165"/>
      <c r="L36" s="165"/>
      <c r="M36" s="165"/>
      <c r="N36" s="96"/>
      <c r="O36" s="106"/>
      <c r="Q36" s="378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80"/>
    </row>
    <row r="37" spans="2:30" ht="17.25">
      <c r="B37" s="117"/>
      <c r="C37" s="164" t="s">
        <v>1139</v>
      </c>
      <c r="D37" s="164"/>
      <c r="E37" s="165"/>
      <c r="F37" s="165"/>
      <c r="G37" s="165"/>
      <c r="H37" s="165"/>
      <c r="I37" s="165"/>
      <c r="J37" s="165"/>
      <c r="K37" s="165"/>
      <c r="L37" s="165"/>
      <c r="M37" s="165"/>
      <c r="N37" s="96"/>
      <c r="O37" s="106"/>
      <c r="Q37" s="378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80"/>
    </row>
    <row r="38" spans="2:30" ht="17.25">
      <c r="B38" s="117"/>
      <c r="C38" s="164" t="s">
        <v>1140</v>
      </c>
      <c r="D38" s="164"/>
      <c r="E38" s="165"/>
      <c r="F38" s="165"/>
      <c r="G38" s="165"/>
      <c r="H38" s="165"/>
      <c r="I38" s="165"/>
      <c r="J38" s="165"/>
      <c r="K38" s="165"/>
      <c r="L38" s="165"/>
      <c r="M38" s="165"/>
      <c r="N38" s="96"/>
      <c r="O38" s="106"/>
      <c r="Q38" s="378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80"/>
    </row>
    <row r="39" spans="2:30" ht="17.25">
      <c r="B39" s="117"/>
      <c r="C39" s="164" t="s">
        <v>1141</v>
      </c>
      <c r="D39" s="164"/>
      <c r="E39" s="165"/>
      <c r="F39" s="165"/>
      <c r="G39" s="165"/>
      <c r="H39" s="165"/>
      <c r="I39" s="165"/>
      <c r="J39" s="165"/>
      <c r="K39" s="165"/>
      <c r="L39" s="165"/>
      <c r="M39" s="165"/>
      <c r="N39" s="96"/>
      <c r="O39" s="106"/>
      <c r="Q39" s="378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80"/>
    </row>
    <row r="40" spans="2:30" ht="17.25">
      <c r="B40" s="117"/>
      <c r="C40" s="164" t="s">
        <v>1147</v>
      </c>
      <c r="D40" s="164"/>
      <c r="E40" s="165"/>
      <c r="F40" s="165"/>
      <c r="G40" s="165"/>
      <c r="H40" s="165"/>
      <c r="I40" s="165"/>
      <c r="J40" s="165"/>
      <c r="K40" s="165"/>
      <c r="L40" s="165"/>
      <c r="M40" s="165"/>
      <c r="N40" s="96"/>
      <c r="O40" s="106"/>
      <c r="Q40" s="378"/>
      <c r="R40" s="379"/>
      <c r="S40" s="379"/>
      <c r="T40" s="379"/>
      <c r="U40" s="379"/>
      <c r="V40" s="379"/>
      <c r="W40" s="379"/>
      <c r="X40" s="379"/>
      <c r="Y40" s="379"/>
      <c r="Z40" s="379"/>
      <c r="AA40" s="379"/>
      <c r="AB40" s="379"/>
      <c r="AC40" s="379"/>
      <c r="AD40" s="380"/>
    </row>
    <row r="41" spans="2:30" ht="17.25">
      <c r="B41" s="117"/>
      <c r="C41" s="164" t="s">
        <v>1142</v>
      </c>
      <c r="D41" s="164"/>
      <c r="E41" s="165"/>
      <c r="F41" s="165"/>
      <c r="G41" s="165"/>
      <c r="H41" s="165"/>
      <c r="I41" s="165"/>
      <c r="J41" s="165"/>
      <c r="K41" s="165"/>
      <c r="L41" s="165"/>
      <c r="M41" s="165"/>
      <c r="N41" s="96"/>
      <c r="O41" s="106"/>
      <c r="Q41" s="378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80"/>
    </row>
    <row r="42" spans="2:30" ht="17.25">
      <c r="B42" s="117"/>
      <c r="C42" s="164" t="s">
        <v>1143</v>
      </c>
      <c r="D42" s="164"/>
      <c r="E42" s="165"/>
      <c r="F42" s="165"/>
      <c r="G42" s="165"/>
      <c r="H42" s="165"/>
      <c r="I42" s="165"/>
      <c r="J42" s="165"/>
      <c r="K42" s="165"/>
      <c r="L42" s="165"/>
      <c r="M42" s="165"/>
      <c r="N42" s="96"/>
      <c r="O42" s="106"/>
      <c r="Q42" s="378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79"/>
      <c r="AD42" s="380"/>
    </row>
    <row r="43" spans="2:30" ht="17.25">
      <c r="B43" s="117"/>
      <c r="C43" s="164" t="s">
        <v>1144</v>
      </c>
      <c r="D43" s="164"/>
      <c r="E43" s="165"/>
      <c r="F43" s="165"/>
      <c r="G43" s="165"/>
      <c r="H43" s="165"/>
      <c r="I43" s="165"/>
      <c r="J43" s="165"/>
      <c r="K43" s="165"/>
      <c r="L43" s="165"/>
      <c r="M43" s="165"/>
      <c r="N43" s="96"/>
      <c r="O43" s="106"/>
      <c r="Q43" s="378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79"/>
      <c r="AC43" s="379"/>
      <c r="AD43" s="380"/>
    </row>
    <row r="44" spans="2:30" ht="17.25">
      <c r="B44" s="117"/>
      <c r="C44" s="164" t="s">
        <v>1145</v>
      </c>
      <c r="D44" s="164"/>
      <c r="E44" s="165"/>
      <c r="F44" s="165"/>
      <c r="G44" s="165"/>
      <c r="H44" s="165"/>
      <c r="I44" s="165"/>
      <c r="J44" s="165"/>
      <c r="K44" s="165"/>
      <c r="L44" s="165"/>
      <c r="M44" s="165"/>
      <c r="N44" s="96"/>
      <c r="O44" s="106"/>
      <c r="Q44" s="378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379"/>
      <c r="AD44" s="380"/>
    </row>
    <row r="45" spans="2:30" ht="17.25">
      <c r="B45" s="117"/>
      <c r="C45" s="164" t="s">
        <v>1146</v>
      </c>
      <c r="D45" s="164"/>
      <c r="E45" s="165"/>
      <c r="F45" s="165"/>
      <c r="G45" s="165"/>
      <c r="H45" s="165"/>
      <c r="I45" s="165"/>
      <c r="J45" s="165"/>
      <c r="K45" s="165"/>
      <c r="L45" s="165"/>
      <c r="M45" s="165"/>
      <c r="N45" s="96"/>
      <c r="O45" s="106"/>
      <c r="Q45" s="378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80"/>
    </row>
    <row r="46" spans="2:30" ht="22.5" customHeight="1" thickBot="1">
      <c r="B46" s="121"/>
      <c r="C46" s="1239"/>
      <c r="D46" s="1239"/>
      <c r="E46" s="1239"/>
      <c r="F46" s="1239"/>
      <c r="G46" s="53"/>
      <c r="H46" s="53"/>
      <c r="I46" s="53"/>
      <c r="J46" s="53"/>
      <c r="K46" s="53"/>
      <c r="L46" s="53"/>
      <c r="M46" s="53"/>
      <c r="N46" s="122"/>
      <c r="O46" s="123"/>
      <c r="Q46" s="381"/>
      <c r="R46" s="382"/>
      <c r="S46" s="382"/>
      <c r="T46" s="382"/>
      <c r="U46" s="382"/>
      <c r="V46" s="382"/>
      <c r="W46" s="382"/>
      <c r="X46" s="382"/>
      <c r="Y46" s="382"/>
      <c r="Z46" s="382"/>
      <c r="AA46" s="382"/>
      <c r="AB46" s="382"/>
      <c r="AC46" s="382"/>
      <c r="AD46" s="383"/>
    </row>
    <row r="47" spans="3:16" ht="22.5" customHeight="1">
      <c r="C47" s="104"/>
      <c r="D47" s="104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P47" s="97" t="s">
        <v>154</v>
      </c>
    </row>
    <row r="48" spans="3:14" ht="12.75">
      <c r="C48" s="124" t="s">
        <v>451</v>
      </c>
      <c r="D48" s="104"/>
      <c r="E48" s="105"/>
      <c r="F48" s="105"/>
      <c r="G48" s="105"/>
      <c r="H48" s="105"/>
      <c r="I48" s="105"/>
      <c r="J48" s="105"/>
      <c r="K48" s="105"/>
      <c r="L48" s="105"/>
      <c r="M48" s="105"/>
      <c r="N48" s="95" t="s">
        <v>429</v>
      </c>
    </row>
    <row r="49" spans="3:14" ht="12.75">
      <c r="C49" s="125" t="s">
        <v>452</v>
      </c>
      <c r="D49" s="104"/>
      <c r="E49" s="105"/>
      <c r="F49" s="105"/>
      <c r="G49" s="105"/>
      <c r="H49" s="105"/>
      <c r="I49" s="105"/>
      <c r="J49" s="105"/>
      <c r="K49" s="105"/>
      <c r="L49" s="105"/>
      <c r="M49" s="105"/>
      <c r="N49" s="105"/>
    </row>
    <row r="50" spans="3:14" ht="12.75">
      <c r="C50" s="125" t="s">
        <v>453</v>
      </c>
      <c r="D50" s="104"/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1" spans="3:14" ht="12.75">
      <c r="C51" s="125" t="s">
        <v>454</v>
      </c>
      <c r="D51" s="104"/>
      <c r="E51" s="105"/>
      <c r="F51" s="105"/>
      <c r="G51" s="105"/>
      <c r="H51" s="105"/>
      <c r="I51" s="105"/>
      <c r="J51" s="105"/>
      <c r="K51" s="105"/>
      <c r="L51" s="105"/>
      <c r="M51" s="105"/>
      <c r="N51" s="105"/>
    </row>
    <row r="52" spans="3:14" ht="12.75">
      <c r="C52" s="125" t="s">
        <v>455</v>
      </c>
      <c r="D52" s="104"/>
      <c r="E52" s="105"/>
      <c r="F52" s="105"/>
      <c r="G52" s="105"/>
      <c r="H52" s="105"/>
      <c r="I52" s="105"/>
      <c r="J52" s="105"/>
      <c r="K52" s="105"/>
      <c r="L52" s="105"/>
      <c r="M52" s="105"/>
      <c r="N52" s="105"/>
    </row>
    <row r="53" spans="3:14" ht="22.5" customHeight="1">
      <c r="C53" s="104"/>
      <c r="D53" s="104"/>
      <c r="E53" s="105"/>
      <c r="F53" s="105"/>
      <c r="G53" s="105"/>
      <c r="H53" s="105"/>
      <c r="I53" s="105"/>
      <c r="J53" s="105"/>
      <c r="K53" s="105"/>
      <c r="L53" s="105"/>
      <c r="M53" s="105"/>
      <c r="N53" s="105"/>
    </row>
    <row r="54" spans="3:14" ht="22.5" customHeight="1">
      <c r="C54" s="104"/>
      <c r="D54" s="104"/>
      <c r="E54" s="105"/>
      <c r="F54" s="105"/>
      <c r="G54" s="105"/>
      <c r="H54" s="105"/>
      <c r="I54" s="105"/>
      <c r="J54" s="105"/>
      <c r="K54" s="105"/>
      <c r="L54" s="105"/>
      <c r="M54" s="105"/>
      <c r="N54" s="105"/>
    </row>
    <row r="55" spans="3:14" ht="22.5" customHeight="1">
      <c r="C55" s="104"/>
      <c r="D55" s="104"/>
      <c r="E55" s="105"/>
      <c r="F55" s="105"/>
      <c r="G55" s="105"/>
      <c r="H55" s="105"/>
      <c r="I55" s="105"/>
      <c r="J55" s="105"/>
      <c r="K55" s="105"/>
      <c r="L55" s="105"/>
      <c r="M55" s="105"/>
      <c r="N55" s="105"/>
    </row>
    <row r="56" spans="3:14" ht="22.5" customHeight="1">
      <c r="C56" s="104"/>
      <c r="D56" s="104"/>
      <c r="E56" s="105"/>
      <c r="F56" s="105"/>
      <c r="G56" s="105"/>
      <c r="H56" s="105"/>
      <c r="I56" s="105"/>
      <c r="J56" s="105"/>
      <c r="K56" s="105"/>
      <c r="L56" s="105"/>
      <c r="M56" s="105"/>
      <c r="N56" s="105"/>
    </row>
    <row r="57" spans="6:14" ht="22.5" customHeight="1">
      <c r="F57" s="105"/>
      <c r="G57" s="105"/>
      <c r="H57" s="105"/>
      <c r="I57" s="105"/>
      <c r="J57" s="105"/>
      <c r="K57" s="105"/>
      <c r="L57" s="105"/>
      <c r="M57" s="105"/>
      <c r="N57" s="105"/>
    </row>
  </sheetData>
  <sheetProtection password="C494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90"/>
  <sheetViews>
    <sheetView zoomScale="81" zoomScaleNormal="81" zoomScalePageLayoutView="0" workbookViewId="0" topLeftCell="A1">
      <selection activeCell="I31" sqref="I31"/>
    </sheetView>
  </sheetViews>
  <sheetFormatPr defaultColWidth="10.6640625" defaultRowHeight="22.5" customHeight="1"/>
  <cols>
    <col min="1" max="1" width="4.3359375" style="97" bestFit="1" customWidth="1"/>
    <col min="2" max="2" width="3.3359375" style="97" customWidth="1"/>
    <col min="3" max="3" width="13.5546875" style="97" customWidth="1"/>
    <col min="4" max="4" width="23.3359375" style="97" customWidth="1"/>
    <col min="5" max="12" width="13.4453125" style="98" customWidth="1"/>
    <col min="13" max="13" width="25.6640625" style="98" customWidth="1"/>
    <col min="14" max="14" width="3.3359375" style="97" customWidth="1"/>
    <col min="15" max="16384" width="10.6640625" style="97" customWidth="1"/>
  </cols>
  <sheetData>
    <row r="2" ht="22.5" customHeight="1">
      <c r="D2" s="63" t="s">
        <v>753</v>
      </c>
    </row>
    <row r="3" ht="22.5" customHeight="1">
      <c r="D3" s="63" t="s">
        <v>754</v>
      </c>
    </row>
    <row r="4" ht="22.5" customHeight="1" thickBot="1">
      <c r="A4" s="97" t="s">
        <v>153</v>
      </c>
    </row>
    <row r="5" spans="2:29" ht="9" customHeight="1">
      <c r="B5" s="99"/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101"/>
      <c r="N5" s="102"/>
      <c r="P5" s="362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4"/>
    </row>
    <row r="6" spans="2:29" ht="30" customHeight="1">
      <c r="B6" s="103"/>
      <c r="C6" s="67" t="s">
        <v>379</v>
      </c>
      <c r="D6" s="104"/>
      <c r="E6" s="105"/>
      <c r="F6" s="105"/>
      <c r="G6" s="105"/>
      <c r="H6" s="105"/>
      <c r="I6" s="105"/>
      <c r="J6" s="105"/>
      <c r="K6" s="105"/>
      <c r="L6" s="105"/>
      <c r="M6" s="1226">
        <f>ejercicio</f>
        <v>2019</v>
      </c>
      <c r="N6" s="106"/>
      <c r="P6" s="365"/>
      <c r="Q6" s="366" t="s">
        <v>1067</v>
      </c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8"/>
    </row>
    <row r="7" spans="2:29" ht="30" customHeight="1">
      <c r="B7" s="103"/>
      <c r="C7" s="67" t="s">
        <v>380</v>
      </c>
      <c r="D7" s="104"/>
      <c r="E7" s="105"/>
      <c r="F7" s="105"/>
      <c r="G7" s="105"/>
      <c r="H7" s="105"/>
      <c r="I7" s="105"/>
      <c r="J7" s="105"/>
      <c r="K7" s="105"/>
      <c r="L7" s="105"/>
      <c r="M7" s="1226"/>
      <c r="N7" s="106"/>
      <c r="P7" s="365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8"/>
    </row>
    <row r="8" spans="2:29" ht="30" customHeight="1">
      <c r="B8" s="103"/>
      <c r="C8" s="107"/>
      <c r="D8" s="104"/>
      <c r="E8" s="105"/>
      <c r="F8" s="105"/>
      <c r="G8" s="105"/>
      <c r="H8" s="105"/>
      <c r="I8" s="105"/>
      <c r="J8" s="105"/>
      <c r="K8" s="105"/>
      <c r="L8" s="105"/>
      <c r="M8" s="108"/>
      <c r="N8" s="106"/>
      <c r="P8" s="365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8"/>
    </row>
    <row r="9" spans="2:29" s="65" customFormat="1" ht="30" customHeight="1">
      <c r="B9" s="109"/>
      <c r="C9" s="40" t="s">
        <v>381</v>
      </c>
      <c r="D9" s="1240" t="str">
        <f>Entidad</f>
        <v>INSTITUTO TECNOLOGICO Y DE ENERGIAS RENOVABLES S.A.</v>
      </c>
      <c r="E9" s="1240"/>
      <c r="F9" s="1240"/>
      <c r="G9" s="1240"/>
      <c r="H9" s="1240"/>
      <c r="I9" s="1240"/>
      <c r="J9" s="1240"/>
      <c r="K9" s="1240"/>
      <c r="L9" s="1240"/>
      <c r="M9" s="1240"/>
      <c r="N9" s="110"/>
      <c r="P9" s="369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0"/>
      <c r="AC9" s="371"/>
    </row>
    <row r="10" spans="2:29" ht="6.75" customHeight="1">
      <c r="B10" s="103"/>
      <c r="C10" s="104"/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6"/>
      <c r="P10" s="365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8"/>
    </row>
    <row r="11" spans="2:29" s="115" customFormat="1" ht="30" customHeight="1">
      <c r="B11" s="111"/>
      <c r="C11" s="112" t="s">
        <v>793</v>
      </c>
      <c r="D11" s="112"/>
      <c r="E11" s="113"/>
      <c r="F11" s="113"/>
      <c r="G11" s="113"/>
      <c r="H11" s="113"/>
      <c r="I11" s="113"/>
      <c r="J11" s="113"/>
      <c r="K11" s="113"/>
      <c r="L11" s="113"/>
      <c r="M11" s="113"/>
      <c r="N11" s="114"/>
      <c r="P11" s="372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4"/>
    </row>
    <row r="12" spans="2:29" s="115" customFormat="1" ht="30" customHeight="1">
      <c r="B12" s="111"/>
      <c r="C12" s="1309"/>
      <c r="D12" s="1309"/>
      <c r="E12" s="96"/>
      <c r="F12" s="96"/>
      <c r="G12" s="96"/>
      <c r="H12" s="96"/>
      <c r="I12" s="96"/>
      <c r="J12" s="96"/>
      <c r="K12" s="96"/>
      <c r="L12" s="96"/>
      <c r="M12" s="96"/>
      <c r="N12" s="114"/>
      <c r="P12" s="372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4"/>
    </row>
    <row r="13" spans="2:29" s="115" customFormat="1" ht="30" customHeight="1">
      <c r="B13" s="111"/>
      <c r="C13" s="66" t="s">
        <v>804</v>
      </c>
      <c r="D13" s="22"/>
      <c r="E13" s="96"/>
      <c r="F13" s="96"/>
      <c r="G13" s="96"/>
      <c r="H13" s="96"/>
      <c r="I13" s="96"/>
      <c r="J13" s="96"/>
      <c r="K13" s="96"/>
      <c r="L13" s="96"/>
      <c r="M13" s="96"/>
      <c r="N13" s="114"/>
      <c r="P13" s="365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8"/>
    </row>
    <row r="14" spans="2:29" s="115" customFormat="1" ht="30" customHeight="1">
      <c r="B14" s="111"/>
      <c r="C14" s="22"/>
      <c r="D14" s="22"/>
      <c r="E14" s="96"/>
      <c r="F14" s="96"/>
      <c r="G14" s="96"/>
      <c r="H14" s="96"/>
      <c r="I14" s="96"/>
      <c r="J14" s="96"/>
      <c r="K14" s="96"/>
      <c r="L14" s="96"/>
      <c r="M14" s="96"/>
      <c r="N14" s="114"/>
      <c r="P14" s="365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8"/>
    </row>
    <row r="15" spans="2:29" s="119" customFormat="1" ht="22.5" customHeight="1">
      <c r="B15" s="117"/>
      <c r="C15" s="189"/>
      <c r="D15" s="190"/>
      <c r="E15" s="191" t="s">
        <v>795</v>
      </c>
      <c r="F15" s="191" t="s">
        <v>771</v>
      </c>
      <c r="G15" s="1299" t="s">
        <v>779</v>
      </c>
      <c r="H15" s="1300"/>
      <c r="I15" s="1300"/>
      <c r="J15" s="191" t="s">
        <v>790</v>
      </c>
      <c r="K15" s="191" t="s">
        <v>800</v>
      </c>
      <c r="L15" s="191" t="s">
        <v>801</v>
      </c>
      <c r="M15" s="1297" t="s">
        <v>1149</v>
      </c>
      <c r="N15" s="118"/>
      <c r="P15" s="365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8"/>
    </row>
    <row r="16" spans="2:29" ht="48.75" customHeight="1">
      <c r="B16" s="103"/>
      <c r="C16" s="192" t="s">
        <v>794</v>
      </c>
      <c r="D16" s="193"/>
      <c r="E16" s="194" t="s">
        <v>796</v>
      </c>
      <c r="F16" s="194">
        <f>ejercicio</f>
        <v>2019</v>
      </c>
      <c r="G16" s="195" t="s">
        <v>797</v>
      </c>
      <c r="H16" s="196" t="s">
        <v>798</v>
      </c>
      <c r="I16" s="197" t="s">
        <v>799</v>
      </c>
      <c r="J16" s="194">
        <f>ejercicio</f>
        <v>2019</v>
      </c>
      <c r="K16" s="194" t="s">
        <v>1148</v>
      </c>
      <c r="L16" s="194">
        <f>ejercicio</f>
        <v>2019</v>
      </c>
      <c r="M16" s="1298"/>
      <c r="N16" s="106"/>
      <c r="P16" s="365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8"/>
    </row>
    <row r="17" spans="2:29" ht="30" customHeight="1" thickBot="1">
      <c r="B17" s="103"/>
      <c r="C17" s="1305" t="s">
        <v>802</v>
      </c>
      <c r="D17" s="1305"/>
      <c r="E17" s="1305"/>
      <c r="F17" s="1305"/>
      <c r="G17" s="1305"/>
      <c r="H17" s="1305"/>
      <c r="I17" s="1305"/>
      <c r="J17" s="1305"/>
      <c r="K17" s="1305"/>
      <c r="L17" s="1305"/>
      <c r="M17" s="1305"/>
      <c r="N17" s="106"/>
      <c r="P17" s="365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8"/>
    </row>
    <row r="18" spans="2:29" s="120" customFormat="1" ht="22.5" customHeight="1">
      <c r="B18" s="117"/>
      <c r="C18" s="1307" t="s">
        <v>288</v>
      </c>
      <c r="D18" s="1308"/>
      <c r="E18" s="1186">
        <v>2403</v>
      </c>
      <c r="F18" s="432">
        <v>10676000</v>
      </c>
      <c r="G18" s="433"/>
      <c r="H18" s="433"/>
      <c r="I18" s="433"/>
      <c r="J18" s="178">
        <f aca="true" t="shared" si="0" ref="J18:J24">SUM(F18:I18)</f>
        <v>10676000</v>
      </c>
      <c r="K18" s="440">
        <v>1</v>
      </c>
      <c r="L18" s="441"/>
      <c r="M18" s="763"/>
      <c r="N18" s="118"/>
      <c r="P18" s="365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8"/>
    </row>
    <row r="19" spans="2:29" ht="22.5" customHeight="1">
      <c r="B19" s="117"/>
      <c r="C19" s="1304" t="s">
        <v>289</v>
      </c>
      <c r="D19" s="1303"/>
      <c r="E19" s="1187">
        <v>2403</v>
      </c>
      <c r="F19" s="425">
        <v>60200</v>
      </c>
      <c r="G19" s="426"/>
      <c r="H19" s="426"/>
      <c r="I19" s="426"/>
      <c r="J19" s="170">
        <f t="shared" si="0"/>
        <v>60200</v>
      </c>
      <c r="K19" s="442">
        <v>1</v>
      </c>
      <c r="L19" s="443"/>
      <c r="M19" s="764"/>
      <c r="N19" s="106"/>
      <c r="P19" s="365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8"/>
    </row>
    <row r="20" spans="2:29" ht="22.5" customHeight="1">
      <c r="B20" s="117"/>
      <c r="C20" s="1304" t="s">
        <v>290</v>
      </c>
      <c r="D20" s="1303"/>
      <c r="E20" s="1187">
        <v>2403</v>
      </c>
      <c r="F20" s="425">
        <v>210354.24</v>
      </c>
      <c r="G20" s="426"/>
      <c r="H20" s="426"/>
      <c r="I20" s="426"/>
      <c r="J20" s="170">
        <f t="shared" si="0"/>
        <v>210354.24</v>
      </c>
      <c r="K20" s="442">
        <v>0.5</v>
      </c>
      <c r="L20" s="443">
        <v>80000</v>
      </c>
      <c r="M20" s="764"/>
      <c r="N20" s="106"/>
      <c r="P20" s="365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8"/>
    </row>
    <row r="21" spans="2:29" ht="22.5" customHeight="1">
      <c r="B21" s="117"/>
      <c r="C21" s="1302" t="s">
        <v>291</v>
      </c>
      <c r="D21" s="1303" t="s">
        <v>291</v>
      </c>
      <c r="E21" s="768">
        <v>2404</v>
      </c>
      <c r="F21" s="425">
        <v>1626810</v>
      </c>
      <c r="G21" s="426"/>
      <c r="H21" s="426"/>
      <c r="I21" s="426"/>
      <c r="J21" s="170">
        <f t="shared" si="0"/>
        <v>1626810</v>
      </c>
      <c r="K21" s="442">
        <v>0.3994</v>
      </c>
      <c r="L21" s="443">
        <v>250000</v>
      </c>
      <c r="M21" s="764"/>
      <c r="N21" s="106"/>
      <c r="P21" s="365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8"/>
    </row>
    <row r="22" spans="2:29" ht="22.5" customHeight="1">
      <c r="B22" s="117"/>
      <c r="C22" s="1302" t="s">
        <v>292</v>
      </c>
      <c r="D22" s="1303" t="s">
        <v>292</v>
      </c>
      <c r="E22" s="769">
        <v>2404</v>
      </c>
      <c r="F22" s="434">
        <v>2250000</v>
      </c>
      <c r="G22" s="435"/>
      <c r="H22" s="435"/>
      <c r="I22" s="435"/>
      <c r="J22" s="170">
        <f t="shared" si="0"/>
        <v>2250000</v>
      </c>
      <c r="K22" s="444">
        <v>0.3</v>
      </c>
      <c r="L22" s="445">
        <v>400000</v>
      </c>
      <c r="M22" s="765"/>
      <c r="N22" s="106"/>
      <c r="P22" s="365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8"/>
    </row>
    <row r="23" spans="2:29" ht="22.5" customHeight="1">
      <c r="B23" s="117"/>
      <c r="C23" s="1302" t="s">
        <v>293</v>
      </c>
      <c r="D23" s="1303" t="s">
        <v>293</v>
      </c>
      <c r="E23" s="769">
        <v>2404</v>
      </c>
      <c r="F23" s="434">
        <v>1256597.1</v>
      </c>
      <c r="G23" s="435"/>
      <c r="H23" s="435">
        <v>-798320</v>
      </c>
      <c r="I23" s="435"/>
      <c r="J23" s="170">
        <f t="shared" si="0"/>
        <v>458277.1000000001</v>
      </c>
      <c r="K23" s="444">
        <v>0.2172</v>
      </c>
      <c r="L23" s="445">
        <v>498950</v>
      </c>
      <c r="M23" s="765"/>
      <c r="N23" s="106"/>
      <c r="P23" s="365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8"/>
    </row>
    <row r="24" spans="2:29" ht="22.5" customHeight="1">
      <c r="B24" s="117"/>
      <c r="C24" s="436" t="s">
        <v>294</v>
      </c>
      <c r="D24" s="437"/>
      <c r="E24" s="770">
        <v>2404</v>
      </c>
      <c r="F24" s="429">
        <v>0</v>
      </c>
      <c r="G24" s="430"/>
      <c r="H24" s="430"/>
      <c r="I24" s="430"/>
      <c r="J24" s="171">
        <f t="shared" si="0"/>
        <v>0</v>
      </c>
      <c r="K24" s="446"/>
      <c r="L24" s="447"/>
      <c r="M24" s="766"/>
      <c r="N24" s="106"/>
      <c r="P24" s="365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8"/>
    </row>
    <row r="25" spans="2:29" ht="22.5" customHeight="1" thickBot="1">
      <c r="B25" s="117"/>
      <c r="C25" s="157" t="s">
        <v>777</v>
      </c>
      <c r="D25" s="158"/>
      <c r="E25" s="127"/>
      <c r="F25" s="127">
        <f>SUM(F18:F24)</f>
        <v>16079961.34</v>
      </c>
      <c r="G25" s="127">
        <f>SUM(G18:G24)</f>
        <v>0</v>
      </c>
      <c r="H25" s="127">
        <f>SUM(H18:H24)</f>
        <v>-798320</v>
      </c>
      <c r="I25" s="127">
        <f>SUM(I18:I24)</f>
        <v>0</v>
      </c>
      <c r="J25" s="127">
        <f>SUM(J18:J24)</f>
        <v>15281641.34</v>
      </c>
      <c r="K25" s="174"/>
      <c r="L25" s="127">
        <f>SUM(L18:L24)</f>
        <v>1228950</v>
      </c>
      <c r="M25" s="159"/>
      <c r="N25" s="106"/>
      <c r="P25" s="365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8"/>
    </row>
    <row r="26" spans="2:29" ht="30" customHeight="1" thickBot="1">
      <c r="B26" s="103"/>
      <c r="C26" s="1306" t="s">
        <v>803</v>
      </c>
      <c r="D26" s="1306"/>
      <c r="E26" s="1306"/>
      <c r="F26" s="1306"/>
      <c r="G26" s="1306"/>
      <c r="H26" s="1306"/>
      <c r="I26" s="1306"/>
      <c r="J26" s="1306"/>
      <c r="K26" s="1306"/>
      <c r="L26" s="1306"/>
      <c r="M26" s="1306"/>
      <c r="N26" s="106"/>
      <c r="P26" s="365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8"/>
    </row>
    <row r="27" spans="2:29" ht="22.5" customHeight="1">
      <c r="B27" s="117"/>
      <c r="C27" s="1223"/>
      <c r="D27" s="1224"/>
      <c r="E27" s="1186"/>
      <c r="F27" s="432"/>
      <c r="G27" s="433"/>
      <c r="H27" s="433"/>
      <c r="I27" s="1188"/>
      <c r="J27" s="178">
        <f aca="true" t="shared" si="1" ref="J27:J32">SUM(F27:I27)</f>
        <v>0</v>
      </c>
      <c r="K27" s="440"/>
      <c r="L27" s="441"/>
      <c r="M27" s="763"/>
      <c r="N27" s="118"/>
      <c r="P27" s="365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8"/>
    </row>
    <row r="28" spans="2:29" ht="22.5" customHeight="1">
      <c r="B28" s="117"/>
      <c r="C28" s="1223" t="s">
        <v>364</v>
      </c>
      <c r="D28" s="1224"/>
      <c r="E28" s="768">
        <v>5328</v>
      </c>
      <c r="F28" s="432">
        <v>509284.85</v>
      </c>
      <c r="G28" s="433"/>
      <c r="H28" s="433"/>
      <c r="I28" s="1188"/>
      <c r="J28" s="170">
        <f t="shared" si="1"/>
        <v>509284.85</v>
      </c>
      <c r="K28" s="440"/>
      <c r="L28" s="441"/>
      <c r="M28" s="763"/>
      <c r="N28" s="118"/>
      <c r="P28" s="365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8"/>
    </row>
    <row r="29" spans="2:29" ht="22.5" customHeight="1">
      <c r="B29" s="117"/>
      <c r="C29" s="1223" t="s">
        <v>365</v>
      </c>
      <c r="D29" s="1224"/>
      <c r="E29" s="768">
        <v>5328</v>
      </c>
      <c r="F29" s="432">
        <v>1448.94</v>
      </c>
      <c r="G29" s="433"/>
      <c r="H29" s="433"/>
      <c r="I29" s="1188"/>
      <c r="J29" s="170">
        <f t="shared" si="1"/>
        <v>1448.94</v>
      </c>
      <c r="K29" s="440"/>
      <c r="L29" s="441"/>
      <c r="M29" s="763"/>
      <c r="N29" s="118"/>
      <c r="P29" s="365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8"/>
    </row>
    <row r="30" spans="2:29" ht="22.5" customHeight="1">
      <c r="B30" s="117"/>
      <c r="C30" s="1223" t="s">
        <v>366</v>
      </c>
      <c r="D30" s="1224"/>
      <c r="E30" s="768">
        <v>5328</v>
      </c>
      <c r="F30" s="432">
        <v>2040289.48</v>
      </c>
      <c r="G30" s="433">
        <v>260000</v>
      </c>
      <c r="H30" s="433"/>
      <c r="I30" s="1188"/>
      <c r="J30" s="170">
        <f t="shared" si="1"/>
        <v>2300289.48</v>
      </c>
      <c r="K30" s="440"/>
      <c r="L30" s="441"/>
      <c r="M30" s="763"/>
      <c r="N30" s="118"/>
      <c r="P30" s="365"/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8"/>
    </row>
    <row r="31" spans="2:29" ht="22.5" customHeight="1">
      <c r="B31" s="117"/>
      <c r="C31" s="1223" t="s">
        <v>367</v>
      </c>
      <c r="D31" s="1224"/>
      <c r="E31" s="768">
        <v>5328</v>
      </c>
      <c r="F31" s="432">
        <v>17002.14</v>
      </c>
      <c r="G31" s="433"/>
      <c r="H31" s="433"/>
      <c r="I31" s="1188"/>
      <c r="J31" s="170">
        <f t="shared" si="1"/>
        <v>17002.14</v>
      </c>
      <c r="K31" s="440"/>
      <c r="L31" s="441"/>
      <c r="M31" s="763"/>
      <c r="N31" s="118"/>
      <c r="P31" s="365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8"/>
    </row>
    <row r="32" spans="2:29" ht="22.5" customHeight="1">
      <c r="B32" s="117"/>
      <c r="C32" s="1223" t="s">
        <v>368</v>
      </c>
      <c r="D32" s="1224"/>
      <c r="E32" s="768">
        <v>5328</v>
      </c>
      <c r="F32" s="432">
        <v>44.46</v>
      </c>
      <c r="G32" s="433"/>
      <c r="H32" s="433"/>
      <c r="I32" s="1188"/>
      <c r="J32" s="170">
        <f t="shared" si="1"/>
        <v>44.46</v>
      </c>
      <c r="K32" s="440"/>
      <c r="L32" s="441"/>
      <c r="M32" s="763"/>
      <c r="N32" s="118"/>
      <c r="P32" s="365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8"/>
    </row>
    <row r="33" spans="2:29" ht="22.5" customHeight="1">
      <c r="B33" s="117"/>
      <c r="C33" s="1223" t="s">
        <v>369</v>
      </c>
      <c r="D33" s="1224"/>
      <c r="E33" s="768">
        <v>552</v>
      </c>
      <c r="F33" s="1225">
        <v>142877.34</v>
      </c>
      <c r="G33" s="426">
        <v>40000</v>
      </c>
      <c r="H33" s="426"/>
      <c r="I33" s="426"/>
      <c r="J33" s="170">
        <f aca="true" t="shared" si="2" ref="J33:J40">SUM(F33:I33)</f>
        <v>182877.34</v>
      </c>
      <c r="K33" s="442"/>
      <c r="L33" s="443"/>
      <c r="M33" s="764"/>
      <c r="N33" s="106"/>
      <c r="P33" s="365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8"/>
    </row>
    <row r="34" spans="2:29" ht="22.5" customHeight="1">
      <c r="B34" s="117"/>
      <c r="C34" s="1223" t="s">
        <v>370</v>
      </c>
      <c r="D34" s="1224"/>
      <c r="E34" s="768">
        <v>552</v>
      </c>
      <c r="F34" s="1225">
        <v>49908.71</v>
      </c>
      <c r="G34" s="426"/>
      <c r="H34" s="426"/>
      <c r="I34" s="426"/>
      <c r="J34" s="170">
        <f t="shared" si="2"/>
        <v>49908.71</v>
      </c>
      <c r="K34" s="442"/>
      <c r="L34" s="443"/>
      <c r="M34" s="764"/>
      <c r="N34" s="106"/>
      <c r="P34" s="365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8"/>
    </row>
    <row r="35" spans="2:29" ht="22.5" customHeight="1">
      <c r="B35" s="117"/>
      <c r="C35" s="1223" t="s">
        <v>371</v>
      </c>
      <c r="D35" s="1224"/>
      <c r="E35" s="768">
        <v>552</v>
      </c>
      <c r="F35" s="1225">
        <v>-8991.33</v>
      </c>
      <c r="G35" s="426"/>
      <c r="H35" s="426"/>
      <c r="I35" s="426"/>
      <c r="J35" s="170">
        <f t="shared" si="2"/>
        <v>-8991.33</v>
      </c>
      <c r="K35" s="442"/>
      <c r="L35" s="443"/>
      <c r="M35" s="764"/>
      <c r="N35" s="106"/>
      <c r="P35" s="365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8"/>
    </row>
    <row r="36" spans="2:29" ht="22.5" customHeight="1">
      <c r="B36" s="117"/>
      <c r="C36" s="1223" t="s">
        <v>372</v>
      </c>
      <c r="D36" s="1222"/>
      <c r="E36" s="768">
        <v>552</v>
      </c>
      <c r="F36" s="1225">
        <v>95572.62</v>
      </c>
      <c r="G36" s="426">
        <v>60000</v>
      </c>
      <c r="H36" s="426"/>
      <c r="I36" s="426"/>
      <c r="J36" s="170">
        <f t="shared" si="2"/>
        <v>155572.62</v>
      </c>
      <c r="K36" s="442"/>
      <c r="L36" s="443"/>
      <c r="M36" s="764"/>
      <c r="N36" s="106"/>
      <c r="P36" s="365"/>
      <c r="Q36" s="367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8"/>
    </row>
    <row r="37" spans="2:29" ht="22.5" customHeight="1">
      <c r="B37" s="117"/>
      <c r="C37" s="1223" t="s">
        <v>373</v>
      </c>
      <c r="D37" s="1222"/>
      <c r="E37" s="768">
        <v>552</v>
      </c>
      <c r="F37" s="1225">
        <v>1880.53</v>
      </c>
      <c r="G37" s="426"/>
      <c r="H37" s="426"/>
      <c r="I37" s="426"/>
      <c r="J37" s="170">
        <f t="shared" si="2"/>
        <v>1880.53</v>
      </c>
      <c r="K37" s="442"/>
      <c r="L37" s="443"/>
      <c r="M37" s="764"/>
      <c r="N37" s="106"/>
      <c r="P37" s="365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8"/>
    </row>
    <row r="38" spans="2:29" ht="22.5" customHeight="1">
      <c r="B38" s="117"/>
      <c r="C38" s="1223" t="s">
        <v>374</v>
      </c>
      <c r="D38" s="1222"/>
      <c r="E38" s="768">
        <v>552</v>
      </c>
      <c r="F38" s="1225">
        <v>4951.79</v>
      </c>
      <c r="G38" s="426"/>
      <c r="H38" s="426"/>
      <c r="I38" s="426"/>
      <c r="J38" s="170">
        <f t="shared" si="2"/>
        <v>4951.79</v>
      </c>
      <c r="K38" s="442"/>
      <c r="L38" s="443"/>
      <c r="M38" s="764"/>
      <c r="N38" s="106"/>
      <c r="P38" s="365"/>
      <c r="Q38" s="367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8"/>
    </row>
    <row r="39" spans="2:29" ht="22.5" customHeight="1">
      <c r="B39" s="117"/>
      <c r="C39" s="1223" t="s">
        <v>293</v>
      </c>
      <c r="D39" s="1222"/>
      <c r="E39" s="768">
        <v>552</v>
      </c>
      <c r="F39" s="1225">
        <v>16225.18</v>
      </c>
      <c r="G39" s="426"/>
      <c r="H39" s="426"/>
      <c r="I39" s="426"/>
      <c r="J39" s="170">
        <f t="shared" si="2"/>
        <v>16225.18</v>
      </c>
      <c r="K39" s="442"/>
      <c r="L39" s="443"/>
      <c r="M39" s="764"/>
      <c r="N39" s="106"/>
      <c r="P39" s="365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8"/>
    </row>
    <row r="40" spans="2:29" ht="22.5" customHeight="1">
      <c r="B40" s="117"/>
      <c r="C40" s="1223" t="s">
        <v>375</v>
      </c>
      <c r="D40" s="1222"/>
      <c r="E40" s="768">
        <v>552</v>
      </c>
      <c r="F40" s="1225">
        <f>33922.59+780.09+116.77-50.32</f>
        <v>34769.12999999999</v>
      </c>
      <c r="G40" s="426"/>
      <c r="H40" s="426"/>
      <c r="I40" s="426"/>
      <c r="J40" s="170">
        <f t="shared" si="2"/>
        <v>34769.12999999999</v>
      </c>
      <c r="K40" s="442"/>
      <c r="L40" s="443"/>
      <c r="M40" s="764"/>
      <c r="N40" s="106"/>
      <c r="P40" s="365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8"/>
    </row>
    <row r="41" spans="2:29" ht="22.5" customHeight="1">
      <c r="B41" s="117"/>
      <c r="C41" s="1310"/>
      <c r="D41" s="1311"/>
      <c r="E41" s="770"/>
      <c r="F41" s="429"/>
      <c r="G41" s="430"/>
      <c r="H41" s="430"/>
      <c r="I41" s="430"/>
      <c r="J41" s="171">
        <f>SUM(F41:I41)</f>
        <v>0</v>
      </c>
      <c r="K41" s="446"/>
      <c r="L41" s="447"/>
      <c r="M41" s="766"/>
      <c r="N41" s="106"/>
      <c r="P41" s="365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8"/>
    </row>
    <row r="42" spans="2:29" ht="22.5" customHeight="1" thickBot="1">
      <c r="B42" s="117"/>
      <c r="C42" s="157" t="s">
        <v>777</v>
      </c>
      <c r="D42" s="158"/>
      <c r="E42" s="127"/>
      <c r="F42" s="127">
        <f>SUM(F27:F41)</f>
        <v>2905263.84</v>
      </c>
      <c r="G42" s="127">
        <f>SUM(G27:G41)</f>
        <v>360000</v>
      </c>
      <c r="H42" s="127">
        <f>SUM(H27:H41)</f>
        <v>0</v>
      </c>
      <c r="I42" s="127">
        <f>SUM(I27:I41)</f>
        <v>0</v>
      </c>
      <c r="J42" s="127">
        <f>SUM(J27:J41)</f>
        <v>3265263.84</v>
      </c>
      <c r="K42" s="174"/>
      <c r="L42" s="127">
        <f>SUM(L27:L41)</f>
        <v>0</v>
      </c>
      <c r="M42" s="159"/>
      <c r="N42" s="106"/>
      <c r="P42" s="365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8"/>
    </row>
    <row r="43" spans="2:29" ht="22.5" customHeight="1">
      <c r="B43" s="117"/>
      <c r="C43" s="147"/>
      <c r="D43" s="147"/>
      <c r="E43" s="148"/>
      <c r="F43" s="148"/>
      <c r="G43" s="148"/>
      <c r="H43" s="148"/>
      <c r="I43" s="148"/>
      <c r="J43" s="148"/>
      <c r="K43" s="148"/>
      <c r="L43" s="148"/>
      <c r="M43" s="148"/>
      <c r="N43" s="106"/>
      <c r="P43" s="365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8"/>
    </row>
    <row r="44" spans="2:29" ht="22.5" customHeight="1">
      <c r="B44" s="117"/>
      <c r="C44" s="147"/>
      <c r="D44" s="147"/>
      <c r="E44" s="148"/>
      <c r="F44" s="148"/>
      <c r="G44" s="148"/>
      <c r="H44" s="148"/>
      <c r="I44" s="148"/>
      <c r="J44" s="148"/>
      <c r="K44" s="148"/>
      <c r="L44" s="148"/>
      <c r="M44" s="148"/>
      <c r="N44" s="106"/>
      <c r="P44" s="378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380"/>
    </row>
    <row r="45" spans="2:29" ht="22.5" customHeight="1">
      <c r="B45" s="117"/>
      <c r="C45" s="66" t="s">
        <v>805</v>
      </c>
      <c r="D45" s="22"/>
      <c r="E45" s="96"/>
      <c r="F45" s="96"/>
      <c r="G45" s="96"/>
      <c r="H45" s="96"/>
      <c r="I45" s="96"/>
      <c r="J45" s="96"/>
      <c r="K45" s="96"/>
      <c r="L45" s="96"/>
      <c r="M45" s="96"/>
      <c r="N45" s="106"/>
      <c r="P45" s="378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</row>
    <row r="46" spans="2:29" ht="22.5" customHeight="1">
      <c r="B46" s="117"/>
      <c r="C46" s="22"/>
      <c r="D46" s="22"/>
      <c r="E46" s="96"/>
      <c r="F46" s="96"/>
      <c r="G46" s="96"/>
      <c r="H46" s="96"/>
      <c r="I46" s="96"/>
      <c r="J46" s="96"/>
      <c r="K46" s="96"/>
      <c r="L46" s="96"/>
      <c r="M46" s="96"/>
      <c r="N46" s="106"/>
      <c r="P46" s="378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80"/>
    </row>
    <row r="47" spans="2:29" ht="22.5" customHeight="1">
      <c r="B47" s="117"/>
      <c r="C47" s="189"/>
      <c r="D47" s="190"/>
      <c r="E47" s="191" t="s">
        <v>795</v>
      </c>
      <c r="F47" s="191" t="s">
        <v>771</v>
      </c>
      <c r="G47" s="1299" t="s">
        <v>779</v>
      </c>
      <c r="H47" s="1300"/>
      <c r="I47" s="1300"/>
      <c r="J47" s="191" t="s">
        <v>790</v>
      </c>
      <c r="K47" s="191" t="s">
        <v>800</v>
      </c>
      <c r="L47" s="191" t="s">
        <v>801</v>
      </c>
      <c r="M47" s="1297" t="s">
        <v>1152</v>
      </c>
      <c r="N47" s="106"/>
      <c r="P47" s="378"/>
      <c r="Q47" s="379"/>
      <c r="R47" s="379"/>
      <c r="S47" s="379"/>
      <c r="T47" s="379"/>
      <c r="U47" s="379"/>
      <c r="V47" s="379"/>
      <c r="W47" s="379"/>
      <c r="X47" s="379"/>
      <c r="Y47" s="379"/>
      <c r="Z47" s="379"/>
      <c r="AA47" s="379"/>
      <c r="AB47" s="379"/>
      <c r="AC47" s="380"/>
    </row>
    <row r="48" spans="2:29" ht="48.75" customHeight="1">
      <c r="B48" s="117"/>
      <c r="C48" s="192" t="s">
        <v>794</v>
      </c>
      <c r="D48" s="193"/>
      <c r="E48" s="194" t="s">
        <v>796</v>
      </c>
      <c r="F48" s="194">
        <f>ejercicio</f>
        <v>2019</v>
      </c>
      <c r="G48" s="195" t="s">
        <v>797</v>
      </c>
      <c r="H48" s="196" t="s">
        <v>798</v>
      </c>
      <c r="I48" s="197" t="s">
        <v>799</v>
      </c>
      <c r="J48" s="194">
        <f>ejercicio</f>
        <v>2019</v>
      </c>
      <c r="K48" s="194" t="s">
        <v>1151</v>
      </c>
      <c r="L48" s="194">
        <f>ejercicio</f>
        <v>2019</v>
      </c>
      <c r="M48" s="1298"/>
      <c r="N48" s="106"/>
      <c r="P48" s="378"/>
      <c r="Q48" s="379"/>
      <c r="R48" s="379"/>
      <c r="S48" s="379"/>
      <c r="T48" s="379"/>
      <c r="U48" s="379"/>
      <c r="V48" s="379"/>
      <c r="W48" s="379"/>
      <c r="X48" s="379"/>
      <c r="Y48" s="379"/>
      <c r="Z48" s="379"/>
      <c r="AA48" s="379"/>
      <c r="AB48" s="379"/>
      <c r="AC48" s="380"/>
    </row>
    <row r="49" spans="2:29" ht="30" customHeight="1" thickBot="1">
      <c r="B49" s="117"/>
      <c r="C49" s="1305" t="s">
        <v>806</v>
      </c>
      <c r="D49" s="1305"/>
      <c r="E49" s="1305"/>
      <c r="F49" s="1305"/>
      <c r="G49" s="1305"/>
      <c r="H49" s="1305"/>
      <c r="I49" s="1305"/>
      <c r="J49" s="1305"/>
      <c r="K49" s="1305"/>
      <c r="L49" s="1305"/>
      <c r="M49" s="1305"/>
      <c r="N49" s="106"/>
      <c r="P49" s="378"/>
      <c r="Q49" s="379"/>
      <c r="R49" s="379"/>
      <c r="S49" s="379"/>
      <c r="T49" s="379"/>
      <c r="U49" s="379"/>
      <c r="V49" s="379"/>
      <c r="W49" s="379"/>
      <c r="X49" s="379"/>
      <c r="Y49" s="379"/>
      <c r="Z49" s="379"/>
      <c r="AA49" s="379"/>
      <c r="AB49" s="379"/>
      <c r="AC49" s="380"/>
    </row>
    <row r="50" spans="2:29" ht="22.5" customHeight="1">
      <c r="B50" s="117"/>
      <c r="C50" s="1307" t="s">
        <v>295</v>
      </c>
      <c r="D50" s="1312"/>
      <c r="E50" s="767">
        <v>250</v>
      </c>
      <c r="F50" s="432">
        <v>20734.92</v>
      </c>
      <c r="G50" s="433"/>
      <c r="H50" s="433"/>
      <c r="I50" s="433"/>
      <c r="J50" s="178">
        <f aca="true" t="shared" si="3" ref="J50:J56">SUM(F50:I50)</f>
        <v>20734.92</v>
      </c>
      <c r="K50" s="440"/>
      <c r="L50" s="759"/>
      <c r="M50" s="763"/>
      <c r="N50" s="106"/>
      <c r="P50" s="378"/>
      <c r="Q50" s="379"/>
      <c r="R50" s="379"/>
      <c r="S50" s="379"/>
      <c r="T50" s="379"/>
      <c r="U50" s="379"/>
      <c r="V50" s="379"/>
      <c r="W50" s="379"/>
      <c r="X50" s="379"/>
      <c r="Y50" s="379"/>
      <c r="Z50" s="379"/>
      <c r="AA50" s="379"/>
      <c r="AB50" s="379"/>
      <c r="AC50" s="380"/>
    </row>
    <row r="51" spans="2:29" ht="22.5" customHeight="1">
      <c r="B51" s="117"/>
      <c r="C51" s="1302" t="s">
        <v>296</v>
      </c>
      <c r="D51" s="1303"/>
      <c r="E51" s="768">
        <v>250</v>
      </c>
      <c r="F51" s="425">
        <v>15866.4</v>
      </c>
      <c r="G51" s="426"/>
      <c r="H51" s="426"/>
      <c r="I51" s="426"/>
      <c r="J51" s="170">
        <f t="shared" si="3"/>
        <v>15866.4</v>
      </c>
      <c r="K51" s="442"/>
      <c r="L51" s="760"/>
      <c r="M51" s="764"/>
      <c r="N51" s="106"/>
      <c r="P51" s="378"/>
      <c r="Q51" s="379"/>
      <c r="R51" s="379"/>
      <c r="S51" s="379"/>
      <c r="T51" s="379"/>
      <c r="U51" s="379"/>
      <c r="V51" s="379"/>
      <c r="W51" s="379"/>
      <c r="X51" s="379"/>
      <c r="Y51" s="379"/>
      <c r="Z51" s="379"/>
      <c r="AA51" s="379"/>
      <c r="AB51" s="379"/>
      <c r="AC51" s="380"/>
    </row>
    <row r="52" spans="2:29" ht="22.5" customHeight="1">
      <c r="B52" s="117"/>
      <c r="C52" s="1304" t="s">
        <v>297</v>
      </c>
      <c r="D52" s="1303"/>
      <c r="E52" s="768">
        <v>250</v>
      </c>
      <c r="F52" s="425">
        <v>27318.76</v>
      </c>
      <c r="G52" s="426"/>
      <c r="H52" s="426"/>
      <c r="I52" s="426"/>
      <c r="J52" s="170">
        <f t="shared" si="3"/>
        <v>27318.76</v>
      </c>
      <c r="K52" s="442"/>
      <c r="L52" s="760"/>
      <c r="M52" s="764"/>
      <c r="N52" s="106"/>
      <c r="P52" s="378"/>
      <c r="Q52" s="379"/>
      <c r="R52" s="379"/>
      <c r="S52" s="379"/>
      <c r="T52" s="379"/>
      <c r="U52" s="379"/>
      <c r="V52" s="379"/>
      <c r="W52" s="379"/>
      <c r="X52" s="379"/>
      <c r="Y52" s="379"/>
      <c r="Z52" s="379"/>
      <c r="AA52" s="379"/>
      <c r="AB52" s="379"/>
      <c r="AC52" s="380"/>
    </row>
    <row r="53" spans="2:29" ht="22.5" customHeight="1">
      <c r="B53" s="117"/>
      <c r="C53" s="1302"/>
      <c r="D53" s="1303"/>
      <c r="E53" s="768"/>
      <c r="F53" s="425"/>
      <c r="G53" s="426"/>
      <c r="H53" s="426"/>
      <c r="I53" s="426"/>
      <c r="J53" s="170">
        <f t="shared" si="3"/>
        <v>0</v>
      </c>
      <c r="K53" s="442"/>
      <c r="L53" s="760"/>
      <c r="M53" s="764"/>
      <c r="N53" s="106"/>
      <c r="P53" s="378"/>
      <c r="Q53" s="379"/>
      <c r="R53" s="379"/>
      <c r="S53" s="379"/>
      <c r="T53" s="379"/>
      <c r="U53" s="379"/>
      <c r="V53" s="379"/>
      <c r="W53" s="379"/>
      <c r="X53" s="379"/>
      <c r="Y53" s="379"/>
      <c r="Z53" s="379"/>
      <c r="AA53" s="379"/>
      <c r="AB53" s="379"/>
      <c r="AC53" s="380"/>
    </row>
    <row r="54" spans="2:29" ht="22.5" customHeight="1">
      <c r="B54" s="117"/>
      <c r="C54" s="1302"/>
      <c r="D54" s="1303"/>
      <c r="E54" s="769"/>
      <c r="F54" s="434"/>
      <c r="G54" s="435"/>
      <c r="H54" s="435"/>
      <c r="I54" s="435"/>
      <c r="J54" s="170">
        <f t="shared" si="3"/>
        <v>0</v>
      </c>
      <c r="K54" s="444"/>
      <c r="L54" s="761"/>
      <c r="M54" s="765"/>
      <c r="N54" s="106"/>
      <c r="P54" s="378"/>
      <c r="Q54" s="379"/>
      <c r="R54" s="379"/>
      <c r="S54" s="379"/>
      <c r="T54" s="379"/>
      <c r="U54" s="379"/>
      <c r="V54" s="379"/>
      <c r="W54" s="379"/>
      <c r="X54" s="379"/>
      <c r="Y54" s="379"/>
      <c r="Z54" s="379"/>
      <c r="AA54" s="379"/>
      <c r="AB54" s="379"/>
      <c r="AC54" s="380"/>
    </row>
    <row r="55" spans="2:29" ht="22.5" customHeight="1">
      <c r="B55" s="117"/>
      <c r="C55" s="1302"/>
      <c r="D55" s="1303"/>
      <c r="E55" s="769"/>
      <c r="F55" s="434"/>
      <c r="G55" s="435"/>
      <c r="H55" s="435"/>
      <c r="I55" s="435"/>
      <c r="J55" s="170">
        <f t="shared" si="3"/>
        <v>0</v>
      </c>
      <c r="K55" s="444"/>
      <c r="L55" s="761"/>
      <c r="M55" s="765"/>
      <c r="N55" s="106"/>
      <c r="P55" s="378"/>
      <c r="Q55" s="379"/>
      <c r="R55" s="379"/>
      <c r="S55" s="379"/>
      <c r="T55" s="379"/>
      <c r="U55" s="379"/>
      <c r="V55" s="379"/>
      <c r="W55" s="379"/>
      <c r="X55" s="379"/>
      <c r="Y55" s="379"/>
      <c r="Z55" s="379"/>
      <c r="AA55" s="379"/>
      <c r="AB55" s="379"/>
      <c r="AC55" s="380"/>
    </row>
    <row r="56" spans="2:29" ht="22.5" customHeight="1">
      <c r="B56" s="117"/>
      <c r="C56" s="1310"/>
      <c r="D56" s="1311"/>
      <c r="E56" s="770"/>
      <c r="F56" s="429"/>
      <c r="G56" s="430"/>
      <c r="H56" s="430"/>
      <c r="I56" s="430"/>
      <c r="J56" s="171">
        <f t="shared" si="3"/>
        <v>0</v>
      </c>
      <c r="K56" s="446"/>
      <c r="L56" s="762"/>
      <c r="M56" s="766"/>
      <c r="N56" s="106"/>
      <c r="P56" s="378"/>
      <c r="Q56" s="379"/>
      <c r="R56" s="379"/>
      <c r="S56" s="379"/>
      <c r="T56" s="379"/>
      <c r="U56" s="379"/>
      <c r="V56" s="379"/>
      <c r="W56" s="379"/>
      <c r="X56" s="379"/>
      <c r="Y56" s="379"/>
      <c r="Z56" s="379"/>
      <c r="AA56" s="379"/>
      <c r="AB56" s="379"/>
      <c r="AC56" s="380"/>
    </row>
    <row r="57" spans="2:29" ht="22.5" customHeight="1" thickBot="1">
      <c r="B57" s="117"/>
      <c r="C57" s="157" t="s">
        <v>777</v>
      </c>
      <c r="D57" s="158"/>
      <c r="E57" s="127"/>
      <c r="F57" s="127">
        <f>SUM(F50:F56)</f>
        <v>63920.08</v>
      </c>
      <c r="G57" s="127">
        <f>SUM(G50:G56)</f>
        <v>0</v>
      </c>
      <c r="H57" s="127">
        <f>SUM(H50:H56)</f>
        <v>0</v>
      </c>
      <c r="I57" s="127">
        <f>SUM(I50:I56)</f>
        <v>0</v>
      </c>
      <c r="J57" s="127">
        <f>SUM(J50:J56)</f>
        <v>63920.08</v>
      </c>
      <c r="K57" s="448"/>
      <c r="L57" s="127">
        <f>SUM(L50:L56)</f>
        <v>0</v>
      </c>
      <c r="M57" s="159"/>
      <c r="N57" s="106"/>
      <c r="P57" s="378"/>
      <c r="Q57" s="379"/>
      <c r="R57" s="379"/>
      <c r="S57" s="379"/>
      <c r="T57" s="379"/>
      <c r="U57" s="379"/>
      <c r="V57" s="379"/>
      <c r="W57" s="379"/>
      <c r="X57" s="379"/>
      <c r="Y57" s="379"/>
      <c r="Z57" s="379"/>
      <c r="AA57" s="379"/>
      <c r="AB57" s="379"/>
      <c r="AC57" s="380"/>
    </row>
    <row r="58" spans="2:29" ht="28.5" customHeight="1" thickBot="1">
      <c r="B58" s="117"/>
      <c r="C58" s="1306" t="s">
        <v>807</v>
      </c>
      <c r="D58" s="1306"/>
      <c r="E58" s="1306"/>
      <c r="F58" s="1306"/>
      <c r="G58" s="1306"/>
      <c r="H58" s="1306"/>
      <c r="I58" s="1306"/>
      <c r="J58" s="1306"/>
      <c r="K58" s="1306"/>
      <c r="L58" s="1306"/>
      <c r="M58" s="1306"/>
      <c r="N58" s="106"/>
      <c r="P58" s="378"/>
      <c r="Q58" s="379"/>
      <c r="R58" s="379"/>
      <c r="S58" s="379"/>
      <c r="T58" s="379"/>
      <c r="U58" s="379"/>
      <c r="V58" s="379"/>
      <c r="W58" s="379"/>
      <c r="X58" s="379"/>
      <c r="Y58" s="379"/>
      <c r="Z58" s="379"/>
      <c r="AA58" s="379"/>
      <c r="AB58" s="379"/>
      <c r="AC58" s="380"/>
    </row>
    <row r="59" spans="2:29" ht="22.5" customHeight="1">
      <c r="B59" s="117"/>
      <c r="C59" s="1307" t="s">
        <v>298</v>
      </c>
      <c r="D59" s="1312"/>
      <c r="E59" s="767">
        <v>252</v>
      </c>
      <c r="F59" s="432">
        <v>400</v>
      </c>
      <c r="G59" s="433"/>
      <c r="H59" s="433"/>
      <c r="I59" s="433"/>
      <c r="J59" s="178">
        <f aca="true" t="shared" si="4" ref="J59:J65">SUM(F59:I59)</f>
        <v>400</v>
      </c>
      <c r="K59" s="440"/>
      <c r="L59" s="441"/>
      <c r="M59" s="763"/>
      <c r="N59" s="106"/>
      <c r="P59" s="378"/>
      <c r="Q59" s="379"/>
      <c r="R59" s="379"/>
      <c r="S59" s="379"/>
      <c r="T59" s="379"/>
      <c r="U59" s="379"/>
      <c r="V59" s="379"/>
      <c r="W59" s="379"/>
      <c r="X59" s="379"/>
      <c r="Y59" s="379"/>
      <c r="Z59" s="379"/>
      <c r="AA59" s="379"/>
      <c r="AB59" s="379"/>
      <c r="AC59" s="380"/>
    </row>
    <row r="60" spans="2:29" ht="22.5" customHeight="1">
      <c r="B60" s="117"/>
      <c r="C60" s="1304" t="s">
        <v>299</v>
      </c>
      <c r="D60" s="1303"/>
      <c r="E60" s="1187">
        <v>260</v>
      </c>
      <c r="F60" s="425">
        <v>16491.68</v>
      </c>
      <c r="G60" s="426"/>
      <c r="H60" s="426"/>
      <c r="I60" s="426"/>
      <c r="J60" s="170">
        <f t="shared" si="4"/>
        <v>16491.68</v>
      </c>
      <c r="K60" s="442"/>
      <c r="L60" s="443"/>
      <c r="M60" s="764"/>
      <c r="N60" s="106"/>
      <c r="P60" s="378"/>
      <c r="Q60" s="379"/>
      <c r="R60" s="379"/>
      <c r="S60" s="379"/>
      <c r="T60" s="379"/>
      <c r="U60" s="379"/>
      <c r="V60" s="379"/>
      <c r="W60" s="379"/>
      <c r="X60" s="379"/>
      <c r="Y60" s="379"/>
      <c r="Z60" s="379"/>
      <c r="AA60" s="379"/>
      <c r="AB60" s="379"/>
      <c r="AC60" s="380"/>
    </row>
    <row r="61" spans="2:29" ht="22.5" customHeight="1">
      <c r="B61" s="117"/>
      <c r="C61" s="1304" t="s">
        <v>376</v>
      </c>
      <c r="D61" s="1303"/>
      <c r="E61" s="1187">
        <v>542.547</v>
      </c>
      <c r="F61" s="425">
        <v>21800000</v>
      </c>
      <c r="G61" s="426"/>
      <c r="H61" s="426">
        <v>-2000000</v>
      </c>
      <c r="I61" s="426"/>
      <c r="J61" s="170">
        <f t="shared" si="4"/>
        <v>19800000</v>
      </c>
      <c r="K61" s="442"/>
      <c r="L61" s="443"/>
      <c r="M61" s="764"/>
      <c r="N61" s="106"/>
      <c r="P61" s="378"/>
      <c r="Q61" s="379"/>
      <c r="R61" s="379"/>
      <c r="S61" s="379"/>
      <c r="T61" s="379"/>
      <c r="U61" s="379"/>
      <c r="V61" s="379"/>
      <c r="W61" s="379"/>
      <c r="X61" s="379"/>
      <c r="Y61" s="379"/>
      <c r="Z61" s="379"/>
      <c r="AA61" s="379"/>
      <c r="AB61" s="379"/>
      <c r="AC61" s="380"/>
    </row>
    <row r="62" spans="2:29" ht="22.5" customHeight="1">
      <c r="B62" s="117"/>
      <c r="C62" s="1304" t="s">
        <v>300</v>
      </c>
      <c r="D62" s="1303"/>
      <c r="E62" s="1187">
        <v>541</v>
      </c>
      <c r="F62" s="425">
        <v>4400</v>
      </c>
      <c r="G62" s="426"/>
      <c r="H62" s="426"/>
      <c r="I62" s="426"/>
      <c r="J62" s="170">
        <f t="shared" si="4"/>
        <v>4400</v>
      </c>
      <c r="K62" s="442"/>
      <c r="L62" s="443"/>
      <c r="M62" s="764"/>
      <c r="N62" s="106"/>
      <c r="P62" s="378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80"/>
    </row>
    <row r="63" spans="2:29" ht="22.5" customHeight="1">
      <c r="B63" s="117"/>
      <c r="C63" s="1304" t="s">
        <v>301</v>
      </c>
      <c r="D63" s="1303"/>
      <c r="E63" s="1187">
        <v>552.565</v>
      </c>
      <c r="F63" s="425">
        <v>10723.38</v>
      </c>
      <c r="G63" s="435"/>
      <c r="H63" s="435">
        <v>-10723.38</v>
      </c>
      <c r="I63" s="435"/>
      <c r="J63" s="170">
        <f t="shared" si="4"/>
        <v>0</v>
      </c>
      <c r="K63" s="444"/>
      <c r="L63" s="445"/>
      <c r="M63" s="765"/>
      <c r="N63" s="106"/>
      <c r="P63" s="378"/>
      <c r="Q63" s="379"/>
      <c r="R63" s="379"/>
      <c r="S63" s="379"/>
      <c r="T63" s="379"/>
      <c r="U63" s="379"/>
      <c r="V63" s="379"/>
      <c r="W63" s="379"/>
      <c r="X63" s="379"/>
      <c r="Y63" s="379"/>
      <c r="Z63" s="379"/>
      <c r="AA63" s="379"/>
      <c r="AB63" s="379"/>
      <c r="AC63" s="380"/>
    </row>
    <row r="64" spans="2:29" ht="22.5" customHeight="1">
      <c r="B64" s="117"/>
      <c r="C64" s="1302" t="s">
        <v>377</v>
      </c>
      <c r="D64" s="1303"/>
      <c r="E64" s="769">
        <v>547</v>
      </c>
      <c r="F64" s="434">
        <v>1612382.41</v>
      </c>
      <c r="G64" s="435">
        <f>60088.2-2221.04</f>
        <v>57867.159999999996</v>
      </c>
      <c r="H64" s="435"/>
      <c r="I64" s="435"/>
      <c r="J64" s="170">
        <f t="shared" si="4"/>
        <v>1670249.5699999998</v>
      </c>
      <c r="K64" s="444"/>
      <c r="L64" s="445"/>
      <c r="M64" s="765"/>
      <c r="N64" s="106"/>
      <c r="P64" s="378"/>
      <c r="Q64" s="379"/>
      <c r="R64" s="379"/>
      <c r="S64" s="379"/>
      <c r="T64" s="379"/>
      <c r="U64" s="379"/>
      <c r="V64" s="379"/>
      <c r="W64" s="379"/>
      <c r="X64" s="379"/>
      <c r="Y64" s="379"/>
      <c r="Z64" s="379"/>
      <c r="AA64" s="379"/>
      <c r="AB64" s="379"/>
      <c r="AC64" s="380"/>
    </row>
    <row r="65" spans="2:29" ht="22.5" customHeight="1">
      <c r="B65" s="117"/>
      <c r="C65" s="1310" t="s">
        <v>378</v>
      </c>
      <c r="D65" s="1311"/>
      <c r="E65" s="770">
        <v>547</v>
      </c>
      <c r="F65" s="429">
        <v>337800.39</v>
      </c>
      <c r="G65" s="430">
        <v>2221.04</v>
      </c>
      <c r="H65" s="430"/>
      <c r="I65" s="430"/>
      <c r="J65" s="171">
        <f t="shared" si="4"/>
        <v>340021.43</v>
      </c>
      <c r="K65" s="446"/>
      <c r="L65" s="447"/>
      <c r="M65" s="766"/>
      <c r="N65" s="106"/>
      <c r="P65" s="378"/>
      <c r="Q65" s="379"/>
      <c r="R65" s="379"/>
      <c r="S65" s="379"/>
      <c r="T65" s="379"/>
      <c r="U65" s="379"/>
      <c r="V65" s="379"/>
      <c r="W65" s="379"/>
      <c r="X65" s="379"/>
      <c r="Y65" s="379"/>
      <c r="Z65" s="379"/>
      <c r="AA65" s="379"/>
      <c r="AB65" s="379"/>
      <c r="AC65" s="380"/>
    </row>
    <row r="66" spans="2:29" ht="22.5" customHeight="1" thickBot="1">
      <c r="B66" s="117"/>
      <c r="C66" s="157" t="s">
        <v>777</v>
      </c>
      <c r="D66" s="158"/>
      <c r="E66" s="127"/>
      <c r="F66" s="127">
        <f>SUM(F59:F65)</f>
        <v>23782197.86</v>
      </c>
      <c r="G66" s="127">
        <f>SUM(G59:G65)</f>
        <v>60088.2</v>
      </c>
      <c r="H66" s="127">
        <f>SUM(H59:H65)</f>
        <v>-2010723.38</v>
      </c>
      <c r="I66" s="127">
        <f>SUM(I59:I65)</f>
        <v>0</v>
      </c>
      <c r="J66" s="127">
        <f>SUM(J59:J65)</f>
        <v>21831562.68</v>
      </c>
      <c r="K66" s="174"/>
      <c r="L66" s="127">
        <f>SUM(L59:L65)</f>
        <v>0</v>
      </c>
      <c r="M66" s="159"/>
      <c r="N66" s="106"/>
      <c r="P66" s="378"/>
      <c r="Q66" s="379"/>
      <c r="R66" s="379"/>
      <c r="S66" s="379"/>
      <c r="T66" s="379"/>
      <c r="U66" s="379"/>
      <c r="V66" s="379"/>
      <c r="W66" s="379"/>
      <c r="X66" s="379"/>
      <c r="Y66" s="379"/>
      <c r="Z66" s="379"/>
      <c r="AA66" s="379"/>
      <c r="AB66" s="379"/>
      <c r="AC66" s="380"/>
    </row>
    <row r="67" spans="2:29" ht="22.5" customHeight="1">
      <c r="B67" s="117"/>
      <c r="C67" s="147"/>
      <c r="D67" s="147"/>
      <c r="E67" s="148"/>
      <c r="F67" s="148"/>
      <c r="G67" s="148"/>
      <c r="H67" s="148"/>
      <c r="I67" s="148"/>
      <c r="J67" s="148"/>
      <c r="K67" s="148"/>
      <c r="L67" s="148"/>
      <c r="M67" s="148"/>
      <c r="N67" s="106"/>
      <c r="P67" s="378"/>
      <c r="Q67" s="379"/>
      <c r="R67" s="379"/>
      <c r="S67" s="379"/>
      <c r="T67" s="379"/>
      <c r="U67" s="379"/>
      <c r="V67" s="379"/>
      <c r="W67" s="379"/>
      <c r="X67" s="379"/>
      <c r="Y67" s="379"/>
      <c r="Z67" s="379"/>
      <c r="AA67" s="379"/>
      <c r="AB67" s="379"/>
      <c r="AC67" s="380"/>
    </row>
    <row r="68" spans="2:29" ht="22.5" customHeight="1">
      <c r="B68" s="117"/>
      <c r="C68" s="166" t="s">
        <v>788</v>
      </c>
      <c r="D68" s="164"/>
      <c r="E68" s="165"/>
      <c r="F68" s="165"/>
      <c r="G68" s="165"/>
      <c r="H68" s="165"/>
      <c r="I68" s="165"/>
      <c r="J68" s="165"/>
      <c r="K68" s="165"/>
      <c r="L68" s="165"/>
      <c r="M68" s="96"/>
      <c r="N68" s="106"/>
      <c r="P68" s="378"/>
      <c r="Q68" s="379"/>
      <c r="R68" s="379"/>
      <c r="S68" s="379"/>
      <c r="T68" s="379"/>
      <c r="U68" s="379"/>
      <c r="V68" s="379"/>
      <c r="W68" s="379"/>
      <c r="X68" s="379"/>
      <c r="Y68" s="379"/>
      <c r="Z68" s="379"/>
      <c r="AA68" s="379"/>
      <c r="AB68" s="379"/>
      <c r="AC68" s="380"/>
    </row>
    <row r="69" spans="2:29" ht="17.25">
      <c r="B69" s="117"/>
      <c r="C69" s="164" t="s">
        <v>808</v>
      </c>
      <c r="D69" s="164"/>
      <c r="E69" s="165"/>
      <c r="F69" s="165"/>
      <c r="G69" s="165"/>
      <c r="H69" s="165"/>
      <c r="I69" s="165"/>
      <c r="J69" s="165"/>
      <c r="K69" s="165"/>
      <c r="L69" s="165"/>
      <c r="M69" s="96"/>
      <c r="N69" s="106"/>
      <c r="P69" s="378"/>
      <c r="Q69" s="379"/>
      <c r="R69" s="379"/>
      <c r="S69" s="379"/>
      <c r="T69" s="379"/>
      <c r="U69" s="379"/>
      <c r="V69" s="379"/>
      <c r="W69" s="379"/>
      <c r="X69" s="379"/>
      <c r="Y69" s="379"/>
      <c r="Z69" s="379"/>
      <c r="AA69" s="379"/>
      <c r="AB69" s="379"/>
      <c r="AC69" s="380"/>
    </row>
    <row r="70" spans="2:29" ht="17.25">
      <c r="B70" s="117"/>
      <c r="C70" s="164" t="s">
        <v>809</v>
      </c>
      <c r="D70" s="164"/>
      <c r="E70" s="165"/>
      <c r="F70" s="165"/>
      <c r="G70" s="165"/>
      <c r="H70" s="165"/>
      <c r="I70" s="165"/>
      <c r="J70" s="165"/>
      <c r="K70" s="165"/>
      <c r="L70" s="165"/>
      <c r="M70" s="96"/>
      <c r="N70" s="106"/>
      <c r="P70" s="378"/>
      <c r="Q70" s="379"/>
      <c r="R70" s="379"/>
      <c r="S70" s="379"/>
      <c r="T70" s="379"/>
      <c r="U70" s="379"/>
      <c r="V70" s="379"/>
      <c r="W70" s="379"/>
      <c r="X70" s="379"/>
      <c r="Y70" s="379"/>
      <c r="Z70" s="379"/>
      <c r="AA70" s="379"/>
      <c r="AB70" s="379"/>
      <c r="AC70" s="380"/>
    </row>
    <row r="71" spans="2:29" ht="17.25">
      <c r="B71" s="117"/>
      <c r="C71" s="164" t="s">
        <v>810</v>
      </c>
      <c r="D71" s="164"/>
      <c r="E71" s="165"/>
      <c r="F71" s="165"/>
      <c r="G71" s="165"/>
      <c r="H71" s="165"/>
      <c r="I71" s="165"/>
      <c r="J71" s="165"/>
      <c r="K71" s="165"/>
      <c r="L71" s="165"/>
      <c r="M71" s="96"/>
      <c r="N71" s="106"/>
      <c r="P71" s="378"/>
      <c r="Q71" s="379"/>
      <c r="R71" s="379"/>
      <c r="S71" s="379"/>
      <c r="T71" s="379"/>
      <c r="U71" s="379"/>
      <c r="V71" s="379"/>
      <c r="W71" s="379"/>
      <c r="X71" s="379"/>
      <c r="Y71" s="379"/>
      <c r="Z71" s="379"/>
      <c r="AA71" s="379"/>
      <c r="AB71" s="379"/>
      <c r="AC71" s="380"/>
    </row>
    <row r="72" spans="2:29" ht="17.25">
      <c r="B72" s="117"/>
      <c r="C72" s="164" t="s">
        <v>811</v>
      </c>
      <c r="D72" s="164"/>
      <c r="E72" s="165"/>
      <c r="F72" s="165"/>
      <c r="G72" s="165"/>
      <c r="H72" s="165"/>
      <c r="I72" s="165"/>
      <c r="J72" s="165"/>
      <c r="K72" s="165"/>
      <c r="L72" s="165"/>
      <c r="M72" s="96"/>
      <c r="N72" s="106"/>
      <c r="P72" s="378"/>
      <c r="Q72" s="379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C72" s="380"/>
    </row>
    <row r="73" spans="2:29" ht="17.25">
      <c r="B73" s="117"/>
      <c r="C73" s="164" t="s">
        <v>812</v>
      </c>
      <c r="D73" s="164"/>
      <c r="E73" s="165"/>
      <c r="F73" s="165"/>
      <c r="G73" s="165"/>
      <c r="H73" s="165"/>
      <c r="I73" s="165"/>
      <c r="J73" s="165"/>
      <c r="K73" s="165"/>
      <c r="L73" s="165"/>
      <c r="M73" s="96"/>
      <c r="N73" s="106"/>
      <c r="P73" s="378"/>
      <c r="Q73" s="379"/>
      <c r="R73" s="379"/>
      <c r="S73" s="379"/>
      <c r="T73" s="379"/>
      <c r="U73" s="379"/>
      <c r="V73" s="379"/>
      <c r="W73" s="379"/>
      <c r="X73" s="379"/>
      <c r="Y73" s="379"/>
      <c r="Z73" s="379"/>
      <c r="AA73" s="379"/>
      <c r="AB73" s="379"/>
      <c r="AC73" s="380"/>
    </row>
    <row r="74" spans="2:29" ht="17.25">
      <c r="B74" s="117"/>
      <c r="C74" s="164" t="s">
        <v>1150</v>
      </c>
      <c r="D74" s="164"/>
      <c r="E74" s="165"/>
      <c r="F74" s="165"/>
      <c r="G74" s="165"/>
      <c r="H74" s="165"/>
      <c r="I74" s="165"/>
      <c r="J74" s="165"/>
      <c r="K74" s="165"/>
      <c r="L74" s="165"/>
      <c r="M74" s="96"/>
      <c r="N74" s="106"/>
      <c r="P74" s="378"/>
      <c r="Q74" s="379"/>
      <c r="R74" s="379"/>
      <c r="S74" s="379"/>
      <c r="T74" s="379"/>
      <c r="U74" s="379"/>
      <c r="V74" s="379"/>
      <c r="W74" s="379"/>
      <c r="X74" s="379"/>
      <c r="Y74" s="379"/>
      <c r="Z74" s="379"/>
      <c r="AA74" s="379"/>
      <c r="AB74" s="379"/>
      <c r="AC74" s="380"/>
    </row>
    <row r="75" spans="2:29" ht="17.25">
      <c r="B75" s="117"/>
      <c r="C75" s="164" t="s">
        <v>1088</v>
      </c>
      <c r="D75" s="164"/>
      <c r="E75" s="165"/>
      <c r="F75" s="165"/>
      <c r="G75" s="165"/>
      <c r="H75" s="165"/>
      <c r="I75" s="165"/>
      <c r="J75" s="165"/>
      <c r="K75" s="165"/>
      <c r="L75" s="165"/>
      <c r="M75" s="96"/>
      <c r="N75" s="106"/>
      <c r="P75" s="378"/>
      <c r="Q75" s="379"/>
      <c r="R75" s="379"/>
      <c r="S75" s="379"/>
      <c r="T75" s="379"/>
      <c r="U75" s="379"/>
      <c r="V75" s="379"/>
      <c r="W75" s="379"/>
      <c r="X75" s="379"/>
      <c r="Y75" s="379"/>
      <c r="Z75" s="379"/>
      <c r="AA75" s="379"/>
      <c r="AB75" s="379"/>
      <c r="AC75" s="380"/>
    </row>
    <row r="76" spans="2:29" ht="17.25">
      <c r="B76" s="117"/>
      <c r="C76" s="164" t="s">
        <v>813</v>
      </c>
      <c r="D76" s="164"/>
      <c r="E76" s="165"/>
      <c r="F76" s="165"/>
      <c r="G76" s="165"/>
      <c r="H76" s="165"/>
      <c r="I76" s="165"/>
      <c r="J76" s="165"/>
      <c r="K76" s="165"/>
      <c r="L76" s="165"/>
      <c r="M76" s="96"/>
      <c r="N76" s="106"/>
      <c r="P76" s="378"/>
      <c r="Q76" s="379"/>
      <c r="R76" s="379"/>
      <c r="S76" s="379"/>
      <c r="T76" s="379"/>
      <c r="U76" s="379"/>
      <c r="V76" s="379"/>
      <c r="W76" s="379"/>
      <c r="X76" s="379"/>
      <c r="Y76" s="379"/>
      <c r="Z76" s="379"/>
      <c r="AA76" s="379"/>
      <c r="AB76" s="379"/>
      <c r="AC76" s="380"/>
    </row>
    <row r="77" spans="2:29" ht="17.25">
      <c r="B77" s="117"/>
      <c r="C77" s="164" t="s">
        <v>814</v>
      </c>
      <c r="D77" s="164"/>
      <c r="E77" s="165"/>
      <c r="F77" s="165"/>
      <c r="G77" s="165"/>
      <c r="H77" s="165"/>
      <c r="I77" s="165"/>
      <c r="J77" s="165"/>
      <c r="K77" s="165"/>
      <c r="L77" s="165"/>
      <c r="M77" s="96"/>
      <c r="N77" s="106"/>
      <c r="P77" s="378"/>
      <c r="Q77" s="379"/>
      <c r="R77" s="379"/>
      <c r="S77" s="379"/>
      <c r="T77" s="379"/>
      <c r="U77" s="379"/>
      <c r="V77" s="379"/>
      <c r="W77" s="379"/>
      <c r="X77" s="379"/>
      <c r="Y77" s="379"/>
      <c r="Z77" s="379"/>
      <c r="AA77" s="379"/>
      <c r="AB77" s="379"/>
      <c r="AC77" s="380"/>
    </row>
    <row r="78" spans="2:29" ht="17.25">
      <c r="B78" s="117"/>
      <c r="C78" s="164" t="s">
        <v>815</v>
      </c>
      <c r="D78" s="164"/>
      <c r="E78" s="165"/>
      <c r="F78" s="165"/>
      <c r="G78" s="165"/>
      <c r="H78" s="165"/>
      <c r="I78" s="165"/>
      <c r="J78" s="165"/>
      <c r="K78" s="165"/>
      <c r="L78" s="165"/>
      <c r="M78" s="96"/>
      <c r="N78" s="106"/>
      <c r="P78" s="378"/>
      <c r="Q78" s="379"/>
      <c r="R78" s="379"/>
      <c r="S78" s="379"/>
      <c r="T78" s="379"/>
      <c r="U78" s="379"/>
      <c r="V78" s="379"/>
      <c r="W78" s="379"/>
      <c r="X78" s="379"/>
      <c r="Y78" s="379"/>
      <c r="Z78" s="379"/>
      <c r="AA78" s="379"/>
      <c r="AB78" s="379"/>
      <c r="AC78" s="380"/>
    </row>
    <row r="79" spans="2:29" ht="22.5" customHeight="1" thickBot="1">
      <c r="B79" s="121"/>
      <c r="C79" s="1239"/>
      <c r="D79" s="1239"/>
      <c r="E79" s="1239"/>
      <c r="F79" s="1239"/>
      <c r="G79" s="53"/>
      <c r="H79" s="53"/>
      <c r="I79" s="53"/>
      <c r="J79" s="53"/>
      <c r="K79" s="53"/>
      <c r="L79" s="53"/>
      <c r="M79" s="122"/>
      <c r="N79" s="123"/>
      <c r="P79" s="381"/>
      <c r="Q79" s="382"/>
      <c r="R79" s="382"/>
      <c r="S79" s="382"/>
      <c r="T79" s="382"/>
      <c r="U79" s="382"/>
      <c r="V79" s="382"/>
      <c r="W79" s="382"/>
      <c r="X79" s="382"/>
      <c r="Y79" s="382"/>
      <c r="Z79" s="382"/>
      <c r="AA79" s="382"/>
      <c r="AB79" s="382"/>
      <c r="AC79" s="383"/>
    </row>
    <row r="80" spans="3:15" ht="22.5" customHeight="1">
      <c r="C80" s="104"/>
      <c r="D80" s="104"/>
      <c r="E80" s="105"/>
      <c r="F80" s="105"/>
      <c r="G80" s="105"/>
      <c r="H80" s="105"/>
      <c r="I80" s="105"/>
      <c r="J80" s="105"/>
      <c r="K80" s="105"/>
      <c r="L80" s="105"/>
      <c r="M80" s="105"/>
      <c r="O80" s="97" t="s">
        <v>154</v>
      </c>
    </row>
    <row r="81" spans="3:13" ht="12.75">
      <c r="C81" s="124" t="s">
        <v>451</v>
      </c>
      <c r="D81" s="104"/>
      <c r="E81" s="105"/>
      <c r="F81" s="105"/>
      <c r="G81" s="105"/>
      <c r="H81" s="105"/>
      <c r="I81" s="105"/>
      <c r="J81" s="105"/>
      <c r="K81" s="105"/>
      <c r="L81" s="105"/>
      <c r="M81" s="95" t="s">
        <v>431</v>
      </c>
    </row>
    <row r="82" spans="3:13" ht="12.75">
      <c r="C82" s="125" t="s">
        <v>452</v>
      </c>
      <c r="D82" s="104"/>
      <c r="E82" s="105"/>
      <c r="F82" s="105"/>
      <c r="G82" s="105"/>
      <c r="H82" s="105"/>
      <c r="I82" s="105"/>
      <c r="J82" s="105"/>
      <c r="K82" s="105"/>
      <c r="L82" s="105"/>
      <c r="M82" s="105"/>
    </row>
    <row r="83" spans="3:13" ht="12.75">
      <c r="C83" s="125" t="s">
        <v>453</v>
      </c>
      <c r="D83" s="104"/>
      <c r="E83" s="105"/>
      <c r="F83" s="105"/>
      <c r="G83" s="105"/>
      <c r="H83" s="105"/>
      <c r="I83" s="105"/>
      <c r="J83" s="105"/>
      <c r="K83" s="105"/>
      <c r="L83" s="105"/>
      <c r="M83" s="105"/>
    </row>
    <row r="84" spans="3:13" ht="12.75">
      <c r="C84" s="125" t="s">
        <v>454</v>
      </c>
      <c r="D84" s="104"/>
      <c r="E84" s="105"/>
      <c r="F84" s="105"/>
      <c r="G84" s="105"/>
      <c r="H84" s="105"/>
      <c r="I84" s="105"/>
      <c r="J84" s="105"/>
      <c r="K84" s="105"/>
      <c r="L84" s="105"/>
      <c r="M84" s="105"/>
    </row>
    <row r="85" spans="3:13" ht="12.75">
      <c r="C85" s="125" t="s">
        <v>455</v>
      </c>
      <c r="D85" s="104"/>
      <c r="E85" s="105"/>
      <c r="F85" s="105"/>
      <c r="G85" s="105"/>
      <c r="H85" s="105"/>
      <c r="I85" s="105"/>
      <c r="J85" s="105"/>
      <c r="K85" s="105"/>
      <c r="L85" s="105"/>
      <c r="M85" s="105"/>
    </row>
    <row r="86" spans="3:13" ht="22.5" customHeight="1">
      <c r="C86" s="104"/>
      <c r="D86" s="104"/>
      <c r="E86" s="105"/>
      <c r="F86" s="105"/>
      <c r="G86" s="105"/>
      <c r="H86" s="105"/>
      <c r="I86" s="105"/>
      <c r="J86" s="105"/>
      <c r="K86" s="105"/>
      <c r="L86" s="105"/>
      <c r="M86" s="105"/>
    </row>
    <row r="87" spans="3:13" ht="22.5" customHeight="1">
      <c r="C87" s="104"/>
      <c r="D87" s="104"/>
      <c r="E87" s="105"/>
      <c r="F87" s="105"/>
      <c r="G87" s="105"/>
      <c r="H87" s="105"/>
      <c r="I87" s="105"/>
      <c r="J87" s="105"/>
      <c r="K87" s="105"/>
      <c r="L87" s="105"/>
      <c r="M87" s="105"/>
    </row>
    <row r="88" spans="3:13" ht="22.5" customHeight="1">
      <c r="C88" s="104"/>
      <c r="D88" s="104"/>
      <c r="E88" s="105"/>
      <c r="F88" s="105"/>
      <c r="G88" s="105"/>
      <c r="H88" s="105"/>
      <c r="I88" s="105"/>
      <c r="J88" s="105"/>
      <c r="K88" s="105"/>
      <c r="L88" s="105"/>
      <c r="M88" s="105"/>
    </row>
    <row r="89" spans="3:13" ht="22.5" customHeight="1">
      <c r="C89" s="104"/>
      <c r="D89" s="104"/>
      <c r="E89" s="105"/>
      <c r="F89" s="105"/>
      <c r="G89" s="105"/>
      <c r="H89" s="105"/>
      <c r="I89" s="105"/>
      <c r="J89" s="105"/>
      <c r="K89" s="105"/>
      <c r="L89" s="105"/>
      <c r="M89" s="105"/>
    </row>
    <row r="90" spans="6:13" ht="22.5" customHeight="1">
      <c r="F90" s="105"/>
      <c r="G90" s="105"/>
      <c r="H90" s="105"/>
      <c r="I90" s="105"/>
      <c r="J90" s="105"/>
      <c r="K90" s="105"/>
      <c r="L90" s="105"/>
      <c r="M90" s="105"/>
    </row>
  </sheetData>
  <sheetProtection password="C494" sheet="1" objects="1" scenarios="1" insertRows="0"/>
  <mergeCells count="33">
    <mergeCell ref="C64:D64"/>
    <mergeCell ref="C65:D65"/>
    <mergeCell ref="C55:D55"/>
    <mergeCell ref="C56:D56"/>
    <mergeCell ref="C59:D59"/>
    <mergeCell ref="C60:D60"/>
    <mergeCell ref="C61:D61"/>
    <mergeCell ref="C53:D53"/>
    <mergeCell ref="C41:D41"/>
    <mergeCell ref="C50:D50"/>
    <mergeCell ref="C51:D51"/>
    <mergeCell ref="C52:D52"/>
    <mergeCell ref="C58:M58"/>
    <mergeCell ref="C49:M49"/>
    <mergeCell ref="C18:D18"/>
    <mergeCell ref="C19:D19"/>
    <mergeCell ref="C21:D21"/>
    <mergeCell ref="C22:D22"/>
    <mergeCell ref="M6:M7"/>
    <mergeCell ref="D9:M9"/>
    <mergeCell ref="C12:D12"/>
    <mergeCell ref="M15:M16"/>
    <mergeCell ref="C20:D20"/>
    <mergeCell ref="C23:D23"/>
    <mergeCell ref="C79:F79"/>
    <mergeCell ref="C54:D54"/>
    <mergeCell ref="C62:D62"/>
    <mergeCell ref="C63:D63"/>
    <mergeCell ref="G15:I15"/>
    <mergeCell ref="C17:M17"/>
    <mergeCell ref="C26:M26"/>
    <mergeCell ref="G47:I47"/>
    <mergeCell ref="M47:M4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144"/>
  <sheetViews>
    <sheetView zoomScale="80" zoomScaleNormal="80" zoomScalePageLayoutView="0" workbookViewId="0" topLeftCell="A13">
      <selection activeCell="M27" sqref="M27"/>
    </sheetView>
  </sheetViews>
  <sheetFormatPr defaultColWidth="10.6640625" defaultRowHeight="22.5" customHeight="1"/>
  <cols>
    <col min="1" max="1" width="4.3359375" style="97" bestFit="1" customWidth="1"/>
    <col min="2" max="2" width="3.3359375" style="97" customWidth="1"/>
    <col min="3" max="3" width="13.5546875" style="97" customWidth="1"/>
    <col min="4" max="4" width="15.6640625" style="97" customWidth="1"/>
    <col min="5" max="5" width="27.6640625" style="98" customWidth="1"/>
    <col min="6" max="6" width="15.4453125" style="98" customWidth="1"/>
    <col min="7" max="13" width="15.3359375" style="98" customWidth="1"/>
    <col min="14" max="16" width="9.6640625" style="98" customWidth="1"/>
    <col min="17" max="17" width="3.3359375" style="97" customWidth="1"/>
    <col min="18" max="18" width="3.4453125" style="97" customWidth="1"/>
    <col min="19" max="16384" width="10.6640625" style="97" customWidth="1"/>
  </cols>
  <sheetData>
    <row r="2" ht="22.5" customHeight="1">
      <c r="D2" s="208" t="s">
        <v>753</v>
      </c>
    </row>
    <row r="3" ht="22.5" customHeight="1">
      <c r="D3" s="208" t="s">
        <v>754</v>
      </c>
    </row>
    <row r="4" ht="22.5" customHeight="1" thickBot="1">
      <c r="A4" s="97" t="s">
        <v>153</v>
      </c>
    </row>
    <row r="5" spans="2:32" ht="9" customHeight="1">
      <c r="B5" s="99"/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  <c r="S5" s="362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4"/>
    </row>
    <row r="6" spans="2:32" ht="30" customHeight="1">
      <c r="B6" s="103"/>
      <c r="C6" s="67" t="s">
        <v>379</v>
      </c>
      <c r="D6" s="104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226">
        <f>ejercicio</f>
        <v>2019</v>
      </c>
      <c r="Q6" s="106"/>
      <c r="S6" s="365"/>
      <c r="T6" s="366" t="s">
        <v>1067</v>
      </c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8"/>
    </row>
    <row r="7" spans="2:32" ht="30" customHeight="1">
      <c r="B7" s="103"/>
      <c r="C7" s="67" t="s">
        <v>380</v>
      </c>
      <c r="D7" s="104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226"/>
      <c r="Q7" s="106"/>
      <c r="S7" s="365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8"/>
    </row>
    <row r="8" spans="2:32" ht="30" customHeight="1">
      <c r="B8" s="103"/>
      <c r="C8" s="107"/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8"/>
      <c r="Q8" s="106"/>
      <c r="S8" s="365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8"/>
    </row>
    <row r="9" spans="2:32" s="183" customFormat="1" ht="30" customHeight="1">
      <c r="B9" s="181"/>
      <c r="C9" s="40" t="s">
        <v>381</v>
      </c>
      <c r="D9" s="1240" t="str">
        <f>Entidad</f>
        <v>INSTITUTO TECNOLOGICO Y DE ENERGIAS RENOVABLES S.A.</v>
      </c>
      <c r="E9" s="1240"/>
      <c r="F9" s="1240"/>
      <c r="G9" s="1240"/>
      <c r="H9" s="1240"/>
      <c r="I9" s="1240"/>
      <c r="J9" s="1240"/>
      <c r="K9" s="1240"/>
      <c r="L9" s="1240"/>
      <c r="M9" s="1240"/>
      <c r="N9" s="1240"/>
      <c r="O9" s="1240"/>
      <c r="P9" s="1240"/>
      <c r="Q9" s="182"/>
      <c r="S9" s="365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8"/>
    </row>
    <row r="10" spans="2:32" ht="6.75" customHeight="1">
      <c r="B10" s="103"/>
      <c r="C10" s="104"/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6"/>
      <c r="S10" s="365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8"/>
    </row>
    <row r="11" spans="2:32" s="115" customFormat="1" ht="30" customHeight="1">
      <c r="B11" s="111"/>
      <c r="C11" s="112" t="s">
        <v>1172</v>
      </c>
      <c r="D11" s="112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4"/>
      <c r="S11" s="365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8"/>
    </row>
    <row r="12" spans="2:32" s="115" customFormat="1" ht="30" customHeight="1">
      <c r="B12" s="111"/>
      <c r="C12" s="1309"/>
      <c r="D12" s="1309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114"/>
      <c r="S12" s="365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8"/>
    </row>
    <row r="13" spans="2:32" s="115" customFormat="1" ht="30" customHeight="1">
      <c r="B13" s="111"/>
      <c r="C13" s="66" t="s">
        <v>816</v>
      </c>
      <c r="D13" s="22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114"/>
      <c r="S13" s="365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8"/>
    </row>
    <row r="14" spans="2:32" s="115" customFormat="1" ht="30" customHeight="1">
      <c r="B14" s="111"/>
      <c r="C14" s="22" t="s">
        <v>817</v>
      </c>
      <c r="D14" s="22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114"/>
      <c r="S14" s="365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8"/>
    </row>
    <row r="15" spans="2:32" s="115" customFormat="1" ht="30" customHeight="1">
      <c r="B15" s="111"/>
      <c r="C15" s="1334"/>
      <c r="D15" s="1335"/>
      <c r="E15" s="888"/>
      <c r="F15" s="1337" t="s">
        <v>32</v>
      </c>
      <c r="G15" s="1338"/>
      <c r="H15" s="1338"/>
      <c r="I15" s="1338"/>
      <c r="J15" s="1338"/>
      <c r="K15" s="1339"/>
      <c r="L15" s="1347" t="s">
        <v>30</v>
      </c>
      <c r="M15" s="1333"/>
      <c r="N15" s="828"/>
      <c r="O15" s="828"/>
      <c r="P15" s="828"/>
      <c r="Q15" s="114"/>
      <c r="S15" s="365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8"/>
    </row>
    <row r="16" spans="2:32" s="826" customFormat="1" ht="36" customHeight="1">
      <c r="B16" s="827"/>
      <c r="C16" s="1345" t="s">
        <v>1170</v>
      </c>
      <c r="D16" s="1346"/>
      <c r="E16" s="889"/>
      <c r="F16" s="890" t="s">
        <v>29</v>
      </c>
      <c r="G16" s="1330">
        <f>ejercicio-1</f>
        <v>2018</v>
      </c>
      <c r="H16" s="1344"/>
      <c r="I16" s="891" t="s">
        <v>29</v>
      </c>
      <c r="J16" s="1330">
        <f>ejercicio</f>
        <v>2019</v>
      </c>
      <c r="K16" s="1344"/>
      <c r="L16" s="1336" t="s">
        <v>31</v>
      </c>
      <c r="M16" s="1331"/>
      <c r="N16" s="836"/>
      <c r="O16" s="836"/>
      <c r="P16" s="836"/>
      <c r="Q16" s="830"/>
      <c r="S16" s="831"/>
      <c r="T16" s="832"/>
      <c r="U16" s="832"/>
      <c r="V16" s="832"/>
      <c r="W16" s="832"/>
      <c r="X16" s="832"/>
      <c r="Y16" s="832"/>
      <c r="Z16" s="832"/>
      <c r="AA16" s="832"/>
      <c r="AB16" s="832"/>
      <c r="AC16" s="832"/>
      <c r="AD16" s="832"/>
      <c r="AE16" s="832"/>
      <c r="AF16" s="833"/>
    </row>
    <row r="17" spans="2:32" s="834" customFormat="1" ht="22.5" customHeight="1">
      <c r="B17" s="835"/>
      <c r="C17" s="1319" t="s">
        <v>1171</v>
      </c>
      <c r="D17" s="1320"/>
      <c r="E17" s="864" t="s">
        <v>818</v>
      </c>
      <c r="F17" s="865">
        <f>ejercicio-1</f>
        <v>2018</v>
      </c>
      <c r="G17" s="829" t="s">
        <v>33</v>
      </c>
      <c r="H17" s="872" t="s">
        <v>28</v>
      </c>
      <c r="I17" s="871">
        <f>ejercicio</f>
        <v>2019</v>
      </c>
      <c r="J17" s="829" t="s">
        <v>33</v>
      </c>
      <c r="K17" s="872" t="s">
        <v>28</v>
      </c>
      <c r="L17" s="860">
        <f>ejercicio-1</f>
        <v>2018</v>
      </c>
      <c r="M17" s="829">
        <f>ejercicio</f>
        <v>2019</v>
      </c>
      <c r="N17" s="829" t="s">
        <v>820</v>
      </c>
      <c r="O17" s="829" t="s">
        <v>822</v>
      </c>
      <c r="P17" s="829" t="s">
        <v>821</v>
      </c>
      <c r="Q17" s="837"/>
      <c r="S17" s="831"/>
      <c r="T17" s="832"/>
      <c r="U17" s="832"/>
      <c r="V17" s="832"/>
      <c r="W17" s="832"/>
      <c r="X17" s="832"/>
      <c r="Y17" s="832"/>
      <c r="Z17" s="832"/>
      <c r="AA17" s="832"/>
      <c r="AB17" s="832"/>
      <c r="AC17" s="832"/>
      <c r="AD17" s="832"/>
      <c r="AE17" s="832"/>
      <c r="AF17" s="833"/>
    </row>
    <row r="18" spans="2:32" s="183" customFormat="1" ht="7.5" customHeight="1">
      <c r="B18" s="181"/>
      <c r="C18" s="561"/>
      <c r="D18" s="561"/>
      <c r="E18" s="561"/>
      <c r="F18" s="561"/>
      <c r="G18" s="561"/>
      <c r="H18" s="561"/>
      <c r="I18" s="561"/>
      <c r="J18" s="561"/>
      <c r="K18" s="561"/>
      <c r="L18" s="561"/>
      <c r="M18" s="910"/>
      <c r="N18" s="910"/>
      <c r="O18" s="910"/>
      <c r="P18" s="910"/>
      <c r="Q18" s="182"/>
      <c r="S18" s="365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8"/>
    </row>
    <row r="19" spans="1:32" s="120" customFormat="1" ht="22.5" customHeight="1">
      <c r="A19" s="183"/>
      <c r="B19" s="181"/>
      <c r="C19" s="1340" t="s">
        <v>771</v>
      </c>
      <c r="D19" s="1341"/>
      <c r="E19" s="1341"/>
      <c r="F19" s="885">
        <f>G19+H19</f>
        <v>13481840.56</v>
      </c>
      <c r="G19" s="449">
        <v>9932291.72</v>
      </c>
      <c r="H19" s="873">
        <v>3549548.84</v>
      </c>
      <c r="I19" s="885">
        <f>+J19+K19</f>
        <v>13908715.180000002</v>
      </c>
      <c r="J19" s="449">
        <f>G34</f>
        <v>10271864.197500002</v>
      </c>
      <c r="K19" s="873">
        <f>H34</f>
        <v>3636850.9825</v>
      </c>
      <c r="L19" s="911"/>
      <c r="M19" s="911"/>
      <c r="N19" s="911"/>
      <c r="O19" s="911"/>
      <c r="P19" s="911"/>
      <c r="Q19" s="118"/>
      <c r="S19" s="365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8"/>
    </row>
    <row r="20" spans="1:32" s="120" customFormat="1" ht="9" customHeight="1">
      <c r="A20" s="183"/>
      <c r="B20" s="181"/>
      <c r="C20" s="912"/>
      <c r="D20" s="912"/>
      <c r="E20" s="912"/>
      <c r="F20" s="912"/>
      <c r="G20" s="912"/>
      <c r="H20" s="912"/>
      <c r="I20" s="912"/>
      <c r="J20" s="912"/>
      <c r="K20" s="912"/>
      <c r="L20" s="912"/>
      <c r="M20" s="912"/>
      <c r="N20" s="913"/>
      <c r="O20" s="913"/>
      <c r="P20" s="913"/>
      <c r="Q20" s="118"/>
      <c r="S20" s="365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8"/>
    </row>
    <row r="21" spans="1:32" s="120" customFormat="1" ht="22.5" customHeight="1">
      <c r="A21" s="183"/>
      <c r="B21" s="181"/>
      <c r="C21" s="924" t="s">
        <v>235</v>
      </c>
      <c r="D21" s="498"/>
      <c r="E21" s="1171" t="s">
        <v>236</v>
      </c>
      <c r="F21" s="866">
        <v>300000</v>
      </c>
      <c r="G21" s="421">
        <f>300000*0.75</f>
        <v>225000</v>
      </c>
      <c r="H21" s="874">
        <v>75000</v>
      </c>
      <c r="I21" s="821">
        <v>235000</v>
      </c>
      <c r="J21" s="821">
        <f>I21*0.75</f>
        <v>176250</v>
      </c>
      <c r="K21" s="880">
        <f>I21*0.25</f>
        <v>58750</v>
      </c>
      <c r="L21" s="821">
        <f>F21</f>
        <v>300000</v>
      </c>
      <c r="M21" s="821">
        <f>I21</f>
        <v>235000</v>
      </c>
      <c r="N21" s="1413" t="s">
        <v>1176</v>
      </c>
      <c r="O21" s="1413" t="s">
        <v>1177</v>
      </c>
      <c r="P21" s="1420" t="s">
        <v>1187</v>
      </c>
      <c r="Q21" s="118"/>
      <c r="S21" s="365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8"/>
    </row>
    <row r="22" spans="2:32" s="120" customFormat="1" ht="22.5" customHeight="1">
      <c r="B22" s="117"/>
      <c r="C22" s="1170" t="s">
        <v>237</v>
      </c>
      <c r="D22" s="500"/>
      <c r="E22" s="1172" t="s">
        <v>236</v>
      </c>
      <c r="F22" s="867">
        <v>130000</v>
      </c>
      <c r="G22" s="432">
        <f>130000*0.75</f>
        <v>97500</v>
      </c>
      <c r="H22" s="875">
        <v>32500</v>
      </c>
      <c r="I22" s="822"/>
      <c r="J22" s="822"/>
      <c r="K22" s="881"/>
      <c r="L22" s="821">
        <f aca="true" t="shared" si="0" ref="L22:L27">F22</f>
        <v>130000</v>
      </c>
      <c r="M22" s="822"/>
      <c r="N22" s="1414"/>
      <c r="O22" s="1414"/>
      <c r="P22" s="1415"/>
      <c r="Q22" s="118"/>
      <c r="S22" s="365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8"/>
    </row>
    <row r="23" spans="2:32" s="120" customFormat="1" ht="22.5" customHeight="1">
      <c r="B23" s="117"/>
      <c r="C23" s="1170" t="s">
        <v>238</v>
      </c>
      <c r="D23" s="500"/>
      <c r="E23" s="1172" t="s">
        <v>236</v>
      </c>
      <c r="F23" s="867">
        <v>18295</v>
      </c>
      <c r="G23" s="432">
        <f>F23*0.75</f>
        <v>13721.25</v>
      </c>
      <c r="H23" s="875">
        <f>F23*0.25</f>
        <v>4573.75</v>
      </c>
      <c r="I23" s="822"/>
      <c r="J23" s="822"/>
      <c r="K23" s="881"/>
      <c r="L23" s="821">
        <f t="shared" si="0"/>
        <v>18295</v>
      </c>
      <c r="M23" s="822"/>
      <c r="N23" s="1414"/>
      <c r="O23" s="1414"/>
      <c r="P23" s="1415"/>
      <c r="Q23" s="118"/>
      <c r="S23" s="365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8"/>
    </row>
    <row r="24" spans="2:32" s="120" customFormat="1" ht="22.5" customHeight="1">
      <c r="B24" s="117"/>
      <c r="C24" s="1170" t="s">
        <v>239</v>
      </c>
      <c r="D24" s="500"/>
      <c r="E24" s="1172" t="s">
        <v>236</v>
      </c>
      <c r="F24" s="867">
        <v>98529</v>
      </c>
      <c r="G24" s="432">
        <f>F24*0.75</f>
        <v>73896.75</v>
      </c>
      <c r="H24" s="875">
        <f>F24*0.25</f>
        <v>24632.25</v>
      </c>
      <c r="I24" s="822"/>
      <c r="J24" s="822"/>
      <c r="K24" s="881"/>
      <c r="L24" s="821">
        <f t="shared" si="0"/>
        <v>98529</v>
      </c>
      <c r="M24" s="822"/>
      <c r="N24" s="1414"/>
      <c r="O24" s="1414"/>
      <c r="P24" s="1415"/>
      <c r="Q24" s="118"/>
      <c r="S24" s="365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8"/>
    </row>
    <row r="25" spans="2:32" ht="22.5" customHeight="1">
      <c r="B25" s="117"/>
      <c r="C25" s="1170" t="s">
        <v>240</v>
      </c>
      <c r="D25" s="500"/>
      <c r="E25" s="1172" t="s">
        <v>236</v>
      </c>
      <c r="F25" s="868">
        <v>48000</v>
      </c>
      <c r="G25" s="432">
        <f>F25*0.75</f>
        <v>36000</v>
      </c>
      <c r="H25" s="875">
        <f>F25*0.25</f>
        <v>12000</v>
      </c>
      <c r="I25" s="823"/>
      <c r="J25" s="823"/>
      <c r="K25" s="882"/>
      <c r="L25" s="821">
        <f t="shared" si="0"/>
        <v>48000</v>
      </c>
      <c r="M25" s="823"/>
      <c r="N25" s="1416"/>
      <c r="O25" s="1416"/>
      <c r="P25" s="1417"/>
      <c r="Q25" s="106"/>
      <c r="S25" s="365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8"/>
    </row>
    <row r="26" spans="2:32" ht="22.5" customHeight="1">
      <c r="B26" s="117"/>
      <c r="C26" s="1170" t="s">
        <v>241</v>
      </c>
      <c r="D26" s="500"/>
      <c r="E26" s="1196" t="s">
        <v>242</v>
      </c>
      <c r="F26" s="868">
        <v>237985.71</v>
      </c>
      <c r="G26" s="432">
        <f>F26*0.75</f>
        <v>178489.2825</v>
      </c>
      <c r="H26" s="875">
        <f>F26*0.25</f>
        <v>59496.4275</v>
      </c>
      <c r="I26" s="823">
        <v>8069.75</v>
      </c>
      <c r="J26" s="823">
        <f>I26*0.75</f>
        <v>6052.3125</v>
      </c>
      <c r="K26" s="882">
        <f>I26*0.25</f>
        <v>2017.4375</v>
      </c>
      <c r="L26" s="821">
        <f>F26</f>
        <v>237985.71</v>
      </c>
      <c r="M26" s="823">
        <f>I26</f>
        <v>8069.75</v>
      </c>
      <c r="N26" s="1416"/>
      <c r="O26" s="1416"/>
      <c r="P26" s="1417"/>
      <c r="Q26" s="106"/>
      <c r="S26" s="365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8"/>
    </row>
    <row r="27" spans="2:32" ht="22.5" customHeight="1">
      <c r="B27" s="117"/>
      <c r="C27" s="1170" t="s">
        <v>243</v>
      </c>
      <c r="D27" s="500"/>
      <c r="E27" s="1196" t="s">
        <v>242</v>
      </c>
      <c r="F27" s="868">
        <v>83002.5</v>
      </c>
      <c r="G27" s="425">
        <f>F27*0.75</f>
        <v>62251.875</v>
      </c>
      <c r="H27" s="876">
        <f>F27*0.25</f>
        <v>20750.625</v>
      </c>
      <c r="I27" s="823"/>
      <c r="J27" s="823"/>
      <c r="K27" s="882"/>
      <c r="L27" s="821">
        <f t="shared" si="0"/>
        <v>83002.5</v>
      </c>
      <c r="M27" s="823"/>
      <c r="N27" s="1416"/>
      <c r="O27" s="1416"/>
      <c r="P27" s="1417"/>
      <c r="Q27" s="106"/>
      <c r="S27" s="365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8"/>
    </row>
    <row r="28" spans="2:32" ht="22.5" customHeight="1">
      <c r="B28" s="117"/>
      <c r="C28" s="1170" t="s">
        <v>244</v>
      </c>
      <c r="D28" s="500"/>
      <c r="E28" s="1196" t="s">
        <v>242</v>
      </c>
      <c r="F28" s="869"/>
      <c r="G28" s="434"/>
      <c r="H28" s="877"/>
      <c r="I28" s="824">
        <v>274650</v>
      </c>
      <c r="J28" s="824">
        <f>I28*0.75</f>
        <v>205987.5</v>
      </c>
      <c r="K28" s="883">
        <f>I28*0.25</f>
        <v>68662.5</v>
      </c>
      <c r="L28" s="824"/>
      <c r="M28" s="824">
        <f>I28</f>
        <v>274650</v>
      </c>
      <c r="N28" s="1418"/>
      <c r="O28" s="1418"/>
      <c r="P28" s="1419"/>
      <c r="Q28" s="106"/>
      <c r="S28" s="365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8"/>
    </row>
    <row r="29" spans="2:32" ht="22.5" customHeight="1">
      <c r="B29" s="117"/>
      <c r="C29" s="1170" t="s">
        <v>245</v>
      </c>
      <c r="D29" s="500"/>
      <c r="E29" s="1197" t="s">
        <v>236</v>
      </c>
      <c r="F29" s="869"/>
      <c r="G29" s="434"/>
      <c r="H29" s="877"/>
      <c r="I29" s="824">
        <v>50000</v>
      </c>
      <c r="J29" s="824">
        <f>I29*0.75</f>
        <v>37500</v>
      </c>
      <c r="K29" s="883">
        <f>I29*0.25</f>
        <v>12500</v>
      </c>
      <c r="L29" s="824"/>
      <c r="M29" s="824">
        <f>I29</f>
        <v>50000</v>
      </c>
      <c r="N29" s="1418" t="s">
        <v>1188</v>
      </c>
      <c r="O29" s="1418" t="s">
        <v>1189</v>
      </c>
      <c r="P29" s="1419" t="s">
        <v>1187</v>
      </c>
      <c r="Q29" s="106"/>
      <c r="S29" s="365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8"/>
    </row>
    <row r="30" spans="2:32" ht="22.5" customHeight="1">
      <c r="B30" s="117"/>
      <c r="C30" s="501"/>
      <c r="D30" s="502"/>
      <c r="E30" s="861"/>
      <c r="F30" s="870"/>
      <c r="G30" s="429"/>
      <c r="H30" s="878"/>
      <c r="I30" s="825"/>
      <c r="J30" s="825"/>
      <c r="K30" s="884"/>
      <c r="L30" s="825"/>
      <c r="M30" s="825"/>
      <c r="N30" s="779"/>
      <c r="O30" s="779"/>
      <c r="P30" s="780"/>
      <c r="Q30" s="106"/>
      <c r="S30" s="365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8"/>
    </row>
    <row r="31" spans="2:32" ht="22.5" customHeight="1" thickBot="1">
      <c r="B31" s="117"/>
      <c r="C31" s="914" t="s">
        <v>823</v>
      </c>
      <c r="D31" s="915"/>
      <c r="E31" s="916"/>
      <c r="F31" s="917">
        <f aca="true" t="shared" si="1" ref="F31:M31">SUM(F21:F30)</f>
        <v>915812.21</v>
      </c>
      <c r="G31" s="612">
        <f t="shared" si="1"/>
        <v>686859.1575</v>
      </c>
      <c r="H31" s="918">
        <f t="shared" si="1"/>
        <v>228953.0525</v>
      </c>
      <c r="I31" s="714">
        <f t="shared" si="1"/>
        <v>567719.75</v>
      </c>
      <c r="J31" s="612">
        <f t="shared" si="1"/>
        <v>425789.8125</v>
      </c>
      <c r="K31" s="918">
        <f t="shared" si="1"/>
        <v>141929.9375</v>
      </c>
      <c r="L31" s="714">
        <f t="shared" si="1"/>
        <v>915812.21</v>
      </c>
      <c r="M31" s="612">
        <f t="shared" si="1"/>
        <v>567719.75</v>
      </c>
      <c r="N31" s="919"/>
      <c r="O31" s="920"/>
      <c r="P31" s="919"/>
      <c r="Q31" s="106"/>
      <c r="S31" s="365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8"/>
    </row>
    <row r="32" spans="2:32" ht="7.5" customHeight="1">
      <c r="B32" s="103"/>
      <c r="C32" s="912"/>
      <c r="D32" s="912"/>
      <c r="E32" s="912"/>
      <c r="F32" s="912"/>
      <c r="G32" s="912"/>
      <c r="H32" s="912"/>
      <c r="I32" s="912"/>
      <c r="J32" s="912"/>
      <c r="K32" s="912"/>
      <c r="L32" s="921"/>
      <c r="M32" s="921"/>
      <c r="N32" s="921"/>
      <c r="O32" s="921"/>
      <c r="P32" s="921"/>
      <c r="Q32" s="106"/>
      <c r="S32" s="365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8"/>
    </row>
    <row r="33" spans="2:32" ht="22.5" customHeight="1">
      <c r="B33" s="117"/>
      <c r="C33" s="1342" t="s">
        <v>824</v>
      </c>
      <c r="D33" s="1343"/>
      <c r="E33" s="1343"/>
      <c r="F33" s="885">
        <f>G33+H33</f>
        <v>-488937.58999999997</v>
      </c>
      <c r="G33" s="863">
        <v>-347286.68</v>
      </c>
      <c r="H33" s="879">
        <v>-141650.91</v>
      </c>
      <c r="I33" s="885">
        <f>+J33+K33</f>
        <v>-710085.74</v>
      </c>
      <c r="J33" s="863">
        <v>-516342.32</v>
      </c>
      <c r="K33" s="879">
        <v>-193743.42</v>
      </c>
      <c r="L33" s="911"/>
      <c r="M33" s="911"/>
      <c r="N33" s="922"/>
      <c r="O33" s="922"/>
      <c r="P33" s="922"/>
      <c r="Q33" s="106"/>
      <c r="S33" s="365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8"/>
    </row>
    <row r="34" spans="2:32" ht="22.5" customHeight="1" thickBot="1">
      <c r="B34" s="117"/>
      <c r="C34" s="914" t="s">
        <v>825</v>
      </c>
      <c r="D34" s="915"/>
      <c r="E34" s="916"/>
      <c r="F34" s="886">
        <f>G34+H34</f>
        <v>13908715.180000002</v>
      </c>
      <c r="G34" s="612">
        <f>+G19+G31+G33</f>
        <v>10271864.197500002</v>
      </c>
      <c r="H34" s="918">
        <f>+H19+H31+H33</f>
        <v>3636850.9825</v>
      </c>
      <c r="I34" s="887">
        <f>J34+K34</f>
        <v>13766349.190000001</v>
      </c>
      <c r="J34" s="612">
        <f>J19+J31+SUM(J33:J33)</f>
        <v>10181311.690000001</v>
      </c>
      <c r="K34" s="918">
        <f>K19+K31+SUM(K33:K33)</f>
        <v>3585037.5</v>
      </c>
      <c r="L34" s="923"/>
      <c r="M34" s="923"/>
      <c r="N34" s="922"/>
      <c r="O34" s="922"/>
      <c r="P34" s="922"/>
      <c r="Q34" s="106"/>
      <c r="S34" s="365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8"/>
    </row>
    <row r="35" spans="2:32" ht="22.5" customHeight="1">
      <c r="B35" s="117"/>
      <c r="C35" s="147"/>
      <c r="D35" s="147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06"/>
      <c r="S35" s="365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8"/>
    </row>
    <row r="36" spans="2:32" ht="22.5" customHeight="1">
      <c r="B36" s="117"/>
      <c r="C36" s="22" t="s">
        <v>1091</v>
      </c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06"/>
      <c r="S36" s="365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7"/>
      <c r="AE36" s="367"/>
      <c r="AF36" s="368"/>
    </row>
    <row r="37" spans="2:32" ht="36" customHeight="1">
      <c r="B37" s="117"/>
      <c r="C37" s="1334" t="s">
        <v>1170</v>
      </c>
      <c r="D37" s="1335"/>
      <c r="E37" s="1332"/>
      <c r="F37" s="1333"/>
      <c r="G37" s="1326" t="s">
        <v>2</v>
      </c>
      <c r="H37" s="1327"/>
      <c r="I37" s="1326" t="s">
        <v>3</v>
      </c>
      <c r="J37" s="1327"/>
      <c r="K37" s="829"/>
      <c r="L37" s="829"/>
      <c r="M37" s="829"/>
      <c r="N37" s="148"/>
      <c r="O37" s="148"/>
      <c r="P37" s="148"/>
      <c r="Q37" s="106"/>
      <c r="S37" s="365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  <c r="AF37" s="368"/>
    </row>
    <row r="38" spans="2:32" ht="22.5" customHeight="1">
      <c r="B38" s="117"/>
      <c r="C38" s="1319" t="s">
        <v>1171</v>
      </c>
      <c r="D38" s="1320"/>
      <c r="E38" s="1330" t="s">
        <v>818</v>
      </c>
      <c r="F38" s="1331"/>
      <c r="G38" s="829">
        <f>ejercicio-1</f>
        <v>2018</v>
      </c>
      <c r="H38" s="829">
        <f>ejercicio</f>
        <v>2019</v>
      </c>
      <c r="I38" s="829">
        <f>ejercicio-1</f>
        <v>2018</v>
      </c>
      <c r="J38" s="829">
        <f>ejercicio</f>
        <v>2019</v>
      </c>
      <c r="K38" s="829" t="s">
        <v>820</v>
      </c>
      <c r="L38" s="829" t="s">
        <v>822</v>
      </c>
      <c r="M38" s="829" t="s">
        <v>821</v>
      </c>
      <c r="N38" s="148"/>
      <c r="O38" s="148"/>
      <c r="P38" s="148"/>
      <c r="Q38" s="106"/>
      <c r="S38" s="365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8"/>
    </row>
    <row r="39" spans="2:32" ht="22.5" customHeight="1">
      <c r="B39" s="117"/>
      <c r="C39" s="924" t="s">
        <v>246</v>
      </c>
      <c r="D39" s="498"/>
      <c r="E39" s="1321" t="s">
        <v>236</v>
      </c>
      <c r="F39" s="1322"/>
      <c r="G39" s="421">
        <v>375000</v>
      </c>
      <c r="H39" s="450">
        <v>440000</v>
      </c>
      <c r="I39" s="821">
        <f>G39</f>
        <v>375000</v>
      </c>
      <c r="J39" s="821">
        <f>H39</f>
        <v>440000</v>
      </c>
      <c r="K39" s="1409" t="s">
        <v>1176</v>
      </c>
      <c r="L39" s="1409" t="s">
        <v>1177</v>
      </c>
      <c r="M39" s="1412" t="s">
        <v>1178</v>
      </c>
      <c r="N39" s="862"/>
      <c r="O39" s="862"/>
      <c r="P39" s="862"/>
      <c r="Q39" s="106"/>
      <c r="S39" s="365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67"/>
      <c r="AF39" s="368"/>
    </row>
    <row r="40" spans="2:32" ht="22.5" customHeight="1">
      <c r="B40" s="117"/>
      <c r="C40" s="1170" t="s">
        <v>247</v>
      </c>
      <c r="D40" s="500"/>
      <c r="E40" s="1316" t="s">
        <v>236</v>
      </c>
      <c r="F40" s="1325"/>
      <c r="G40" s="432">
        <v>150000</v>
      </c>
      <c r="H40" s="452">
        <v>250000</v>
      </c>
      <c r="I40" s="432">
        <v>200000</v>
      </c>
      <c r="J40" s="432">
        <v>200000</v>
      </c>
      <c r="K40" s="1410" t="s">
        <v>1179</v>
      </c>
      <c r="L40" s="1410" t="s">
        <v>1180</v>
      </c>
      <c r="M40" s="1411" t="s">
        <v>1178</v>
      </c>
      <c r="N40" s="862"/>
      <c r="O40" s="862"/>
      <c r="P40" s="862"/>
      <c r="Q40" s="106"/>
      <c r="S40" s="365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8"/>
    </row>
    <row r="41" spans="2:32" ht="22.5" customHeight="1">
      <c r="B41" s="117"/>
      <c r="C41" s="1170" t="s">
        <v>248</v>
      </c>
      <c r="D41" s="500"/>
      <c r="E41" s="1316" t="s">
        <v>236</v>
      </c>
      <c r="F41" s="1325"/>
      <c r="G41" s="432">
        <v>314000</v>
      </c>
      <c r="H41" s="452">
        <v>314000</v>
      </c>
      <c r="I41" s="432">
        <f aca="true" t="shared" si="2" ref="I41:J44">G41</f>
        <v>314000</v>
      </c>
      <c r="J41" s="432">
        <f t="shared" si="2"/>
        <v>314000</v>
      </c>
      <c r="K41" s="1410" t="s">
        <v>1181</v>
      </c>
      <c r="L41" s="1410" t="s">
        <v>1182</v>
      </c>
      <c r="M41" s="1411" t="s">
        <v>1178</v>
      </c>
      <c r="N41" s="862"/>
      <c r="O41" s="862"/>
      <c r="P41" s="862"/>
      <c r="Q41" s="106"/>
      <c r="S41" s="365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8"/>
    </row>
    <row r="42" spans="2:32" ht="22.5" customHeight="1">
      <c r="B42" s="117"/>
      <c r="C42" s="1170" t="s">
        <v>249</v>
      </c>
      <c r="D42" s="500"/>
      <c r="E42" s="1316" t="s">
        <v>236</v>
      </c>
      <c r="F42" s="1325"/>
      <c r="G42" s="432">
        <v>130000</v>
      </c>
      <c r="H42" s="452"/>
      <c r="I42" s="432">
        <f t="shared" si="2"/>
        <v>130000</v>
      </c>
      <c r="J42" s="432">
        <f t="shared" si="2"/>
        <v>0</v>
      </c>
      <c r="K42" s="1410"/>
      <c r="L42" s="1410"/>
      <c r="M42" s="1411"/>
      <c r="N42" s="862"/>
      <c r="O42" s="862"/>
      <c r="P42" s="862"/>
      <c r="Q42" s="106"/>
      <c r="S42" s="365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8"/>
    </row>
    <row r="43" spans="2:32" ht="22.5" customHeight="1">
      <c r="B43" s="117"/>
      <c r="C43" s="1170" t="s">
        <v>250</v>
      </c>
      <c r="D43" s="500"/>
      <c r="E43" s="1316" t="s">
        <v>236</v>
      </c>
      <c r="F43" s="1325"/>
      <c r="G43" s="432">
        <v>19000</v>
      </c>
      <c r="H43" s="452"/>
      <c r="I43" s="432">
        <f t="shared" si="2"/>
        <v>19000</v>
      </c>
      <c r="J43" s="432">
        <f t="shared" si="2"/>
        <v>0</v>
      </c>
      <c r="K43" s="1410"/>
      <c r="L43" s="1410"/>
      <c r="M43" s="1411"/>
      <c r="N43" s="862"/>
      <c r="O43" s="862"/>
      <c r="P43" s="862"/>
      <c r="Q43" s="106"/>
      <c r="S43" s="365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8"/>
    </row>
    <row r="44" spans="2:32" ht="22.5" customHeight="1">
      <c r="B44" s="117"/>
      <c r="C44" s="1170" t="s">
        <v>251</v>
      </c>
      <c r="D44" s="500"/>
      <c r="E44" s="1316" t="s">
        <v>236</v>
      </c>
      <c r="F44" s="1325"/>
      <c r="G44" s="432">
        <v>1000000</v>
      </c>
      <c r="H44" s="452">
        <v>1000000</v>
      </c>
      <c r="I44" s="432">
        <f t="shared" si="2"/>
        <v>1000000</v>
      </c>
      <c r="J44" s="432">
        <f t="shared" si="2"/>
        <v>1000000</v>
      </c>
      <c r="K44" s="1410" t="s">
        <v>1176</v>
      </c>
      <c r="L44" s="1410" t="s">
        <v>1177</v>
      </c>
      <c r="M44" s="1411" t="s">
        <v>1178</v>
      </c>
      <c r="N44" s="862"/>
      <c r="O44" s="862"/>
      <c r="P44" s="862"/>
      <c r="Q44" s="106"/>
      <c r="S44" s="365"/>
      <c r="T44" s="367"/>
      <c r="U44" s="367"/>
      <c r="V44" s="367"/>
      <c r="W44" s="367"/>
      <c r="X44" s="367"/>
      <c r="Y44" s="367"/>
      <c r="Z44" s="367"/>
      <c r="AA44" s="367"/>
      <c r="AB44" s="367"/>
      <c r="AC44" s="367"/>
      <c r="AD44" s="367"/>
      <c r="AE44" s="367"/>
      <c r="AF44" s="368"/>
    </row>
    <row r="45" spans="2:32" ht="22.5" customHeight="1">
      <c r="B45" s="117"/>
      <c r="C45" s="1170" t="s">
        <v>252</v>
      </c>
      <c r="D45" s="500"/>
      <c r="E45" s="1316" t="s">
        <v>236</v>
      </c>
      <c r="F45" s="1325"/>
      <c r="G45" s="432">
        <v>23247.37</v>
      </c>
      <c r="H45" s="452">
        <v>24000</v>
      </c>
      <c r="I45" s="432">
        <v>24000</v>
      </c>
      <c r="J45" s="432">
        <f aca="true" t="shared" si="3" ref="J45:J55">H45</f>
        <v>24000</v>
      </c>
      <c r="K45" s="1410" t="s">
        <v>1176</v>
      </c>
      <c r="L45" s="1410" t="s">
        <v>1177</v>
      </c>
      <c r="M45" s="1411" t="s">
        <v>1178</v>
      </c>
      <c r="N45" s="862"/>
      <c r="O45" s="862"/>
      <c r="P45" s="862"/>
      <c r="Q45" s="106"/>
      <c r="S45" s="365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68"/>
    </row>
    <row r="46" spans="2:32" ht="22.5" customHeight="1">
      <c r="B46" s="117"/>
      <c r="C46" s="1170" t="s">
        <v>253</v>
      </c>
      <c r="D46" s="500"/>
      <c r="E46" s="1316" t="s">
        <v>236</v>
      </c>
      <c r="F46" s="1325"/>
      <c r="G46" s="432">
        <v>131705</v>
      </c>
      <c r="H46" s="452">
        <v>250000</v>
      </c>
      <c r="I46" s="432">
        <f aca="true" t="shared" si="4" ref="I46:I55">G46</f>
        <v>131705</v>
      </c>
      <c r="J46" s="432">
        <f t="shared" si="3"/>
        <v>250000</v>
      </c>
      <c r="K46" s="1410" t="s">
        <v>1176</v>
      </c>
      <c r="L46" s="1410" t="s">
        <v>1177</v>
      </c>
      <c r="M46" s="1411" t="s">
        <v>1178</v>
      </c>
      <c r="N46" s="862"/>
      <c r="O46" s="862"/>
      <c r="P46" s="862"/>
      <c r="Q46" s="106"/>
      <c r="S46" s="365"/>
      <c r="T46" s="367"/>
      <c r="U46" s="367"/>
      <c r="V46" s="367"/>
      <c r="W46" s="367"/>
      <c r="X46" s="367"/>
      <c r="Y46" s="367"/>
      <c r="Z46" s="367"/>
      <c r="AA46" s="367"/>
      <c r="AB46" s="367"/>
      <c r="AC46" s="367"/>
      <c r="AD46" s="367"/>
      <c r="AE46" s="367"/>
      <c r="AF46" s="368"/>
    </row>
    <row r="47" spans="2:32" ht="22.5" customHeight="1">
      <c r="B47" s="117"/>
      <c r="C47" s="1170" t="s">
        <v>239</v>
      </c>
      <c r="D47" s="500"/>
      <c r="E47" s="1316" t="s">
        <v>236</v>
      </c>
      <c r="F47" s="1325"/>
      <c r="G47" s="432">
        <v>151471</v>
      </c>
      <c r="H47" s="452">
        <v>150000</v>
      </c>
      <c r="I47" s="432">
        <f t="shared" si="4"/>
        <v>151471</v>
      </c>
      <c r="J47" s="432">
        <f t="shared" si="3"/>
        <v>150000</v>
      </c>
      <c r="K47" s="1410" t="s">
        <v>1176</v>
      </c>
      <c r="L47" s="1410" t="s">
        <v>1177</v>
      </c>
      <c r="M47" s="1411" t="s">
        <v>1178</v>
      </c>
      <c r="N47" s="862"/>
      <c r="O47" s="862"/>
      <c r="P47" s="862"/>
      <c r="Q47" s="106"/>
      <c r="S47" s="365"/>
      <c r="T47" s="367"/>
      <c r="U47" s="367"/>
      <c r="V47" s="367"/>
      <c r="W47" s="367"/>
      <c r="X47" s="367"/>
      <c r="Y47" s="367"/>
      <c r="Z47" s="367"/>
      <c r="AA47" s="367"/>
      <c r="AB47" s="367"/>
      <c r="AC47" s="367"/>
      <c r="AD47" s="367"/>
      <c r="AE47" s="367"/>
      <c r="AF47" s="368"/>
    </row>
    <row r="48" spans="2:32" ht="22.5" customHeight="1">
      <c r="B48" s="117"/>
      <c r="C48" s="1170" t="s">
        <v>240</v>
      </c>
      <c r="D48" s="500"/>
      <c r="E48" s="1316" t="s">
        <v>236</v>
      </c>
      <c r="F48" s="1325"/>
      <c r="G48" s="432">
        <v>52000</v>
      </c>
      <c r="H48" s="452">
        <v>100000</v>
      </c>
      <c r="I48" s="432">
        <f t="shared" si="4"/>
        <v>52000</v>
      </c>
      <c r="J48" s="432">
        <f t="shared" si="3"/>
        <v>100000</v>
      </c>
      <c r="K48" s="1410" t="s">
        <v>1176</v>
      </c>
      <c r="L48" s="1410" t="s">
        <v>1177</v>
      </c>
      <c r="M48" s="1411" t="s">
        <v>1178</v>
      </c>
      <c r="N48" s="862"/>
      <c r="O48" s="862"/>
      <c r="P48" s="862"/>
      <c r="Q48" s="106"/>
      <c r="S48" s="365"/>
      <c r="T48" s="367"/>
      <c r="U48" s="367"/>
      <c r="V48" s="367"/>
      <c r="W48" s="367"/>
      <c r="X48" s="367"/>
      <c r="Y48" s="367"/>
      <c r="Z48" s="367"/>
      <c r="AA48" s="367"/>
      <c r="AB48" s="367"/>
      <c r="AC48" s="367"/>
      <c r="AD48" s="367"/>
      <c r="AE48" s="367"/>
      <c r="AF48" s="368"/>
    </row>
    <row r="49" spans="2:32" ht="22.5" customHeight="1">
      <c r="B49" s="117"/>
      <c r="C49" s="1170" t="s">
        <v>254</v>
      </c>
      <c r="D49" s="500"/>
      <c r="E49" s="1316" t="s">
        <v>236</v>
      </c>
      <c r="F49" s="1325"/>
      <c r="G49" s="432"/>
      <c r="H49" s="452">
        <v>53000</v>
      </c>
      <c r="I49" s="432">
        <f t="shared" si="4"/>
        <v>0</v>
      </c>
      <c r="J49" s="432">
        <f t="shared" si="3"/>
        <v>53000</v>
      </c>
      <c r="K49" s="1410" t="s">
        <v>1183</v>
      </c>
      <c r="L49" s="1410" t="s">
        <v>1184</v>
      </c>
      <c r="M49" s="1411" t="s">
        <v>1178</v>
      </c>
      <c r="N49" s="862"/>
      <c r="O49" s="862"/>
      <c r="P49" s="862"/>
      <c r="Q49" s="106"/>
      <c r="S49" s="365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8"/>
    </row>
    <row r="50" spans="2:32" ht="22.5" customHeight="1">
      <c r="B50" s="117"/>
      <c r="C50" s="1170" t="s">
        <v>255</v>
      </c>
      <c r="D50" s="500"/>
      <c r="E50" s="1316" t="s">
        <v>236</v>
      </c>
      <c r="F50" s="1325"/>
      <c r="G50" s="432"/>
      <c r="H50" s="452">
        <v>80000</v>
      </c>
      <c r="I50" s="432">
        <f t="shared" si="4"/>
        <v>0</v>
      </c>
      <c r="J50" s="432">
        <f t="shared" si="3"/>
        <v>80000</v>
      </c>
      <c r="K50" s="1410" t="s">
        <v>1185</v>
      </c>
      <c r="L50" s="1410" t="s">
        <v>1186</v>
      </c>
      <c r="M50" s="1411" t="s">
        <v>1178</v>
      </c>
      <c r="N50" s="862"/>
      <c r="O50" s="862"/>
      <c r="P50" s="862"/>
      <c r="Q50" s="106"/>
      <c r="S50" s="365"/>
      <c r="T50" s="367"/>
      <c r="U50" s="367"/>
      <c r="V50" s="367"/>
      <c r="W50" s="367"/>
      <c r="X50" s="367"/>
      <c r="Y50" s="367"/>
      <c r="Z50" s="367"/>
      <c r="AA50" s="367"/>
      <c r="AB50" s="367"/>
      <c r="AC50" s="367"/>
      <c r="AD50" s="367"/>
      <c r="AE50" s="367"/>
      <c r="AF50" s="368"/>
    </row>
    <row r="51" spans="2:32" ht="22.5" customHeight="1">
      <c r="B51" s="117"/>
      <c r="C51" s="1170" t="s">
        <v>271</v>
      </c>
      <c r="D51" s="500"/>
      <c r="E51" s="1316" t="s">
        <v>265</v>
      </c>
      <c r="F51" s="1325"/>
      <c r="G51" s="425">
        <v>63987.49</v>
      </c>
      <c r="H51" s="453">
        <v>17417.19</v>
      </c>
      <c r="I51" s="432">
        <f t="shared" si="4"/>
        <v>63987.49</v>
      </c>
      <c r="J51" s="432">
        <f t="shared" si="3"/>
        <v>17417.19</v>
      </c>
      <c r="K51" s="775"/>
      <c r="L51" s="775"/>
      <c r="M51" s="776"/>
      <c r="N51" s="862"/>
      <c r="O51" s="862"/>
      <c r="P51" s="862"/>
      <c r="Q51" s="106"/>
      <c r="S51" s="365"/>
      <c r="T51" s="367"/>
      <c r="U51" s="367"/>
      <c r="V51" s="367"/>
      <c r="W51" s="367"/>
      <c r="X51" s="367"/>
      <c r="Y51" s="367"/>
      <c r="Z51" s="367"/>
      <c r="AA51" s="367"/>
      <c r="AB51" s="367"/>
      <c r="AC51" s="367"/>
      <c r="AD51" s="367"/>
      <c r="AE51" s="367"/>
      <c r="AF51" s="368"/>
    </row>
    <row r="52" spans="2:32" ht="22.5" customHeight="1">
      <c r="B52" s="117"/>
      <c r="C52" s="1170" t="s">
        <v>257</v>
      </c>
      <c r="D52" s="500"/>
      <c r="E52" s="1316" t="s">
        <v>256</v>
      </c>
      <c r="F52" s="1325"/>
      <c r="G52" s="425">
        <v>19308</v>
      </c>
      <c r="H52" s="453">
        <v>19308</v>
      </c>
      <c r="I52" s="432">
        <f t="shared" si="4"/>
        <v>19308</v>
      </c>
      <c r="J52" s="432">
        <f t="shared" si="3"/>
        <v>19308</v>
      </c>
      <c r="K52" s="775"/>
      <c r="L52" s="775"/>
      <c r="M52" s="776"/>
      <c r="N52" s="862"/>
      <c r="O52" s="862"/>
      <c r="P52" s="862"/>
      <c r="Q52" s="106"/>
      <c r="S52" s="365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8"/>
    </row>
    <row r="53" spans="2:32" ht="22.5" customHeight="1">
      <c r="B53" s="117"/>
      <c r="C53" s="1170" t="s">
        <v>258</v>
      </c>
      <c r="D53" s="500"/>
      <c r="E53" s="1316" t="s">
        <v>256</v>
      </c>
      <c r="F53" s="1325"/>
      <c r="G53" s="425"/>
      <c r="H53" s="453">
        <v>95433.76</v>
      </c>
      <c r="I53" s="432">
        <f t="shared" si="4"/>
        <v>0</v>
      </c>
      <c r="J53" s="432">
        <f t="shared" si="3"/>
        <v>95433.76</v>
      </c>
      <c r="K53" s="775"/>
      <c r="L53" s="775"/>
      <c r="M53" s="776"/>
      <c r="N53" s="862"/>
      <c r="O53" s="862"/>
      <c r="P53" s="862"/>
      <c r="Q53" s="106"/>
      <c r="S53" s="365"/>
      <c r="T53" s="367"/>
      <c r="U53" s="367"/>
      <c r="V53" s="367"/>
      <c r="W53" s="367"/>
      <c r="X53" s="367"/>
      <c r="Y53" s="367"/>
      <c r="Z53" s="367"/>
      <c r="AA53" s="367"/>
      <c r="AB53" s="367"/>
      <c r="AC53" s="367"/>
      <c r="AD53" s="367"/>
      <c r="AE53" s="367"/>
      <c r="AF53" s="368"/>
    </row>
    <row r="54" spans="2:32" ht="22.5" customHeight="1">
      <c r="B54" s="117"/>
      <c r="C54" s="1170" t="s">
        <v>259</v>
      </c>
      <c r="D54" s="500"/>
      <c r="E54" s="1316" t="s">
        <v>256</v>
      </c>
      <c r="F54" s="1325"/>
      <c r="G54" s="434"/>
      <c r="H54" s="454">
        <v>130013.85</v>
      </c>
      <c r="I54" s="432">
        <f t="shared" si="4"/>
        <v>0</v>
      </c>
      <c r="J54" s="432">
        <f t="shared" si="3"/>
        <v>130013.85</v>
      </c>
      <c r="K54" s="777"/>
      <c r="L54" s="777"/>
      <c r="M54" s="778"/>
      <c r="N54" s="862"/>
      <c r="O54" s="862"/>
      <c r="P54" s="862"/>
      <c r="Q54" s="106"/>
      <c r="S54" s="365"/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7"/>
      <c r="AE54" s="367"/>
      <c r="AF54" s="368"/>
    </row>
    <row r="55" spans="2:32" ht="28.5" customHeight="1">
      <c r="B55" s="117"/>
      <c r="C55" s="1170" t="s">
        <v>260</v>
      </c>
      <c r="D55" s="500"/>
      <c r="E55" s="1316" t="s">
        <v>256</v>
      </c>
      <c r="F55" s="1325"/>
      <c r="G55" s="434"/>
      <c r="H55" s="454">
        <v>76333.24</v>
      </c>
      <c r="I55" s="434">
        <f t="shared" si="4"/>
        <v>0</v>
      </c>
      <c r="J55" s="454">
        <f t="shared" si="3"/>
        <v>76333.24</v>
      </c>
      <c r="K55" s="777"/>
      <c r="L55" s="777"/>
      <c r="M55" s="778"/>
      <c r="N55" s="862"/>
      <c r="O55" s="862"/>
      <c r="P55" s="862"/>
      <c r="Q55" s="106"/>
      <c r="S55" s="365"/>
      <c r="T55" s="367"/>
      <c r="U55" s="367"/>
      <c r="V55" s="367"/>
      <c r="W55" s="367"/>
      <c r="X55" s="367"/>
      <c r="Y55" s="367"/>
      <c r="Z55" s="367"/>
      <c r="AA55" s="367"/>
      <c r="AB55" s="367"/>
      <c r="AC55" s="367"/>
      <c r="AD55" s="367"/>
      <c r="AE55" s="367"/>
      <c r="AF55" s="368"/>
    </row>
    <row r="56" spans="2:32" ht="28.5" customHeight="1">
      <c r="B56" s="117"/>
      <c r="C56" s="1190" t="s">
        <v>261</v>
      </c>
      <c r="D56" s="1191"/>
      <c r="E56" s="1316" t="s">
        <v>256</v>
      </c>
      <c r="F56" s="1325"/>
      <c r="G56" s="434"/>
      <c r="H56" s="454">
        <v>137661.03</v>
      </c>
      <c r="I56" s="434">
        <f aca="true" t="shared" si="5" ref="I56:I72">G56</f>
        <v>0</v>
      </c>
      <c r="J56" s="454">
        <f aca="true" t="shared" si="6" ref="J56:J72">H56</f>
        <v>137661.03</v>
      </c>
      <c r="K56" s="777"/>
      <c r="L56" s="777"/>
      <c r="M56" s="778"/>
      <c r="N56" s="862"/>
      <c r="O56" s="862"/>
      <c r="P56" s="862"/>
      <c r="Q56" s="106"/>
      <c r="S56" s="365"/>
      <c r="T56" s="367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8"/>
    </row>
    <row r="57" spans="2:32" ht="28.5" customHeight="1">
      <c r="B57" s="117"/>
      <c r="C57" s="1190" t="s">
        <v>262</v>
      </c>
      <c r="D57" s="1191"/>
      <c r="E57" s="1316" t="s">
        <v>256</v>
      </c>
      <c r="F57" s="1325"/>
      <c r="G57" s="434"/>
      <c r="H57" s="454">
        <v>78916.4</v>
      </c>
      <c r="I57" s="434">
        <f t="shared" si="5"/>
        <v>0</v>
      </c>
      <c r="J57" s="454">
        <f t="shared" si="6"/>
        <v>78916.4</v>
      </c>
      <c r="K57" s="777"/>
      <c r="L57" s="777"/>
      <c r="M57" s="778"/>
      <c r="N57" s="862"/>
      <c r="O57" s="862"/>
      <c r="P57" s="862"/>
      <c r="Q57" s="106"/>
      <c r="S57" s="365"/>
      <c r="T57" s="367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8"/>
    </row>
    <row r="58" spans="2:32" ht="28.5" customHeight="1">
      <c r="B58" s="117"/>
      <c r="C58" s="1190" t="s">
        <v>263</v>
      </c>
      <c r="D58" s="1191"/>
      <c r="E58" s="1316" t="s">
        <v>256</v>
      </c>
      <c r="F58" s="1325"/>
      <c r="G58" s="434"/>
      <c r="H58" s="454">
        <v>104131.09</v>
      </c>
      <c r="I58" s="434">
        <f t="shared" si="5"/>
        <v>0</v>
      </c>
      <c r="J58" s="454">
        <f t="shared" si="6"/>
        <v>104131.09</v>
      </c>
      <c r="K58" s="777"/>
      <c r="L58" s="777"/>
      <c r="M58" s="778"/>
      <c r="N58" s="862"/>
      <c r="O58" s="862"/>
      <c r="P58" s="862"/>
      <c r="Q58" s="106"/>
      <c r="S58" s="365"/>
      <c r="T58" s="367"/>
      <c r="U58" s="367"/>
      <c r="V58" s="367"/>
      <c r="W58" s="367"/>
      <c r="X58" s="367"/>
      <c r="Y58" s="367"/>
      <c r="Z58" s="367"/>
      <c r="AA58" s="367"/>
      <c r="AB58" s="367"/>
      <c r="AC58" s="367"/>
      <c r="AD58" s="367"/>
      <c r="AE58" s="367"/>
      <c r="AF58" s="368"/>
    </row>
    <row r="59" spans="2:32" ht="28.5" customHeight="1">
      <c r="B59" s="117"/>
      <c r="C59" s="1190" t="s">
        <v>264</v>
      </c>
      <c r="D59" s="1191"/>
      <c r="E59" s="1316" t="s">
        <v>256</v>
      </c>
      <c r="F59" s="1325"/>
      <c r="G59" s="434"/>
      <c r="H59" s="454">
        <v>100349.08</v>
      </c>
      <c r="I59" s="434">
        <f t="shared" si="5"/>
        <v>0</v>
      </c>
      <c r="J59" s="454">
        <f t="shared" si="6"/>
        <v>100349.08</v>
      </c>
      <c r="K59" s="777"/>
      <c r="L59" s="777"/>
      <c r="M59" s="778"/>
      <c r="N59" s="862"/>
      <c r="O59" s="862"/>
      <c r="P59" s="862"/>
      <c r="Q59" s="106"/>
      <c r="S59" s="365"/>
      <c r="T59" s="367"/>
      <c r="U59" s="367"/>
      <c r="V59" s="367"/>
      <c r="W59" s="367"/>
      <c r="X59" s="367"/>
      <c r="Y59" s="367"/>
      <c r="Z59" s="367"/>
      <c r="AA59" s="367"/>
      <c r="AB59" s="367"/>
      <c r="AC59" s="367"/>
      <c r="AD59" s="367"/>
      <c r="AE59" s="367"/>
      <c r="AF59" s="368"/>
    </row>
    <row r="60" spans="2:32" ht="28.5" customHeight="1">
      <c r="B60" s="117"/>
      <c r="C60" s="1190" t="s">
        <v>270</v>
      </c>
      <c r="D60" s="1191"/>
      <c r="E60" s="1199" t="s">
        <v>265</v>
      </c>
      <c r="F60" s="1198"/>
      <c r="G60" s="434">
        <v>28251.02</v>
      </c>
      <c r="H60" s="454">
        <v>20780.8</v>
      </c>
      <c r="I60" s="434">
        <f t="shared" si="5"/>
        <v>28251.02</v>
      </c>
      <c r="J60" s="454">
        <f t="shared" si="6"/>
        <v>20780.8</v>
      </c>
      <c r="K60" s="777"/>
      <c r="L60" s="777"/>
      <c r="M60" s="778"/>
      <c r="N60" s="862"/>
      <c r="O60" s="862"/>
      <c r="P60" s="862"/>
      <c r="Q60" s="106"/>
      <c r="S60" s="365"/>
      <c r="T60" s="367"/>
      <c r="U60" s="367"/>
      <c r="V60" s="367"/>
      <c r="W60" s="367"/>
      <c r="X60" s="367"/>
      <c r="Y60" s="367"/>
      <c r="Z60" s="367"/>
      <c r="AA60" s="367"/>
      <c r="AB60" s="367"/>
      <c r="AC60" s="367"/>
      <c r="AD60" s="367"/>
      <c r="AE60" s="367"/>
      <c r="AF60" s="368"/>
    </row>
    <row r="61" spans="2:32" ht="28.5" customHeight="1">
      <c r="B61" s="117"/>
      <c r="C61" s="1190" t="s">
        <v>266</v>
      </c>
      <c r="D61" s="1191"/>
      <c r="E61" s="1199" t="s">
        <v>265</v>
      </c>
      <c r="F61" s="1198"/>
      <c r="G61" s="434">
        <v>8712</v>
      </c>
      <c r="H61" s="454">
        <v>8712</v>
      </c>
      <c r="I61" s="434">
        <f t="shared" si="5"/>
        <v>8712</v>
      </c>
      <c r="J61" s="454">
        <f t="shared" si="6"/>
        <v>8712</v>
      </c>
      <c r="K61" s="777"/>
      <c r="L61" s="777"/>
      <c r="M61" s="778"/>
      <c r="N61" s="862"/>
      <c r="O61" s="862"/>
      <c r="P61" s="862"/>
      <c r="Q61" s="106"/>
      <c r="S61" s="365"/>
      <c r="T61" s="367"/>
      <c r="U61" s="367"/>
      <c r="V61" s="367"/>
      <c r="W61" s="367"/>
      <c r="X61" s="367"/>
      <c r="Y61" s="367"/>
      <c r="Z61" s="367"/>
      <c r="AA61" s="367"/>
      <c r="AB61" s="367"/>
      <c r="AC61" s="367"/>
      <c r="AD61" s="367"/>
      <c r="AE61" s="367"/>
      <c r="AF61" s="368"/>
    </row>
    <row r="62" spans="2:32" ht="28.5" customHeight="1">
      <c r="B62" s="117"/>
      <c r="C62" s="1190" t="s">
        <v>267</v>
      </c>
      <c r="D62" s="1191"/>
      <c r="E62" s="1199" t="s">
        <v>265</v>
      </c>
      <c r="F62" s="1198"/>
      <c r="G62" s="434">
        <v>134777.96</v>
      </c>
      <c r="H62" s="454">
        <v>44962.97</v>
      </c>
      <c r="I62" s="434">
        <f t="shared" si="5"/>
        <v>134777.96</v>
      </c>
      <c r="J62" s="454">
        <f t="shared" si="6"/>
        <v>44962.97</v>
      </c>
      <c r="K62" s="777"/>
      <c r="L62" s="777"/>
      <c r="M62" s="778"/>
      <c r="N62" s="862"/>
      <c r="O62" s="862"/>
      <c r="P62" s="862"/>
      <c r="Q62" s="106"/>
      <c r="S62" s="365"/>
      <c r="T62" s="367"/>
      <c r="U62" s="367"/>
      <c r="V62" s="367"/>
      <c r="W62" s="367"/>
      <c r="X62" s="367"/>
      <c r="Y62" s="367"/>
      <c r="Z62" s="367"/>
      <c r="AA62" s="367"/>
      <c r="AB62" s="367"/>
      <c r="AC62" s="367"/>
      <c r="AD62" s="367"/>
      <c r="AE62" s="367"/>
      <c r="AF62" s="368"/>
    </row>
    <row r="63" spans="2:32" ht="28.5" customHeight="1">
      <c r="B63" s="117"/>
      <c r="C63" s="1190" t="s">
        <v>268</v>
      </c>
      <c r="D63" s="1191"/>
      <c r="E63" s="1199" t="s">
        <v>265</v>
      </c>
      <c r="F63" s="1198"/>
      <c r="G63" s="434"/>
      <c r="H63" s="454">
        <v>88464.53</v>
      </c>
      <c r="I63" s="434">
        <f t="shared" si="5"/>
        <v>0</v>
      </c>
      <c r="J63" s="454">
        <f t="shared" si="6"/>
        <v>88464.53</v>
      </c>
      <c r="K63" s="777"/>
      <c r="L63" s="777"/>
      <c r="M63" s="778"/>
      <c r="N63" s="862"/>
      <c r="O63" s="862"/>
      <c r="P63" s="862"/>
      <c r="Q63" s="106"/>
      <c r="S63" s="365"/>
      <c r="T63" s="367"/>
      <c r="U63" s="367"/>
      <c r="V63" s="367"/>
      <c r="W63" s="367"/>
      <c r="X63" s="367"/>
      <c r="Y63" s="367"/>
      <c r="Z63" s="367"/>
      <c r="AA63" s="367"/>
      <c r="AB63" s="367"/>
      <c r="AC63" s="367"/>
      <c r="AD63" s="367"/>
      <c r="AE63" s="367"/>
      <c r="AF63" s="368"/>
    </row>
    <row r="64" spans="2:32" ht="28.5" customHeight="1">
      <c r="B64" s="117"/>
      <c r="C64" s="1190" t="s">
        <v>269</v>
      </c>
      <c r="D64" s="1191"/>
      <c r="E64" s="1199" t="s">
        <v>265</v>
      </c>
      <c r="F64" s="1198"/>
      <c r="G64" s="434">
        <v>11824.5</v>
      </c>
      <c r="H64" s="454">
        <f>11824.5+11824.5</f>
        <v>23649</v>
      </c>
      <c r="I64" s="434">
        <f t="shared" si="5"/>
        <v>11824.5</v>
      </c>
      <c r="J64" s="454">
        <f t="shared" si="6"/>
        <v>23649</v>
      </c>
      <c r="K64" s="777"/>
      <c r="L64" s="777"/>
      <c r="M64" s="778"/>
      <c r="N64" s="862"/>
      <c r="O64" s="862"/>
      <c r="P64" s="862"/>
      <c r="Q64" s="106"/>
      <c r="S64" s="365"/>
      <c r="T64" s="367"/>
      <c r="U64" s="367"/>
      <c r="V64" s="367"/>
      <c r="W64" s="367"/>
      <c r="X64" s="367"/>
      <c r="Y64" s="367"/>
      <c r="Z64" s="367"/>
      <c r="AA64" s="367"/>
      <c r="AB64" s="367"/>
      <c r="AC64" s="367"/>
      <c r="AD64" s="367"/>
      <c r="AE64" s="367"/>
      <c r="AF64" s="368"/>
    </row>
    <row r="65" spans="2:32" ht="28.5" customHeight="1">
      <c r="B65" s="117"/>
      <c r="C65" s="1190" t="s">
        <v>272</v>
      </c>
      <c r="D65" s="1191"/>
      <c r="E65" s="1199" t="s">
        <v>265</v>
      </c>
      <c r="F65" s="1198"/>
      <c r="G65" s="434">
        <v>12000</v>
      </c>
      <c r="H65" s="454"/>
      <c r="I65" s="434">
        <f t="shared" si="5"/>
        <v>12000</v>
      </c>
      <c r="J65" s="454">
        <f t="shared" si="6"/>
        <v>0</v>
      </c>
      <c r="K65" s="777"/>
      <c r="L65" s="777"/>
      <c r="M65" s="778"/>
      <c r="N65" s="862"/>
      <c r="O65" s="862"/>
      <c r="P65" s="862"/>
      <c r="Q65" s="106"/>
      <c r="S65" s="365"/>
      <c r="T65" s="367"/>
      <c r="U65" s="367"/>
      <c r="V65" s="367"/>
      <c r="W65" s="367"/>
      <c r="X65" s="367"/>
      <c r="Y65" s="367"/>
      <c r="Z65" s="367"/>
      <c r="AA65" s="367"/>
      <c r="AB65" s="367"/>
      <c r="AC65" s="367"/>
      <c r="AD65" s="367"/>
      <c r="AE65" s="367"/>
      <c r="AF65" s="368"/>
    </row>
    <row r="66" spans="2:32" ht="28.5" customHeight="1">
      <c r="B66" s="117"/>
      <c r="C66" s="1190" t="s">
        <v>273</v>
      </c>
      <c r="D66" s="1191"/>
      <c r="E66" s="1199" t="s">
        <v>265</v>
      </c>
      <c r="F66" s="1198"/>
      <c r="G66" s="434">
        <v>44575.38</v>
      </c>
      <c r="H66" s="454"/>
      <c r="I66" s="434">
        <f t="shared" si="5"/>
        <v>44575.38</v>
      </c>
      <c r="J66" s="454">
        <f t="shared" si="6"/>
        <v>0</v>
      </c>
      <c r="K66" s="777"/>
      <c r="L66" s="777"/>
      <c r="M66" s="778"/>
      <c r="N66" s="862"/>
      <c r="O66" s="862"/>
      <c r="P66" s="862"/>
      <c r="Q66" s="106"/>
      <c r="S66" s="365"/>
      <c r="T66" s="367"/>
      <c r="U66" s="367"/>
      <c r="V66" s="367"/>
      <c r="W66" s="367"/>
      <c r="X66" s="367"/>
      <c r="Y66" s="367"/>
      <c r="Z66" s="367"/>
      <c r="AA66" s="367"/>
      <c r="AB66" s="367"/>
      <c r="AC66" s="367"/>
      <c r="AD66" s="367"/>
      <c r="AE66" s="367"/>
      <c r="AF66" s="368"/>
    </row>
    <row r="67" spans="2:32" ht="28.5" customHeight="1">
      <c r="B67" s="117"/>
      <c r="C67" s="1190" t="s">
        <v>274</v>
      </c>
      <c r="D67" s="1191"/>
      <c r="E67" s="1199" t="s">
        <v>265</v>
      </c>
      <c r="F67" s="1198"/>
      <c r="G67" s="434">
        <v>42050.96</v>
      </c>
      <c r="H67" s="454"/>
      <c r="I67" s="434">
        <f t="shared" si="5"/>
        <v>42050.96</v>
      </c>
      <c r="J67" s="454">
        <f t="shared" si="6"/>
        <v>0</v>
      </c>
      <c r="K67" s="777"/>
      <c r="L67" s="777"/>
      <c r="M67" s="778"/>
      <c r="N67" s="862"/>
      <c r="O67" s="862"/>
      <c r="P67" s="862"/>
      <c r="Q67" s="106"/>
      <c r="S67" s="365"/>
      <c r="T67" s="367"/>
      <c r="U67" s="367"/>
      <c r="V67" s="367"/>
      <c r="W67" s="367"/>
      <c r="X67" s="367"/>
      <c r="Y67" s="367"/>
      <c r="Z67" s="367"/>
      <c r="AA67" s="367"/>
      <c r="AB67" s="367"/>
      <c r="AC67" s="367"/>
      <c r="AD67" s="367"/>
      <c r="AE67" s="367"/>
      <c r="AF67" s="368"/>
    </row>
    <row r="68" spans="2:32" ht="28.5" customHeight="1">
      <c r="B68" s="117"/>
      <c r="C68" s="1190" t="s">
        <v>275</v>
      </c>
      <c r="D68" s="1191"/>
      <c r="E68" s="1199" t="s">
        <v>276</v>
      </c>
      <c r="F68" s="1198"/>
      <c r="G68" s="434">
        <v>83574.34</v>
      </c>
      <c r="H68" s="454"/>
      <c r="I68" s="434">
        <f t="shared" si="5"/>
        <v>83574.34</v>
      </c>
      <c r="J68" s="454">
        <f t="shared" si="6"/>
        <v>0</v>
      </c>
      <c r="K68" s="777"/>
      <c r="L68" s="777"/>
      <c r="M68" s="778"/>
      <c r="N68" s="862"/>
      <c r="O68" s="862"/>
      <c r="P68" s="862"/>
      <c r="Q68" s="106"/>
      <c r="S68" s="365"/>
      <c r="T68" s="367"/>
      <c r="U68" s="367"/>
      <c r="V68" s="367"/>
      <c r="W68" s="367"/>
      <c r="X68" s="367"/>
      <c r="Y68" s="367"/>
      <c r="Z68" s="367"/>
      <c r="AA68" s="367"/>
      <c r="AB68" s="367"/>
      <c r="AC68" s="367"/>
      <c r="AD68" s="367"/>
      <c r="AE68" s="367"/>
      <c r="AF68" s="368"/>
    </row>
    <row r="69" spans="2:32" ht="28.5" customHeight="1">
      <c r="B69" s="117"/>
      <c r="C69" s="1190" t="s">
        <v>241</v>
      </c>
      <c r="D69" s="1191"/>
      <c r="E69" s="1199" t="s">
        <v>242</v>
      </c>
      <c r="F69" s="1198"/>
      <c r="G69" s="434">
        <v>65778.21</v>
      </c>
      <c r="H69" s="454">
        <v>88953.44</v>
      </c>
      <c r="I69" s="434">
        <f t="shared" si="5"/>
        <v>65778.21</v>
      </c>
      <c r="J69" s="454">
        <f t="shared" si="6"/>
        <v>88953.44</v>
      </c>
      <c r="K69" s="777"/>
      <c r="L69" s="777"/>
      <c r="M69" s="778"/>
      <c r="N69" s="862"/>
      <c r="O69" s="862"/>
      <c r="P69" s="862"/>
      <c r="Q69" s="106"/>
      <c r="S69" s="365"/>
      <c r="T69" s="367"/>
      <c r="U69" s="367"/>
      <c r="V69" s="367"/>
      <c r="W69" s="367"/>
      <c r="X69" s="367"/>
      <c r="Y69" s="367"/>
      <c r="Z69" s="367"/>
      <c r="AA69" s="367"/>
      <c r="AB69" s="367"/>
      <c r="AC69" s="367"/>
      <c r="AD69" s="367"/>
      <c r="AE69" s="367"/>
      <c r="AF69" s="368"/>
    </row>
    <row r="70" spans="2:32" ht="28.5" customHeight="1">
      <c r="B70" s="117"/>
      <c r="C70" s="1190" t="s">
        <v>243</v>
      </c>
      <c r="D70" s="1191"/>
      <c r="E70" s="1199" t="s">
        <v>242</v>
      </c>
      <c r="F70" s="1198"/>
      <c r="G70" s="434">
        <v>171656.16</v>
      </c>
      <c r="H70" s="454">
        <v>90908.2</v>
      </c>
      <c r="I70" s="434">
        <f t="shared" si="5"/>
        <v>171656.16</v>
      </c>
      <c r="J70" s="454">
        <f t="shared" si="6"/>
        <v>90908.2</v>
      </c>
      <c r="K70" s="777"/>
      <c r="L70" s="777"/>
      <c r="M70" s="778"/>
      <c r="N70" s="862"/>
      <c r="O70" s="862"/>
      <c r="P70" s="862"/>
      <c r="Q70" s="106"/>
      <c r="S70" s="365"/>
      <c r="T70" s="367"/>
      <c r="U70" s="367"/>
      <c r="V70" s="367"/>
      <c r="W70" s="367"/>
      <c r="X70" s="367"/>
      <c r="Y70" s="367"/>
      <c r="Z70" s="367"/>
      <c r="AA70" s="367"/>
      <c r="AB70" s="367"/>
      <c r="AC70" s="367"/>
      <c r="AD70" s="367"/>
      <c r="AE70" s="367"/>
      <c r="AF70" s="368"/>
    </row>
    <row r="71" spans="2:32" ht="28.5" customHeight="1">
      <c r="B71" s="117"/>
      <c r="C71" s="1190" t="s">
        <v>244</v>
      </c>
      <c r="D71" s="1191"/>
      <c r="E71" s="1199" t="s">
        <v>242</v>
      </c>
      <c r="F71" s="1198"/>
      <c r="G71" s="434">
        <v>177434.04</v>
      </c>
      <c r="H71" s="454">
        <v>131048.9</v>
      </c>
      <c r="I71" s="434">
        <f t="shared" si="5"/>
        <v>177434.04</v>
      </c>
      <c r="J71" s="454">
        <f t="shared" si="6"/>
        <v>131048.9</v>
      </c>
      <c r="K71" s="777"/>
      <c r="L71" s="777"/>
      <c r="M71" s="778"/>
      <c r="N71" s="862"/>
      <c r="O71" s="862"/>
      <c r="P71" s="862"/>
      <c r="Q71" s="106"/>
      <c r="S71" s="365"/>
      <c r="T71" s="367"/>
      <c r="U71" s="367"/>
      <c r="V71" s="367"/>
      <c r="W71" s="367"/>
      <c r="X71" s="367"/>
      <c r="Y71" s="367"/>
      <c r="Z71" s="367"/>
      <c r="AA71" s="367"/>
      <c r="AB71" s="367"/>
      <c r="AC71" s="367"/>
      <c r="AD71" s="367"/>
      <c r="AE71" s="367"/>
      <c r="AF71" s="368"/>
    </row>
    <row r="72" spans="2:32" ht="28.5" customHeight="1">
      <c r="B72" s="117"/>
      <c r="C72" s="1190" t="s">
        <v>277</v>
      </c>
      <c r="D72" s="1191"/>
      <c r="E72" s="1199" t="s">
        <v>242</v>
      </c>
      <c r="F72" s="1198"/>
      <c r="G72" s="434">
        <v>95836.41</v>
      </c>
      <c r="H72" s="454">
        <v>42278</v>
      </c>
      <c r="I72" s="434">
        <f t="shared" si="5"/>
        <v>95836.41</v>
      </c>
      <c r="J72" s="454">
        <f t="shared" si="6"/>
        <v>42278</v>
      </c>
      <c r="K72" s="777"/>
      <c r="L72" s="777"/>
      <c r="M72" s="778"/>
      <c r="N72" s="862"/>
      <c r="O72" s="862"/>
      <c r="P72" s="862"/>
      <c r="Q72" s="106"/>
      <c r="S72" s="365"/>
      <c r="T72" s="367"/>
      <c r="U72" s="367"/>
      <c r="V72" s="367"/>
      <c r="W72" s="367"/>
      <c r="X72" s="367"/>
      <c r="Y72" s="367"/>
      <c r="Z72" s="367"/>
      <c r="AA72" s="367"/>
      <c r="AB72" s="367"/>
      <c r="AC72" s="367"/>
      <c r="AD72" s="367"/>
      <c r="AE72" s="367"/>
      <c r="AF72" s="368"/>
    </row>
    <row r="73" spans="2:32" ht="22.5" customHeight="1">
      <c r="B73" s="117"/>
      <c r="C73" s="501"/>
      <c r="D73" s="502"/>
      <c r="E73" s="1323"/>
      <c r="F73" s="1324"/>
      <c r="G73" s="429"/>
      <c r="H73" s="455"/>
      <c r="I73" s="429">
        <f>G73</f>
        <v>0</v>
      </c>
      <c r="J73" s="455">
        <f>H73</f>
        <v>0</v>
      </c>
      <c r="K73" s="779"/>
      <c r="L73" s="779"/>
      <c r="M73" s="780"/>
      <c r="N73" s="862"/>
      <c r="O73" s="862"/>
      <c r="P73" s="862"/>
      <c r="Q73" s="106"/>
      <c r="S73" s="365"/>
      <c r="T73" s="367"/>
      <c r="U73" s="367"/>
      <c r="V73" s="367"/>
      <c r="W73" s="367"/>
      <c r="X73" s="367"/>
      <c r="Y73" s="367"/>
      <c r="Z73" s="367"/>
      <c r="AA73" s="367"/>
      <c r="AB73" s="367"/>
      <c r="AC73" s="367"/>
      <c r="AD73" s="367"/>
      <c r="AE73" s="367"/>
      <c r="AF73" s="368"/>
    </row>
    <row r="74" spans="2:32" ht="22.5" customHeight="1" thickBot="1">
      <c r="B74" s="117"/>
      <c r="C74" s="1313" t="s">
        <v>823</v>
      </c>
      <c r="D74" s="1314"/>
      <c r="E74" s="1314"/>
      <c r="F74" s="1315"/>
      <c r="G74" s="127">
        <f>SUM(G39:G73)</f>
        <v>3306189.8400000003</v>
      </c>
      <c r="H74" s="127">
        <f>SUM(H39:H73)</f>
        <v>3960321.4799999995</v>
      </c>
      <c r="I74" s="127">
        <f>SUM(I39:I73)</f>
        <v>3356942.47</v>
      </c>
      <c r="J74" s="127">
        <f>SUM(J39:J73)</f>
        <v>3910321.4799999995</v>
      </c>
      <c r="K74" s="207"/>
      <c r="L74" s="148"/>
      <c r="M74" s="148"/>
      <c r="N74" s="148"/>
      <c r="O74" s="148"/>
      <c r="P74" s="148"/>
      <c r="Q74" s="106"/>
      <c r="S74" s="365"/>
      <c r="T74" s="367"/>
      <c r="U74" s="367"/>
      <c r="V74" s="367"/>
      <c r="W74" s="367"/>
      <c r="X74" s="367"/>
      <c r="Y74" s="367"/>
      <c r="Z74" s="367"/>
      <c r="AA74" s="367"/>
      <c r="AB74" s="367"/>
      <c r="AC74" s="367"/>
      <c r="AD74" s="367"/>
      <c r="AE74" s="367"/>
      <c r="AF74" s="368"/>
    </row>
    <row r="75" spans="2:32" ht="22.5" customHeight="1">
      <c r="B75" s="117"/>
      <c r="C75" s="208"/>
      <c r="D75" s="208"/>
      <c r="E75" s="209"/>
      <c r="F75" s="209"/>
      <c r="G75" s="210"/>
      <c r="H75" s="210"/>
      <c r="I75" s="210"/>
      <c r="J75" s="210"/>
      <c r="K75" s="209"/>
      <c r="L75" s="209"/>
      <c r="M75" s="211"/>
      <c r="N75" s="211"/>
      <c r="O75" s="211"/>
      <c r="P75" s="211"/>
      <c r="Q75" s="106"/>
      <c r="S75" s="365"/>
      <c r="T75" s="367"/>
      <c r="U75" s="367"/>
      <c r="V75" s="367"/>
      <c r="W75" s="367"/>
      <c r="X75" s="367"/>
      <c r="Y75" s="367"/>
      <c r="Z75" s="367"/>
      <c r="AA75" s="367"/>
      <c r="AB75" s="367"/>
      <c r="AC75" s="367"/>
      <c r="AD75" s="367"/>
      <c r="AE75" s="367"/>
      <c r="AF75" s="368"/>
    </row>
    <row r="76" spans="2:32" s="115" customFormat="1" ht="30" customHeight="1">
      <c r="B76" s="111"/>
      <c r="C76" s="66" t="s">
        <v>1092</v>
      </c>
      <c r="D76" s="22"/>
      <c r="E76" s="96"/>
      <c r="F76" s="96"/>
      <c r="G76" s="96"/>
      <c r="H76" s="96"/>
      <c r="I76" s="96"/>
      <c r="J76" s="96"/>
      <c r="K76" s="96"/>
      <c r="L76" s="96"/>
      <c r="M76" s="96"/>
      <c r="N76" s="211"/>
      <c r="O76" s="211"/>
      <c r="P76" s="211"/>
      <c r="Q76" s="114"/>
      <c r="S76" s="365"/>
      <c r="T76" s="367"/>
      <c r="U76" s="367"/>
      <c r="V76" s="367"/>
      <c r="W76" s="367"/>
      <c r="X76" s="367"/>
      <c r="Y76" s="367"/>
      <c r="Z76" s="367"/>
      <c r="AA76" s="367"/>
      <c r="AB76" s="367"/>
      <c r="AC76" s="367"/>
      <c r="AD76" s="367"/>
      <c r="AE76" s="367"/>
      <c r="AF76" s="368"/>
    </row>
    <row r="77" spans="2:32" s="115" customFormat="1" ht="30" customHeight="1">
      <c r="B77" s="111"/>
      <c r="C77" s="1334" t="s">
        <v>1170</v>
      </c>
      <c r="D77" s="1335"/>
      <c r="E77" s="1332"/>
      <c r="F77" s="1333"/>
      <c r="G77" s="1326" t="s">
        <v>4</v>
      </c>
      <c r="H77" s="1327"/>
      <c r="I77" s="1326" t="s">
        <v>5</v>
      </c>
      <c r="J77" s="1327"/>
      <c r="K77" s="829"/>
      <c r="L77" s="829"/>
      <c r="M77" s="829"/>
      <c r="N77" s="211"/>
      <c r="O77" s="211"/>
      <c r="P77" s="211"/>
      <c r="Q77" s="114"/>
      <c r="S77" s="365"/>
      <c r="T77" s="367"/>
      <c r="U77" s="367"/>
      <c r="V77" s="367"/>
      <c r="W77" s="367"/>
      <c r="X77" s="367"/>
      <c r="Y77" s="367"/>
      <c r="Z77" s="367"/>
      <c r="AA77" s="367"/>
      <c r="AB77" s="367"/>
      <c r="AC77" s="367"/>
      <c r="AD77" s="367"/>
      <c r="AE77" s="367"/>
      <c r="AF77" s="368"/>
    </row>
    <row r="78" spans="2:32" ht="22.5" customHeight="1">
      <c r="B78" s="117"/>
      <c r="C78" s="1319" t="s">
        <v>1171</v>
      </c>
      <c r="D78" s="1320"/>
      <c r="E78" s="1330" t="s">
        <v>818</v>
      </c>
      <c r="F78" s="1331"/>
      <c r="G78" s="829">
        <f>ejercicio-1</f>
        <v>2018</v>
      </c>
      <c r="H78" s="829">
        <f>ejercicio</f>
        <v>2019</v>
      </c>
      <c r="I78" s="829">
        <f>ejercicio-1</f>
        <v>2018</v>
      </c>
      <c r="J78" s="829">
        <f>ejercicio</f>
        <v>2019</v>
      </c>
      <c r="K78" s="829" t="s">
        <v>820</v>
      </c>
      <c r="L78" s="829" t="s">
        <v>822</v>
      </c>
      <c r="M78" s="829" t="s">
        <v>821</v>
      </c>
      <c r="N78" s="211"/>
      <c r="O78" s="211"/>
      <c r="P78" s="211"/>
      <c r="Q78" s="106"/>
      <c r="S78" s="365"/>
      <c r="T78" s="367"/>
      <c r="U78" s="367"/>
      <c r="V78" s="367"/>
      <c r="W78" s="367"/>
      <c r="X78" s="367"/>
      <c r="Y78" s="367"/>
      <c r="Z78" s="367"/>
      <c r="AA78" s="367"/>
      <c r="AB78" s="367"/>
      <c r="AC78" s="367"/>
      <c r="AD78" s="367"/>
      <c r="AE78" s="367"/>
      <c r="AF78" s="368"/>
    </row>
    <row r="79" spans="2:32" ht="22.5" customHeight="1">
      <c r="B79" s="117"/>
      <c r="C79" s="924"/>
      <c r="D79" s="498"/>
      <c r="E79" s="1321"/>
      <c r="F79" s="1322"/>
      <c r="G79" s="421"/>
      <c r="H79" s="450"/>
      <c r="I79" s="821"/>
      <c r="J79" s="821"/>
      <c r="K79" s="771"/>
      <c r="L79" s="771"/>
      <c r="M79" s="772"/>
      <c r="N79" s="211"/>
      <c r="O79" s="211"/>
      <c r="P79" s="211"/>
      <c r="Q79" s="106"/>
      <c r="S79" s="365"/>
      <c r="T79" s="367"/>
      <c r="U79" s="367"/>
      <c r="V79" s="367"/>
      <c r="W79" s="367"/>
      <c r="X79" s="367"/>
      <c r="Y79" s="367"/>
      <c r="Z79" s="367"/>
      <c r="AA79" s="367"/>
      <c r="AB79" s="367"/>
      <c r="AC79" s="367"/>
      <c r="AD79" s="367"/>
      <c r="AE79" s="367"/>
      <c r="AF79" s="368"/>
    </row>
    <row r="80" spans="2:32" ht="22.5" customHeight="1">
      <c r="B80" s="117"/>
      <c r="C80" s="499"/>
      <c r="D80" s="500"/>
      <c r="E80" s="1318"/>
      <c r="F80" s="1317"/>
      <c r="G80" s="432"/>
      <c r="H80" s="452"/>
      <c r="I80" s="822"/>
      <c r="J80" s="822"/>
      <c r="K80" s="773"/>
      <c r="L80" s="773"/>
      <c r="M80" s="774"/>
      <c r="N80" s="211"/>
      <c r="O80" s="211"/>
      <c r="P80" s="211"/>
      <c r="Q80" s="106"/>
      <c r="S80" s="365"/>
      <c r="T80" s="367"/>
      <c r="U80" s="367"/>
      <c r="V80" s="367"/>
      <c r="W80" s="367"/>
      <c r="X80" s="367"/>
      <c r="Y80" s="367"/>
      <c r="Z80" s="367"/>
      <c r="AA80" s="367"/>
      <c r="AB80" s="367"/>
      <c r="AC80" s="367"/>
      <c r="AD80" s="367"/>
      <c r="AE80" s="367"/>
      <c r="AF80" s="368"/>
    </row>
    <row r="81" spans="2:32" ht="22.5" customHeight="1">
      <c r="B81" s="117"/>
      <c r="C81" s="499"/>
      <c r="D81" s="500"/>
      <c r="E81" s="1328"/>
      <c r="F81" s="1329"/>
      <c r="G81" s="432"/>
      <c r="H81" s="452"/>
      <c r="I81" s="822"/>
      <c r="J81" s="822"/>
      <c r="K81" s="773"/>
      <c r="L81" s="773"/>
      <c r="M81" s="774"/>
      <c r="N81" s="862"/>
      <c r="O81" s="862"/>
      <c r="P81" s="862"/>
      <c r="Q81" s="106"/>
      <c r="S81" s="365"/>
      <c r="T81" s="367"/>
      <c r="U81" s="367"/>
      <c r="V81" s="367"/>
      <c r="W81" s="367"/>
      <c r="X81" s="367"/>
      <c r="Y81" s="367"/>
      <c r="Z81" s="367"/>
      <c r="AA81" s="367"/>
      <c r="AB81" s="367"/>
      <c r="AC81" s="367"/>
      <c r="AD81" s="367"/>
      <c r="AE81" s="367"/>
      <c r="AF81" s="368"/>
    </row>
    <row r="82" spans="2:32" ht="22.5" customHeight="1">
      <c r="B82" s="117"/>
      <c r="C82" s="499"/>
      <c r="D82" s="500"/>
      <c r="E82" s="1328"/>
      <c r="F82" s="1329"/>
      <c r="G82" s="432"/>
      <c r="H82" s="452"/>
      <c r="I82" s="822"/>
      <c r="J82" s="822"/>
      <c r="K82" s="773"/>
      <c r="L82" s="773"/>
      <c r="M82" s="774"/>
      <c r="N82" s="862"/>
      <c r="O82" s="862"/>
      <c r="P82" s="862"/>
      <c r="Q82" s="106"/>
      <c r="S82" s="365"/>
      <c r="T82" s="367"/>
      <c r="U82" s="367"/>
      <c r="V82" s="367"/>
      <c r="W82" s="367"/>
      <c r="X82" s="367"/>
      <c r="Y82" s="367"/>
      <c r="Z82" s="367"/>
      <c r="AA82" s="367"/>
      <c r="AB82" s="367"/>
      <c r="AC82" s="367"/>
      <c r="AD82" s="367"/>
      <c r="AE82" s="367"/>
      <c r="AF82" s="368"/>
    </row>
    <row r="83" spans="2:32" ht="22.5" customHeight="1">
      <c r="B83" s="117"/>
      <c r="C83" s="499"/>
      <c r="D83" s="500"/>
      <c r="E83" s="1328"/>
      <c r="F83" s="1329"/>
      <c r="G83" s="425"/>
      <c r="H83" s="453"/>
      <c r="I83" s="823"/>
      <c r="J83" s="823"/>
      <c r="K83" s="775"/>
      <c r="L83" s="775"/>
      <c r="M83" s="776"/>
      <c r="N83" s="862"/>
      <c r="O83" s="862"/>
      <c r="P83" s="862"/>
      <c r="Q83" s="106"/>
      <c r="S83" s="365"/>
      <c r="T83" s="367"/>
      <c r="U83" s="367"/>
      <c r="V83" s="367"/>
      <c r="W83" s="367"/>
      <c r="X83" s="367"/>
      <c r="Y83" s="367"/>
      <c r="Z83" s="367"/>
      <c r="AA83" s="367"/>
      <c r="AB83" s="367"/>
      <c r="AC83" s="367"/>
      <c r="AD83" s="367"/>
      <c r="AE83" s="367"/>
      <c r="AF83" s="368"/>
    </row>
    <row r="84" spans="2:32" ht="22.5" customHeight="1">
      <c r="B84" s="117"/>
      <c r="C84" s="499"/>
      <c r="D84" s="500"/>
      <c r="E84" s="1328"/>
      <c r="F84" s="1329"/>
      <c r="G84" s="425"/>
      <c r="H84" s="453"/>
      <c r="I84" s="823"/>
      <c r="J84" s="823"/>
      <c r="K84" s="775"/>
      <c r="L84" s="775"/>
      <c r="M84" s="776"/>
      <c r="N84" s="862"/>
      <c r="O84" s="862"/>
      <c r="P84" s="862"/>
      <c r="Q84" s="106"/>
      <c r="S84" s="365"/>
      <c r="T84" s="367"/>
      <c r="U84" s="367"/>
      <c r="V84" s="367"/>
      <c r="W84" s="367"/>
      <c r="X84" s="367"/>
      <c r="Y84" s="367"/>
      <c r="Z84" s="367"/>
      <c r="AA84" s="367"/>
      <c r="AB84" s="367"/>
      <c r="AC84" s="367"/>
      <c r="AD84" s="367"/>
      <c r="AE84" s="367"/>
      <c r="AF84" s="368"/>
    </row>
    <row r="85" spans="2:32" ht="22.5" customHeight="1">
      <c r="B85" s="117"/>
      <c r="C85" s="499"/>
      <c r="D85" s="500"/>
      <c r="E85" s="1318"/>
      <c r="F85" s="1317"/>
      <c r="G85" s="425"/>
      <c r="H85" s="453"/>
      <c r="I85" s="823"/>
      <c r="J85" s="823"/>
      <c r="K85" s="775"/>
      <c r="L85" s="775"/>
      <c r="M85" s="776"/>
      <c r="N85" s="862"/>
      <c r="O85" s="862"/>
      <c r="P85" s="862"/>
      <c r="Q85" s="106"/>
      <c r="S85" s="365"/>
      <c r="T85" s="367"/>
      <c r="U85" s="367"/>
      <c r="V85" s="367"/>
      <c r="W85" s="367"/>
      <c r="X85" s="367"/>
      <c r="Y85" s="367"/>
      <c r="Z85" s="367"/>
      <c r="AA85" s="367"/>
      <c r="AB85" s="367"/>
      <c r="AC85" s="367"/>
      <c r="AD85" s="367"/>
      <c r="AE85" s="367"/>
      <c r="AF85" s="368"/>
    </row>
    <row r="86" spans="2:32" ht="22.5" customHeight="1">
      <c r="B86" s="117"/>
      <c r="C86" s="499"/>
      <c r="D86" s="500"/>
      <c r="E86" s="1318"/>
      <c r="F86" s="1317"/>
      <c r="G86" s="434"/>
      <c r="H86" s="454"/>
      <c r="I86" s="824"/>
      <c r="J86" s="824"/>
      <c r="K86" s="777"/>
      <c r="L86" s="777"/>
      <c r="M86" s="778"/>
      <c r="N86" s="862"/>
      <c r="O86" s="862"/>
      <c r="P86" s="862"/>
      <c r="Q86" s="106"/>
      <c r="S86" s="365"/>
      <c r="T86" s="367"/>
      <c r="U86" s="367"/>
      <c r="V86" s="367"/>
      <c r="W86" s="367"/>
      <c r="X86" s="367"/>
      <c r="Y86" s="367"/>
      <c r="Z86" s="367"/>
      <c r="AA86" s="367"/>
      <c r="AB86" s="367"/>
      <c r="AC86" s="367"/>
      <c r="AD86" s="367"/>
      <c r="AE86" s="367"/>
      <c r="AF86" s="368"/>
    </row>
    <row r="87" spans="2:32" ht="22.5" customHeight="1">
      <c r="B87" s="117"/>
      <c r="C87" s="499"/>
      <c r="D87" s="500"/>
      <c r="E87" s="1318"/>
      <c r="F87" s="1317"/>
      <c r="G87" s="434"/>
      <c r="H87" s="454"/>
      <c r="I87" s="824"/>
      <c r="J87" s="824"/>
      <c r="K87" s="777"/>
      <c r="L87" s="777"/>
      <c r="M87" s="778"/>
      <c r="N87" s="862"/>
      <c r="O87" s="862"/>
      <c r="P87" s="862"/>
      <c r="Q87" s="106"/>
      <c r="S87" s="365"/>
      <c r="T87" s="367"/>
      <c r="U87" s="367"/>
      <c r="V87" s="367"/>
      <c r="W87" s="367"/>
      <c r="X87" s="367"/>
      <c r="Y87" s="367"/>
      <c r="Z87" s="367"/>
      <c r="AA87" s="367"/>
      <c r="AB87" s="367"/>
      <c r="AC87" s="367"/>
      <c r="AD87" s="367"/>
      <c r="AE87" s="367"/>
      <c r="AF87" s="368"/>
    </row>
    <row r="88" spans="2:32" ht="22.5" customHeight="1">
      <c r="B88" s="117"/>
      <c r="C88" s="501"/>
      <c r="D88" s="502"/>
      <c r="E88" s="1323"/>
      <c r="F88" s="1324"/>
      <c r="G88" s="429"/>
      <c r="H88" s="455"/>
      <c r="I88" s="825"/>
      <c r="J88" s="825"/>
      <c r="K88" s="779"/>
      <c r="L88" s="779"/>
      <c r="M88" s="780"/>
      <c r="N88" s="862"/>
      <c r="O88" s="862"/>
      <c r="P88" s="862"/>
      <c r="Q88" s="106"/>
      <c r="S88" s="365"/>
      <c r="T88" s="367"/>
      <c r="U88" s="367"/>
      <c r="V88" s="367"/>
      <c r="W88" s="367"/>
      <c r="X88" s="367"/>
      <c r="Y88" s="367"/>
      <c r="Z88" s="367"/>
      <c r="AA88" s="367"/>
      <c r="AB88" s="367"/>
      <c r="AC88" s="367"/>
      <c r="AD88" s="367"/>
      <c r="AE88" s="367"/>
      <c r="AF88" s="368"/>
    </row>
    <row r="89" spans="2:32" ht="22.5" customHeight="1" thickBot="1">
      <c r="B89" s="117"/>
      <c r="C89" s="1313" t="s">
        <v>823</v>
      </c>
      <c r="D89" s="1314"/>
      <c r="E89" s="1314"/>
      <c r="F89" s="1315"/>
      <c r="G89" s="127">
        <f>SUM(G79:G88)</f>
        <v>0</v>
      </c>
      <c r="H89" s="127">
        <f>SUM(H79:H88)</f>
        <v>0</v>
      </c>
      <c r="I89" s="127">
        <f>SUM(I79:I88)</f>
        <v>0</v>
      </c>
      <c r="J89" s="127">
        <f>SUM(J79:J88)</f>
        <v>0</v>
      </c>
      <c r="K89" s="207"/>
      <c r="L89" s="148"/>
      <c r="M89" s="148"/>
      <c r="N89" s="148"/>
      <c r="O89" s="148"/>
      <c r="P89" s="148"/>
      <c r="Q89" s="106"/>
      <c r="S89" s="365"/>
      <c r="T89" s="367"/>
      <c r="U89" s="367"/>
      <c r="V89" s="367"/>
      <c r="W89" s="367"/>
      <c r="X89" s="367"/>
      <c r="Y89" s="367"/>
      <c r="Z89" s="367"/>
      <c r="AA89" s="367"/>
      <c r="AB89" s="367"/>
      <c r="AC89" s="367"/>
      <c r="AD89" s="367"/>
      <c r="AE89" s="367"/>
      <c r="AF89" s="368"/>
    </row>
    <row r="90" spans="2:32" ht="22.5" customHeight="1">
      <c r="B90" s="117"/>
      <c r="C90" s="208"/>
      <c r="D90" s="208"/>
      <c r="E90" s="209"/>
      <c r="F90" s="209"/>
      <c r="G90" s="210"/>
      <c r="H90" s="210"/>
      <c r="I90" s="210"/>
      <c r="J90" s="210"/>
      <c r="K90" s="209"/>
      <c r="L90" s="209"/>
      <c r="M90" s="211"/>
      <c r="N90" s="211"/>
      <c r="O90" s="211"/>
      <c r="P90" s="211"/>
      <c r="Q90" s="106"/>
      <c r="S90" s="365"/>
      <c r="T90" s="367"/>
      <c r="U90" s="367"/>
      <c r="V90" s="367"/>
      <c r="W90" s="367"/>
      <c r="X90" s="367"/>
      <c r="Y90" s="367"/>
      <c r="Z90" s="367"/>
      <c r="AA90" s="367"/>
      <c r="AB90" s="367"/>
      <c r="AC90" s="367"/>
      <c r="AD90" s="367"/>
      <c r="AE90" s="367"/>
      <c r="AF90" s="368"/>
    </row>
    <row r="91" spans="2:32" s="115" customFormat="1" ht="30" customHeight="1">
      <c r="B91" s="111"/>
      <c r="C91" s="66" t="s">
        <v>18</v>
      </c>
      <c r="D91" s="22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114"/>
      <c r="S91" s="365"/>
      <c r="T91" s="367"/>
      <c r="U91" s="367"/>
      <c r="V91" s="367"/>
      <c r="W91" s="367"/>
      <c r="X91" s="367"/>
      <c r="Y91" s="367"/>
      <c r="Z91" s="367"/>
      <c r="AA91" s="367"/>
      <c r="AB91" s="367"/>
      <c r="AC91" s="367"/>
      <c r="AD91" s="367"/>
      <c r="AE91" s="367"/>
      <c r="AF91" s="368"/>
    </row>
    <row r="92" spans="2:32" ht="22.5" customHeight="1">
      <c r="B92" s="117"/>
      <c r="C92" s="1299" t="s">
        <v>1170</v>
      </c>
      <c r="D92" s="1301"/>
      <c r="E92" s="1326" t="s">
        <v>818</v>
      </c>
      <c r="F92" s="1327"/>
      <c r="G92" s="829">
        <f>ejercicio-1</f>
        <v>2018</v>
      </c>
      <c r="H92" s="829">
        <f>ejercicio</f>
        <v>2019</v>
      </c>
      <c r="I92" s="829" t="s">
        <v>820</v>
      </c>
      <c r="J92" s="829" t="s">
        <v>822</v>
      </c>
      <c r="K92" s="829" t="s">
        <v>821</v>
      </c>
      <c r="L92" s="97"/>
      <c r="M92" s="97"/>
      <c r="N92" s="97"/>
      <c r="O92" s="97"/>
      <c r="P92" s="97"/>
      <c r="Q92" s="106"/>
      <c r="S92" s="365"/>
      <c r="T92" s="367"/>
      <c r="U92" s="367"/>
      <c r="V92" s="367"/>
      <c r="W92" s="367"/>
      <c r="X92" s="367"/>
      <c r="Y92" s="367"/>
      <c r="Z92" s="367"/>
      <c r="AA92" s="367"/>
      <c r="AB92" s="367"/>
      <c r="AC92" s="367"/>
      <c r="AD92" s="367"/>
      <c r="AE92" s="367"/>
      <c r="AF92" s="368"/>
    </row>
    <row r="93" spans="2:32" ht="22.5" customHeight="1">
      <c r="B93" s="117"/>
      <c r="C93" s="924" t="s">
        <v>361</v>
      </c>
      <c r="D93" s="498"/>
      <c r="E93" s="1316" t="s">
        <v>236</v>
      </c>
      <c r="F93" s="1317"/>
      <c r="G93" s="421">
        <f>6119021.4+18880955.9</f>
        <v>24999977.299999997</v>
      </c>
      <c r="H93" s="450"/>
      <c r="I93" s="771"/>
      <c r="J93" s="771"/>
      <c r="K93" s="772"/>
      <c r="L93" s="97"/>
      <c r="M93" s="97"/>
      <c r="N93" s="97"/>
      <c r="O93" s="97"/>
      <c r="P93" s="97"/>
      <c r="Q93" s="106"/>
      <c r="S93" s="365"/>
      <c r="T93" s="367"/>
      <c r="U93" s="367"/>
      <c r="V93" s="367"/>
      <c r="W93" s="367"/>
      <c r="X93" s="367"/>
      <c r="Y93" s="367"/>
      <c r="Z93" s="367"/>
      <c r="AA93" s="367"/>
      <c r="AB93" s="367"/>
      <c r="AC93" s="367"/>
      <c r="AD93" s="367"/>
      <c r="AE93" s="367"/>
      <c r="AF93" s="368"/>
    </row>
    <row r="94" spans="2:32" ht="22.5" customHeight="1">
      <c r="B94" s="117"/>
      <c r="C94" s="499"/>
      <c r="D94" s="500"/>
      <c r="E94" s="1318"/>
      <c r="F94" s="1317"/>
      <c r="G94" s="432"/>
      <c r="H94" s="452"/>
      <c r="I94" s="773"/>
      <c r="J94" s="773"/>
      <c r="K94" s="774"/>
      <c r="L94" s="97"/>
      <c r="M94" s="97"/>
      <c r="N94" s="97"/>
      <c r="O94" s="97"/>
      <c r="P94" s="97"/>
      <c r="Q94" s="106"/>
      <c r="S94" s="365"/>
      <c r="T94" s="367"/>
      <c r="U94" s="367"/>
      <c r="V94" s="367"/>
      <c r="W94" s="367"/>
      <c r="X94" s="367"/>
      <c r="Y94" s="367"/>
      <c r="Z94" s="367"/>
      <c r="AA94" s="367"/>
      <c r="AB94" s="367"/>
      <c r="AC94" s="367"/>
      <c r="AD94" s="367"/>
      <c r="AE94" s="367"/>
      <c r="AF94" s="368"/>
    </row>
    <row r="95" spans="2:32" ht="22.5" customHeight="1">
      <c r="B95" s="117"/>
      <c r="C95" s="499"/>
      <c r="D95" s="500"/>
      <c r="E95" s="1318"/>
      <c r="F95" s="1317"/>
      <c r="G95" s="432"/>
      <c r="H95" s="452"/>
      <c r="I95" s="773"/>
      <c r="J95" s="773"/>
      <c r="K95" s="774"/>
      <c r="L95" s="97"/>
      <c r="M95" s="97"/>
      <c r="N95" s="97"/>
      <c r="O95" s="97"/>
      <c r="P95" s="97"/>
      <c r="Q95" s="106"/>
      <c r="S95" s="365"/>
      <c r="T95" s="367"/>
      <c r="U95" s="367"/>
      <c r="V95" s="367"/>
      <c r="W95" s="367"/>
      <c r="X95" s="367"/>
      <c r="Y95" s="367"/>
      <c r="Z95" s="367"/>
      <c r="AA95" s="367"/>
      <c r="AB95" s="367"/>
      <c r="AC95" s="367"/>
      <c r="AD95" s="367"/>
      <c r="AE95" s="367"/>
      <c r="AF95" s="368"/>
    </row>
    <row r="96" spans="2:32" ht="22.5" customHeight="1">
      <c r="B96" s="117"/>
      <c r="C96" s="499"/>
      <c r="D96" s="500"/>
      <c r="E96" s="1318"/>
      <c r="F96" s="1317"/>
      <c r="G96" s="432"/>
      <c r="H96" s="452"/>
      <c r="I96" s="773"/>
      <c r="J96" s="773"/>
      <c r="K96" s="774"/>
      <c r="L96" s="97"/>
      <c r="M96" s="97"/>
      <c r="N96" s="97"/>
      <c r="O96" s="97"/>
      <c r="P96" s="97"/>
      <c r="Q96" s="106"/>
      <c r="S96" s="365"/>
      <c r="T96" s="367"/>
      <c r="U96" s="367"/>
      <c r="V96" s="367"/>
      <c r="W96" s="367"/>
      <c r="X96" s="367"/>
      <c r="Y96" s="367"/>
      <c r="Z96" s="367"/>
      <c r="AA96" s="367"/>
      <c r="AB96" s="367"/>
      <c r="AC96" s="367"/>
      <c r="AD96" s="367"/>
      <c r="AE96" s="367"/>
      <c r="AF96" s="368"/>
    </row>
    <row r="97" spans="2:32" ht="22.5" customHeight="1">
      <c r="B97" s="117"/>
      <c r="C97" s="499"/>
      <c r="D97" s="500"/>
      <c r="E97" s="1318"/>
      <c r="F97" s="1317"/>
      <c r="G97" s="425"/>
      <c r="H97" s="453"/>
      <c r="I97" s="775"/>
      <c r="J97" s="775"/>
      <c r="K97" s="776"/>
      <c r="L97" s="97"/>
      <c r="M97" s="97"/>
      <c r="N97" s="97"/>
      <c r="O97" s="97"/>
      <c r="P97" s="97"/>
      <c r="Q97" s="106"/>
      <c r="S97" s="365"/>
      <c r="T97" s="367"/>
      <c r="U97" s="367"/>
      <c r="V97" s="367"/>
      <c r="W97" s="367"/>
      <c r="X97" s="367"/>
      <c r="Y97" s="367"/>
      <c r="Z97" s="367"/>
      <c r="AA97" s="367"/>
      <c r="AB97" s="367"/>
      <c r="AC97" s="367"/>
      <c r="AD97" s="367"/>
      <c r="AE97" s="367"/>
      <c r="AF97" s="368"/>
    </row>
    <row r="98" spans="2:32" ht="22.5" customHeight="1">
      <c r="B98" s="117"/>
      <c r="C98" s="499"/>
      <c r="D98" s="500"/>
      <c r="E98" s="1318"/>
      <c r="F98" s="1317"/>
      <c r="G98" s="425"/>
      <c r="H98" s="453"/>
      <c r="I98" s="775"/>
      <c r="J98" s="775"/>
      <c r="K98" s="776"/>
      <c r="L98" s="97"/>
      <c r="M98" s="97"/>
      <c r="N98" s="97"/>
      <c r="O98" s="97"/>
      <c r="P98" s="97"/>
      <c r="Q98" s="106"/>
      <c r="S98" s="365"/>
      <c r="T98" s="367"/>
      <c r="U98" s="367"/>
      <c r="V98" s="367"/>
      <c r="W98" s="367"/>
      <c r="X98" s="367"/>
      <c r="Y98" s="367"/>
      <c r="Z98" s="367"/>
      <c r="AA98" s="367"/>
      <c r="AB98" s="367"/>
      <c r="AC98" s="367"/>
      <c r="AD98" s="367"/>
      <c r="AE98" s="367"/>
      <c r="AF98" s="368"/>
    </row>
    <row r="99" spans="2:32" ht="22.5" customHeight="1">
      <c r="B99" s="117"/>
      <c r="C99" s="499"/>
      <c r="D99" s="500"/>
      <c r="E99" s="1318"/>
      <c r="F99" s="1317"/>
      <c r="G99" s="425"/>
      <c r="H99" s="453"/>
      <c r="I99" s="775"/>
      <c r="J99" s="775"/>
      <c r="K99" s="776"/>
      <c r="L99" s="97"/>
      <c r="M99" s="97"/>
      <c r="N99" s="97"/>
      <c r="O99" s="97"/>
      <c r="P99" s="97"/>
      <c r="Q99" s="106"/>
      <c r="S99" s="365"/>
      <c r="T99" s="367"/>
      <c r="U99" s="367"/>
      <c r="V99" s="367"/>
      <c r="W99" s="367"/>
      <c r="X99" s="367"/>
      <c r="Y99" s="367"/>
      <c r="Z99" s="367"/>
      <c r="AA99" s="367"/>
      <c r="AB99" s="367"/>
      <c r="AC99" s="367"/>
      <c r="AD99" s="367"/>
      <c r="AE99" s="367"/>
      <c r="AF99" s="368"/>
    </row>
    <row r="100" spans="2:32" ht="22.5" customHeight="1">
      <c r="B100" s="117"/>
      <c r="C100" s="499"/>
      <c r="D100" s="500"/>
      <c r="E100" s="1318"/>
      <c r="F100" s="1317"/>
      <c r="G100" s="434"/>
      <c r="H100" s="454"/>
      <c r="I100" s="777"/>
      <c r="J100" s="777"/>
      <c r="K100" s="778"/>
      <c r="L100" s="97"/>
      <c r="M100" s="97"/>
      <c r="N100" s="97"/>
      <c r="O100" s="97"/>
      <c r="P100" s="97"/>
      <c r="Q100" s="106"/>
      <c r="S100" s="365"/>
      <c r="T100" s="367"/>
      <c r="U100" s="367"/>
      <c r="V100" s="367"/>
      <c r="W100" s="367"/>
      <c r="X100" s="367"/>
      <c r="Y100" s="367"/>
      <c r="Z100" s="367"/>
      <c r="AA100" s="367"/>
      <c r="AB100" s="367"/>
      <c r="AC100" s="367"/>
      <c r="AD100" s="367"/>
      <c r="AE100" s="367"/>
      <c r="AF100" s="368"/>
    </row>
    <row r="101" spans="2:32" ht="22.5" customHeight="1">
      <c r="B101" s="117"/>
      <c r="C101" s="499"/>
      <c r="D101" s="500"/>
      <c r="E101" s="1318"/>
      <c r="F101" s="1317"/>
      <c r="G101" s="434"/>
      <c r="H101" s="454"/>
      <c r="I101" s="777"/>
      <c r="J101" s="777"/>
      <c r="K101" s="778"/>
      <c r="L101" s="97"/>
      <c r="M101" s="97"/>
      <c r="N101" s="97"/>
      <c r="O101" s="97"/>
      <c r="P101" s="97"/>
      <c r="Q101" s="106"/>
      <c r="S101" s="365"/>
      <c r="T101" s="367"/>
      <c r="U101" s="367"/>
      <c r="V101" s="367"/>
      <c r="W101" s="367"/>
      <c r="X101" s="367"/>
      <c r="Y101" s="367"/>
      <c r="Z101" s="367"/>
      <c r="AA101" s="367"/>
      <c r="AB101" s="367"/>
      <c r="AC101" s="367"/>
      <c r="AD101" s="367"/>
      <c r="AE101" s="367"/>
      <c r="AF101" s="368"/>
    </row>
    <row r="102" spans="2:32" ht="22.5" customHeight="1">
      <c r="B102" s="117"/>
      <c r="C102" s="501"/>
      <c r="D102" s="502"/>
      <c r="E102" s="1318"/>
      <c r="F102" s="1317"/>
      <c r="G102" s="429"/>
      <c r="H102" s="455"/>
      <c r="I102" s="779"/>
      <c r="J102" s="779"/>
      <c r="K102" s="780"/>
      <c r="L102" s="97"/>
      <c r="M102" s="97"/>
      <c r="N102" s="97"/>
      <c r="O102" s="97"/>
      <c r="P102" s="97"/>
      <c r="Q102" s="106"/>
      <c r="S102" s="365"/>
      <c r="T102" s="367"/>
      <c r="U102" s="367"/>
      <c r="V102" s="367"/>
      <c r="W102" s="367"/>
      <c r="X102" s="367"/>
      <c r="Y102" s="367"/>
      <c r="Z102" s="367"/>
      <c r="AA102" s="367"/>
      <c r="AB102" s="367"/>
      <c r="AC102" s="367"/>
      <c r="AD102" s="367"/>
      <c r="AE102" s="367"/>
      <c r="AF102" s="368"/>
    </row>
    <row r="103" spans="2:32" ht="22.5" customHeight="1" thickBot="1">
      <c r="B103" s="117"/>
      <c r="C103" s="1313" t="s">
        <v>19</v>
      </c>
      <c r="D103" s="1314"/>
      <c r="E103" s="1314"/>
      <c r="F103" s="1315"/>
      <c r="G103" s="127">
        <f>SUM(G93:G102)</f>
        <v>24999977.299999997</v>
      </c>
      <c r="H103" s="127">
        <f>SUM(H93:H102)</f>
        <v>0</v>
      </c>
      <c r="I103" s="96"/>
      <c r="J103" s="96"/>
      <c r="K103" s="165"/>
      <c r="L103" s="148"/>
      <c r="M103" s="148"/>
      <c r="N103" s="148"/>
      <c r="O103" s="148"/>
      <c r="P103" s="148"/>
      <c r="Q103" s="106"/>
      <c r="S103" s="365"/>
      <c r="T103" s="367"/>
      <c r="U103" s="367"/>
      <c r="V103" s="367"/>
      <c r="W103" s="367"/>
      <c r="X103" s="367"/>
      <c r="Y103" s="367"/>
      <c r="Z103" s="367"/>
      <c r="AA103" s="367"/>
      <c r="AB103" s="367"/>
      <c r="AC103" s="367"/>
      <c r="AD103" s="367"/>
      <c r="AE103" s="367"/>
      <c r="AF103" s="368"/>
    </row>
    <row r="104" spans="2:32" ht="22.5" customHeight="1">
      <c r="B104" s="117"/>
      <c r="C104" s="208"/>
      <c r="D104" s="208"/>
      <c r="E104" s="209"/>
      <c r="F104" s="209"/>
      <c r="G104" s="210"/>
      <c r="H104" s="210"/>
      <c r="I104" s="210"/>
      <c r="J104" s="210"/>
      <c r="K104" s="210"/>
      <c r="L104" s="96"/>
      <c r="M104" s="96"/>
      <c r="N104" s="165"/>
      <c r="O104" s="209"/>
      <c r="P104" s="211"/>
      <c r="Q104" s="106"/>
      <c r="S104" s="365"/>
      <c r="T104" s="367"/>
      <c r="U104" s="367"/>
      <c r="V104" s="367"/>
      <c r="W104" s="367"/>
      <c r="X104" s="367"/>
      <c r="Y104" s="367"/>
      <c r="Z104" s="367"/>
      <c r="AA104" s="367"/>
      <c r="AB104" s="367"/>
      <c r="AC104" s="367"/>
      <c r="AD104" s="367"/>
      <c r="AE104" s="367"/>
      <c r="AF104" s="368"/>
    </row>
    <row r="105" spans="2:32" ht="22.5" customHeight="1">
      <c r="B105" s="117"/>
      <c r="C105" s="166" t="s">
        <v>1173</v>
      </c>
      <c r="D105" s="164"/>
      <c r="E105" s="165"/>
      <c r="F105" s="165"/>
      <c r="G105" s="165"/>
      <c r="H105" s="165"/>
      <c r="I105" s="165"/>
      <c r="J105" s="165"/>
      <c r="K105" s="165"/>
      <c r="L105" s="96"/>
      <c r="M105" s="96"/>
      <c r="N105" s="165"/>
      <c r="O105" s="165"/>
      <c r="P105" s="96"/>
      <c r="Q105" s="106"/>
      <c r="S105" s="365"/>
      <c r="T105" s="367"/>
      <c r="U105" s="367"/>
      <c r="V105" s="367"/>
      <c r="W105" s="367"/>
      <c r="X105" s="367"/>
      <c r="Y105" s="367"/>
      <c r="Z105" s="367"/>
      <c r="AA105" s="367"/>
      <c r="AB105" s="367"/>
      <c r="AC105" s="367"/>
      <c r="AD105" s="367"/>
      <c r="AE105" s="367"/>
      <c r="AF105" s="368"/>
    </row>
    <row r="106" spans="2:32" ht="17.25">
      <c r="B106" s="117"/>
      <c r="C106" s="815"/>
      <c r="D106" s="815"/>
      <c r="E106" s="816"/>
      <c r="F106" s="816"/>
      <c r="G106" s="816"/>
      <c r="H106" s="816"/>
      <c r="I106" s="816"/>
      <c r="J106" s="816"/>
      <c r="K106" s="816"/>
      <c r="L106" s="816"/>
      <c r="M106" s="816"/>
      <c r="N106" s="816"/>
      <c r="O106" s="816"/>
      <c r="P106" s="817"/>
      <c r="Q106" s="106"/>
      <c r="S106" s="365"/>
      <c r="T106" s="367"/>
      <c r="U106" s="367"/>
      <c r="V106" s="367"/>
      <c r="W106" s="367"/>
      <c r="X106" s="367"/>
      <c r="Y106" s="367"/>
      <c r="Z106" s="367"/>
      <c r="AA106" s="367"/>
      <c r="AB106" s="367"/>
      <c r="AC106" s="367"/>
      <c r="AD106" s="367"/>
      <c r="AE106" s="367"/>
      <c r="AF106" s="368"/>
    </row>
    <row r="107" spans="2:32" ht="17.25">
      <c r="B107" s="117"/>
      <c r="C107" s="818"/>
      <c r="D107" s="818"/>
      <c r="E107" s="819"/>
      <c r="F107" s="819"/>
      <c r="G107" s="819"/>
      <c r="H107" s="819"/>
      <c r="I107" s="819"/>
      <c r="J107" s="819"/>
      <c r="K107" s="819"/>
      <c r="L107" s="819"/>
      <c r="M107" s="819"/>
      <c r="N107" s="819"/>
      <c r="O107" s="819"/>
      <c r="P107" s="820"/>
      <c r="Q107" s="106"/>
      <c r="S107" s="365"/>
      <c r="T107" s="367"/>
      <c r="U107" s="367"/>
      <c r="V107" s="367"/>
      <c r="W107" s="367"/>
      <c r="X107" s="367"/>
      <c r="Y107" s="367"/>
      <c r="Z107" s="367"/>
      <c r="AA107" s="367"/>
      <c r="AB107" s="367"/>
      <c r="AC107" s="367"/>
      <c r="AD107" s="367"/>
      <c r="AE107" s="367"/>
      <c r="AF107" s="368"/>
    </row>
    <row r="108" spans="2:32" ht="17.25">
      <c r="B108" s="117"/>
      <c r="C108" s="818"/>
      <c r="D108" s="818"/>
      <c r="E108" s="819"/>
      <c r="F108" s="819"/>
      <c r="G108" s="819"/>
      <c r="H108" s="819"/>
      <c r="I108" s="819"/>
      <c r="J108" s="819"/>
      <c r="K108" s="819"/>
      <c r="L108" s="819"/>
      <c r="M108" s="819"/>
      <c r="N108" s="819"/>
      <c r="O108" s="819"/>
      <c r="P108" s="820"/>
      <c r="Q108" s="106"/>
      <c r="S108" s="365"/>
      <c r="T108" s="367"/>
      <c r="U108" s="367"/>
      <c r="V108" s="367"/>
      <c r="W108" s="367"/>
      <c r="X108" s="367"/>
      <c r="Y108" s="367"/>
      <c r="Z108" s="367"/>
      <c r="AA108" s="367"/>
      <c r="AB108" s="367"/>
      <c r="AC108" s="367"/>
      <c r="AD108" s="367"/>
      <c r="AE108" s="367"/>
      <c r="AF108" s="368"/>
    </row>
    <row r="109" spans="2:32" ht="17.25">
      <c r="B109" s="117"/>
      <c r="C109" s="818"/>
      <c r="D109" s="818"/>
      <c r="E109" s="819"/>
      <c r="F109" s="819"/>
      <c r="G109" s="819"/>
      <c r="H109" s="819"/>
      <c r="I109" s="819"/>
      <c r="J109" s="819"/>
      <c r="K109" s="819"/>
      <c r="L109" s="819"/>
      <c r="M109" s="819"/>
      <c r="N109" s="819"/>
      <c r="O109" s="819"/>
      <c r="P109" s="820"/>
      <c r="Q109" s="106"/>
      <c r="S109" s="365"/>
      <c r="T109" s="367"/>
      <c r="U109" s="367"/>
      <c r="V109" s="367"/>
      <c r="W109" s="367"/>
      <c r="X109" s="367"/>
      <c r="Y109" s="367"/>
      <c r="Z109" s="367"/>
      <c r="AA109" s="367"/>
      <c r="AB109" s="367"/>
      <c r="AC109" s="367"/>
      <c r="AD109" s="367"/>
      <c r="AE109" s="367"/>
      <c r="AF109" s="368"/>
    </row>
    <row r="110" spans="2:32" ht="17.25">
      <c r="B110" s="117"/>
      <c r="C110" s="818"/>
      <c r="D110" s="818"/>
      <c r="E110" s="819"/>
      <c r="F110" s="819"/>
      <c r="G110" s="819"/>
      <c r="H110" s="819"/>
      <c r="I110" s="819"/>
      <c r="J110" s="819"/>
      <c r="K110" s="819"/>
      <c r="L110" s="819"/>
      <c r="M110" s="819"/>
      <c r="N110" s="819"/>
      <c r="O110" s="819"/>
      <c r="P110" s="820"/>
      <c r="Q110" s="106"/>
      <c r="S110" s="365"/>
      <c r="T110" s="367"/>
      <c r="U110" s="367"/>
      <c r="V110" s="367"/>
      <c r="W110" s="367"/>
      <c r="X110" s="367"/>
      <c r="Y110" s="367"/>
      <c r="Z110" s="367"/>
      <c r="AA110" s="367"/>
      <c r="AB110" s="367"/>
      <c r="AC110" s="367"/>
      <c r="AD110" s="367"/>
      <c r="AE110" s="367"/>
      <c r="AF110" s="368"/>
    </row>
    <row r="111" spans="2:32" ht="17.25">
      <c r="B111" s="117"/>
      <c r="C111" s="818"/>
      <c r="D111" s="818"/>
      <c r="E111" s="819"/>
      <c r="F111" s="819"/>
      <c r="G111" s="819"/>
      <c r="H111" s="819"/>
      <c r="I111" s="819"/>
      <c r="J111" s="819"/>
      <c r="K111" s="819"/>
      <c r="L111" s="819"/>
      <c r="M111" s="819"/>
      <c r="N111" s="819"/>
      <c r="O111" s="819"/>
      <c r="P111" s="820"/>
      <c r="Q111" s="106"/>
      <c r="S111" s="365"/>
      <c r="T111" s="367"/>
      <c r="U111" s="367"/>
      <c r="V111" s="367"/>
      <c r="W111" s="367"/>
      <c r="X111" s="367"/>
      <c r="Y111" s="367"/>
      <c r="Z111" s="367"/>
      <c r="AA111" s="367"/>
      <c r="AB111" s="367"/>
      <c r="AC111" s="367"/>
      <c r="AD111" s="367"/>
      <c r="AE111" s="367"/>
      <c r="AF111" s="368"/>
    </row>
    <row r="112" spans="2:32" ht="17.25">
      <c r="B112" s="117"/>
      <c r="C112" s="818"/>
      <c r="D112" s="818"/>
      <c r="E112" s="819"/>
      <c r="F112" s="819"/>
      <c r="G112" s="819"/>
      <c r="H112" s="819"/>
      <c r="I112" s="819"/>
      <c r="J112" s="819"/>
      <c r="K112" s="819"/>
      <c r="L112" s="819"/>
      <c r="M112" s="819"/>
      <c r="N112" s="819"/>
      <c r="O112" s="819"/>
      <c r="P112" s="820"/>
      <c r="Q112" s="106"/>
      <c r="S112" s="365"/>
      <c r="T112" s="367"/>
      <c r="U112" s="367"/>
      <c r="V112" s="367"/>
      <c r="W112" s="367"/>
      <c r="X112" s="367"/>
      <c r="Y112" s="367"/>
      <c r="Z112" s="367"/>
      <c r="AA112" s="367"/>
      <c r="AB112" s="367"/>
      <c r="AC112" s="367"/>
      <c r="AD112" s="367"/>
      <c r="AE112" s="367"/>
      <c r="AF112" s="368"/>
    </row>
    <row r="113" spans="2:32" ht="17.25">
      <c r="B113" s="117"/>
      <c r="C113" s="818"/>
      <c r="D113" s="818"/>
      <c r="E113" s="819"/>
      <c r="F113" s="819"/>
      <c r="G113" s="819"/>
      <c r="H113" s="819"/>
      <c r="I113" s="819"/>
      <c r="J113" s="819"/>
      <c r="K113" s="819"/>
      <c r="L113" s="819"/>
      <c r="M113" s="819"/>
      <c r="N113" s="819"/>
      <c r="O113" s="819"/>
      <c r="P113" s="820"/>
      <c r="Q113" s="106"/>
      <c r="S113" s="365"/>
      <c r="T113" s="367"/>
      <c r="U113" s="367"/>
      <c r="V113" s="367"/>
      <c r="W113" s="367"/>
      <c r="X113" s="367"/>
      <c r="Y113" s="367"/>
      <c r="Z113" s="367"/>
      <c r="AA113" s="367"/>
      <c r="AB113" s="367"/>
      <c r="AC113" s="367"/>
      <c r="AD113" s="367"/>
      <c r="AE113" s="367"/>
      <c r="AF113" s="368"/>
    </row>
    <row r="114" spans="2:32" ht="17.25">
      <c r="B114" s="117"/>
      <c r="C114" s="818"/>
      <c r="D114" s="818"/>
      <c r="E114" s="819"/>
      <c r="F114" s="819"/>
      <c r="G114" s="819"/>
      <c r="H114" s="819"/>
      <c r="I114" s="819"/>
      <c r="J114" s="819"/>
      <c r="K114" s="819"/>
      <c r="L114" s="819"/>
      <c r="M114" s="819"/>
      <c r="N114" s="819"/>
      <c r="O114" s="819"/>
      <c r="P114" s="820"/>
      <c r="Q114" s="106"/>
      <c r="S114" s="365"/>
      <c r="T114" s="367"/>
      <c r="U114" s="367"/>
      <c r="V114" s="367"/>
      <c r="W114" s="367"/>
      <c r="X114" s="367"/>
      <c r="Y114" s="367"/>
      <c r="Z114" s="367"/>
      <c r="AA114" s="367"/>
      <c r="AB114" s="367"/>
      <c r="AC114" s="367"/>
      <c r="AD114" s="367"/>
      <c r="AE114" s="367"/>
      <c r="AF114" s="368"/>
    </row>
    <row r="115" spans="2:32" ht="17.25">
      <c r="B115" s="117"/>
      <c r="C115" s="818"/>
      <c r="D115" s="818"/>
      <c r="E115" s="819"/>
      <c r="F115" s="819"/>
      <c r="G115" s="819"/>
      <c r="H115" s="819"/>
      <c r="I115" s="819"/>
      <c r="J115" s="819"/>
      <c r="K115" s="819"/>
      <c r="L115" s="819"/>
      <c r="M115" s="819"/>
      <c r="N115" s="819"/>
      <c r="O115" s="819"/>
      <c r="P115" s="820"/>
      <c r="Q115" s="106"/>
      <c r="S115" s="365"/>
      <c r="T115" s="367"/>
      <c r="U115" s="367"/>
      <c r="V115" s="367"/>
      <c r="W115" s="367"/>
      <c r="X115" s="367"/>
      <c r="Y115" s="367"/>
      <c r="Z115" s="367"/>
      <c r="AA115" s="367"/>
      <c r="AB115" s="367"/>
      <c r="AC115" s="367"/>
      <c r="AD115" s="367"/>
      <c r="AE115" s="367"/>
      <c r="AF115" s="368"/>
    </row>
    <row r="116" spans="2:32" ht="17.25">
      <c r="B116" s="117"/>
      <c r="C116" s="841" t="s">
        <v>1174</v>
      </c>
      <c r="D116" s="838"/>
      <c r="E116" s="839"/>
      <c r="F116" s="839"/>
      <c r="G116" s="839"/>
      <c r="H116" s="839"/>
      <c r="I116" s="839"/>
      <c r="J116" s="839"/>
      <c r="K116" s="839"/>
      <c r="L116" s="839"/>
      <c r="M116" s="839"/>
      <c r="N116" s="839"/>
      <c r="O116" s="839"/>
      <c r="P116" s="840"/>
      <c r="Q116" s="106"/>
      <c r="S116" s="365"/>
      <c r="T116" s="367"/>
      <c r="U116" s="367"/>
      <c r="V116" s="367"/>
      <c r="W116" s="367"/>
      <c r="X116" s="367"/>
      <c r="Y116" s="367"/>
      <c r="Z116" s="367"/>
      <c r="AA116" s="367"/>
      <c r="AB116" s="367"/>
      <c r="AC116" s="367"/>
      <c r="AD116" s="367"/>
      <c r="AE116" s="367"/>
      <c r="AF116" s="368"/>
    </row>
    <row r="117" spans="2:32" ht="17.25">
      <c r="B117" s="117"/>
      <c r="C117" s="842" t="s">
        <v>11</v>
      </c>
      <c r="D117" s="838"/>
      <c r="E117" s="839"/>
      <c r="F117" s="839"/>
      <c r="G117" s="839"/>
      <c r="H117" s="839"/>
      <c r="I117" s="839"/>
      <c r="J117" s="839"/>
      <c r="K117" s="839"/>
      <c r="L117" s="839"/>
      <c r="M117" s="839"/>
      <c r="N117" s="839"/>
      <c r="O117" s="839"/>
      <c r="P117" s="840"/>
      <c r="Q117" s="106"/>
      <c r="S117" s="365"/>
      <c r="T117" s="367"/>
      <c r="U117" s="367"/>
      <c r="V117" s="367"/>
      <c r="W117" s="367"/>
      <c r="X117" s="367"/>
      <c r="Y117" s="367"/>
      <c r="Z117" s="367"/>
      <c r="AA117" s="367"/>
      <c r="AB117" s="367"/>
      <c r="AC117" s="367"/>
      <c r="AD117" s="367"/>
      <c r="AE117" s="367"/>
      <c r="AF117" s="368"/>
    </row>
    <row r="118" spans="2:32" ht="17.25">
      <c r="B118" s="117"/>
      <c r="C118" s="842" t="s">
        <v>9</v>
      </c>
      <c r="D118" s="838"/>
      <c r="E118" s="839"/>
      <c r="F118" s="839"/>
      <c r="G118" s="843">
        <f>ejercicio-1</f>
        <v>2018</v>
      </c>
      <c r="H118" s="839" t="s">
        <v>10</v>
      </c>
      <c r="I118" s="839"/>
      <c r="J118" s="839"/>
      <c r="K118" s="843">
        <f>ejercicio</f>
        <v>2019</v>
      </c>
      <c r="L118" s="839"/>
      <c r="M118" s="839"/>
      <c r="O118" s="839"/>
      <c r="P118" s="840"/>
      <c r="Q118" s="106"/>
      <c r="S118" s="365"/>
      <c r="T118" s="367"/>
      <c r="U118" s="367"/>
      <c r="V118" s="367"/>
      <c r="W118" s="367"/>
      <c r="X118" s="367"/>
      <c r="Y118" s="367"/>
      <c r="Z118" s="367"/>
      <c r="AA118" s="367"/>
      <c r="AB118" s="367"/>
      <c r="AC118" s="367"/>
      <c r="AD118" s="367"/>
      <c r="AE118" s="367"/>
      <c r="AF118" s="368"/>
    </row>
    <row r="119" spans="2:32" ht="17.25">
      <c r="B119" s="117"/>
      <c r="C119" s="842" t="s">
        <v>13</v>
      </c>
      <c r="D119" s="838"/>
      <c r="E119" s="839"/>
      <c r="F119" s="839"/>
      <c r="G119" s="839"/>
      <c r="H119" s="839"/>
      <c r="I119" s="839"/>
      <c r="J119" s="839"/>
      <c r="K119" s="839"/>
      <c r="L119" s="839"/>
      <c r="M119" s="839"/>
      <c r="N119" s="839"/>
      <c r="O119" s="839"/>
      <c r="P119" s="840"/>
      <c r="Q119" s="106"/>
      <c r="S119" s="365"/>
      <c r="T119" s="367"/>
      <c r="U119" s="367"/>
      <c r="V119" s="367"/>
      <c r="W119" s="367"/>
      <c r="X119" s="367"/>
      <c r="Y119" s="367"/>
      <c r="Z119" s="367"/>
      <c r="AA119" s="367"/>
      <c r="AB119" s="367"/>
      <c r="AC119" s="367"/>
      <c r="AD119" s="367"/>
      <c r="AE119" s="367"/>
      <c r="AF119" s="368"/>
    </row>
    <row r="120" spans="2:32" ht="17.25">
      <c r="B120" s="117"/>
      <c r="C120" s="838" t="s">
        <v>12</v>
      </c>
      <c r="D120" s="838"/>
      <c r="E120" s="839"/>
      <c r="F120" s="839"/>
      <c r="G120" s="839"/>
      <c r="H120" s="839"/>
      <c r="I120" s="839"/>
      <c r="J120" s="839"/>
      <c r="K120" s="839"/>
      <c r="L120" s="839"/>
      <c r="M120" s="839"/>
      <c r="N120" s="839"/>
      <c r="O120" s="839"/>
      <c r="P120" s="840"/>
      <c r="Q120" s="106"/>
      <c r="S120" s="365"/>
      <c r="T120" s="367"/>
      <c r="U120" s="367"/>
      <c r="V120" s="367"/>
      <c r="W120" s="367"/>
      <c r="X120" s="367"/>
      <c r="Y120" s="367"/>
      <c r="Z120" s="367"/>
      <c r="AA120" s="367"/>
      <c r="AB120" s="367"/>
      <c r="AC120" s="367"/>
      <c r="AD120" s="367"/>
      <c r="AE120" s="367"/>
      <c r="AF120" s="368"/>
    </row>
    <row r="121" spans="2:32" ht="17.25">
      <c r="B121" s="117"/>
      <c r="C121" s="842" t="s">
        <v>14</v>
      </c>
      <c r="D121" s="838"/>
      <c r="E121" s="839"/>
      <c r="F121" s="839"/>
      <c r="G121" s="839"/>
      <c r="H121" s="839"/>
      <c r="I121" s="839"/>
      <c r="J121" s="839"/>
      <c r="K121" s="839"/>
      <c r="L121" s="839"/>
      <c r="M121" s="839"/>
      <c r="N121" s="839"/>
      <c r="O121" s="839"/>
      <c r="P121" s="840"/>
      <c r="Q121" s="106"/>
      <c r="S121" s="365"/>
      <c r="T121" s="367"/>
      <c r="U121" s="367"/>
      <c r="V121" s="367"/>
      <c r="W121" s="367"/>
      <c r="X121" s="367"/>
      <c r="Y121" s="367"/>
      <c r="Z121" s="367"/>
      <c r="AA121" s="367"/>
      <c r="AB121" s="367"/>
      <c r="AC121" s="367"/>
      <c r="AD121" s="367"/>
      <c r="AE121" s="367"/>
      <c r="AF121" s="368"/>
    </row>
    <row r="122" spans="2:32" ht="17.25">
      <c r="B122" s="117"/>
      <c r="C122" s="838" t="s">
        <v>0</v>
      </c>
      <c r="D122" s="838"/>
      <c r="E122" s="839"/>
      <c r="F122" s="839"/>
      <c r="G122" s="839"/>
      <c r="H122" s="839"/>
      <c r="I122" s="839"/>
      <c r="J122" s="839"/>
      <c r="K122" s="839"/>
      <c r="L122" s="839"/>
      <c r="M122" s="839"/>
      <c r="N122" s="839"/>
      <c r="O122" s="839"/>
      <c r="P122" s="840"/>
      <c r="Q122" s="106"/>
      <c r="S122" s="365"/>
      <c r="T122" s="367"/>
      <c r="U122" s="367"/>
      <c r="V122" s="367"/>
      <c r="W122" s="367"/>
      <c r="X122" s="367"/>
      <c r="Y122" s="367"/>
      <c r="Z122" s="367"/>
      <c r="AA122" s="367"/>
      <c r="AB122" s="367"/>
      <c r="AC122" s="367"/>
      <c r="AD122" s="367"/>
      <c r="AE122" s="367"/>
      <c r="AF122" s="368"/>
    </row>
    <row r="123" spans="2:32" ht="17.25">
      <c r="B123" s="117"/>
      <c r="C123" s="838" t="s">
        <v>20</v>
      </c>
      <c r="D123" s="838"/>
      <c r="E123" s="839"/>
      <c r="F123" s="839"/>
      <c r="G123" s="839"/>
      <c r="H123" s="839"/>
      <c r="I123" s="839"/>
      <c r="J123" s="839"/>
      <c r="K123" s="839"/>
      <c r="L123" s="839"/>
      <c r="M123" s="839"/>
      <c r="N123" s="839"/>
      <c r="O123" s="839"/>
      <c r="P123" s="840"/>
      <c r="Q123" s="106"/>
      <c r="S123" s="365"/>
      <c r="T123" s="367"/>
      <c r="U123" s="367"/>
      <c r="V123" s="367"/>
      <c r="W123" s="367"/>
      <c r="X123" s="367"/>
      <c r="Y123" s="367"/>
      <c r="Z123" s="367"/>
      <c r="AA123" s="367"/>
      <c r="AB123" s="367"/>
      <c r="AC123" s="367"/>
      <c r="AD123" s="367"/>
      <c r="AE123" s="367"/>
      <c r="AF123" s="368"/>
    </row>
    <row r="124" spans="2:32" ht="17.25">
      <c r="B124" s="117"/>
      <c r="C124" s="838" t="s">
        <v>1</v>
      </c>
      <c r="D124" s="838"/>
      <c r="E124" s="839"/>
      <c r="F124" s="839"/>
      <c r="G124" s="839"/>
      <c r="H124" s="839"/>
      <c r="I124" s="839"/>
      <c r="J124" s="839"/>
      <c r="K124" s="839"/>
      <c r="L124" s="839"/>
      <c r="M124" s="839"/>
      <c r="N124" s="839"/>
      <c r="O124" s="839"/>
      <c r="P124" s="840"/>
      <c r="Q124" s="106"/>
      <c r="S124" s="365"/>
      <c r="T124" s="367"/>
      <c r="U124" s="367"/>
      <c r="V124" s="367"/>
      <c r="W124" s="367"/>
      <c r="X124" s="367"/>
      <c r="Y124" s="367"/>
      <c r="Z124" s="367"/>
      <c r="AA124" s="367"/>
      <c r="AB124" s="367"/>
      <c r="AC124" s="367"/>
      <c r="AD124" s="367"/>
      <c r="AE124" s="367"/>
      <c r="AF124" s="368"/>
    </row>
    <row r="125" spans="2:32" ht="17.25">
      <c r="B125" s="117"/>
      <c r="C125" s="842" t="s">
        <v>15</v>
      </c>
      <c r="D125" s="838"/>
      <c r="E125" s="839"/>
      <c r="F125" s="839"/>
      <c r="G125" s="839"/>
      <c r="H125" s="839"/>
      <c r="I125" s="839"/>
      <c r="J125" s="839"/>
      <c r="K125" s="839"/>
      <c r="L125" s="839"/>
      <c r="M125" s="839"/>
      <c r="N125" s="839"/>
      <c r="O125" s="839"/>
      <c r="P125" s="840"/>
      <c r="Q125" s="106"/>
      <c r="S125" s="365"/>
      <c r="T125" s="367"/>
      <c r="U125" s="367"/>
      <c r="V125" s="367"/>
      <c r="W125" s="367"/>
      <c r="X125" s="367"/>
      <c r="Y125" s="367"/>
      <c r="Z125" s="367"/>
      <c r="AA125" s="367"/>
      <c r="AB125" s="367"/>
      <c r="AC125" s="367"/>
      <c r="AD125" s="367"/>
      <c r="AE125" s="367"/>
      <c r="AF125" s="368"/>
    </row>
    <row r="126" spans="2:32" ht="17.25">
      <c r="B126" s="117"/>
      <c r="C126" s="842" t="s">
        <v>22</v>
      </c>
      <c r="D126" s="838"/>
      <c r="E126" s="839"/>
      <c r="F126" s="839"/>
      <c r="G126" s="839"/>
      <c r="H126" s="839"/>
      <c r="I126" s="839"/>
      <c r="J126" s="839"/>
      <c r="K126" s="839"/>
      <c r="L126" s="839"/>
      <c r="M126" s="839"/>
      <c r="N126" s="839"/>
      <c r="O126" s="839"/>
      <c r="P126" s="840"/>
      <c r="Q126" s="106"/>
      <c r="S126" s="365"/>
      <c r="T126" s="367"/>
      <c r="U126" s="367"/>
      <c r="V126" s="367"/>
      <c r="W126" s="367"/>
      <c r="X126" s="367"/>
      <c r="Y126" s="367"/>
      <c r="Z126" s="367"/>
      <c r="AA126" s="367"/>
      <c r="AB126" s="367"/>
      <c r="AC126" s="367"/>
      <c r="AD126" s="367"/>
      <c r="AE126" s="367"/>
      <c r="AF126" s="368"/>
    </row>
    <row r="127" spans="2:32" ht="17.25">
      <c r="B127" s="117"/>
      <c r="C127" s="838" t="s">
        <v>6</v>
      </c>
      <c r="D127" s="838"/>
      <c r="E127" s="839"/>
      <c r="F127" s="839"/>
      <c r="G127" s="839"/>
      <c r="H127" s="839"/>
      <c r="I127" s="839"/>
      <c r="J127" s="839"/>
      <c r="K127" s="839"/>
      <c r="L127" s="839"/>
      <c r="M127" s="839"/>
      <c r="N127" s="839"/>
      <c r="O127" s="839"/>
      <c r="P127" s="840"/>
      <c r="Q127" s="106"/>
      <c r="S127" s="365"/>
      <c r="T127" s="367"/>
      <c r="U127" s="367"/>
      <c r="V127" s="367"/>
      <c r="W127" s="367"/>
      <c r="X127" s="367"/>
      <c r="Y127" s="367"/>
      <c r="Z127" s="367"/>
      <c r="AA127" s="367"/>
      <c r="AB127" s="367"/>
      <c r="AC127" s="367"/>
      <c r="AD127" s="367"/>
      <c r="AE127" s="367"/>
      <c r="AF127" s="368"/>
    </row>
    <row r="128" spans="2:32" ht="17.25">
      <c r="B128" s="117"/>
      <c r="C128" s="842" t="s">
        <v>16</v>
      </c>
      <c r="D128" s="838"/>
      <c r="E128" s="839"/>
      <c r="F128" s="839"/>
      <c r="G128" s="839"/>
      <c r="H128" s="839"/>
      <c r="I128" s="839"/>
      <c r="J128" s="839"/>
      <c r="K128" s="839"/>
      <c r="L128" s="839"/>
      <c r="M128" s="839"/>
      <c r="N128" s="839"/>
      <c r="O128" s="839"/>
      <c r="P128" s="840"/>
      <c r="Q128" s="106"/>
      <c r="S128" s="365"/>
      <c r="T128" s="367"/>
      <c r="U128" s="367"/>
      <c r="V128" s="367"/>
      <c r="W128" s="367"/>
      <c r="X128" s="367"/>
      <c r="Y128" s="367"/>
      <c r="Z128" s="367"/>
      <c r="AA128" s="367"/>
      <c r="AB128" s="367"/>
      <c r="AC128" s="367"/>
      <c r="AD128" s="367"/>
      <c r="AE128" s="367"/>
      <c r="AF128" s="368"/>
    </row>
    <row r="129" spans="2:32" s="850" customFormat="1" ht="17.25">
      <c r="B129" s="844"/>
      <c r="C129" s="845" t="s">
        <v>21</v>
      </c>
      <c r="D129" s="846"/>
      <c r="E129" s="847"/>
      <c r="F129" s="847"/>
      <c r="G129" s="847"/>
      <c r="H129" s="847"/>
      <c r="I129" s="847"/>
      <c r="J129" s="847"/>
      <c r="K129" s="847"/>
      <c r="L129" s="847"/>
      <c r="M129" s="847"/>
      <c r="N129" s="847"/>
      <c r="O129" s="847"/>
      <c r="P129" s="848"/>
      <c r="Q129" s="849"/>
      <c r="S129" s="365"/>
      <c r="T129" s="367"/>
      <c r="U129" s="367"/>
      <c r="V129" s="367"/>
      <c r="W129" s="367"/>
      <c r="X129" s="367"/>
      <c r="Y129" s="367"/>
      <c r="Z129" s="367"/>
      <c r="AA129" s="367"/>
      <c r="AB129" s="367"/>
      <c r="AC129" s="367"/>
      <c r="AD129" s="367"/>
      <c r="AE129" s="367"/>
      <c r="AF129" s="368"/>
    </row>
    <row r="130" spans="2:32" ht="17.25">
      <c r="B130" s="117"/>
      <c r="C130" s="838" t="s">
        <v>7</v>
      </c>
      <c r="D130" s="838"/>
      <c r="E130" s="839"/>
      <c r="F130" s="839"/>
      <c r="G130" s="839"/>
      <c r="H130" s="839"/>
      <c r="I130" s="839"/>
      <c r="J130" s="839"/>
      <c r="K130" s="839"/>
      <c r="L130" s="839"/>
      <c r="M130" s="839"/>
      <c r="N130" s="839"/>
      <c r="O130" s="839"/>
      <c r="P130" s="840"/>
      <c r="Q130" s="106"/>
      <c r="S130" s="365"/>
      <c r="T130" s="367"/>
      <c r="U130" s="367"/>
      <c r="V130" s="367"/>
      <c r="W130" s="367"/>
      <c r="X130" s="367"/>
      <c r="Y130" s="367"/>
      <c r="Z130" s="367"/>
      <c r="AA130" s="367"/>
      <c r="AB130" s="367"/>
      <c r="AC130" s="367"/>
      <c r="AD130" s="367"/>
      <c r="AE130" s="367"/>
      <c r="AF130" s="368"/>
    </row>
    <row r="131" spans="2:32" ht="17.25">
      <c r="B131" s="117"/>
      <c r="C131" s="842" t="s">
        <v>17</v>
      </c>
      <c r="D131" s="838"/>
      <c r="E131" s="839"/>
      <c r="F131" s="839"/>
      <c r="G131" s="839"/>
      <c r="H131" s="839"/>
      <c r="I131" s="839"/>
      <c r="J131" s="839"/>
      <c r="K131" s="839"/>
      <c r="L131" s="839"/>
      <c r="M131" s="839"/>
      <c r="N131" s="839"/>
      <c r="O131" s="839"/>
      <c r="P131" s="840"/>
      <c r="Q131" s="106"/>
      <c r="S131" s="365"/>
      <c r="T131" s="367"/>
      <c r="U131" s="367"/>
      <c r="V131" s="367"/>
      <c r="W131" s="367"/>
      <c r="X131" s="367"/>
      <c r="Y131" s="367"/>
      <c r="Z131" s="367"/>
      <c r="AA131" s="367"/>
      <c r="AB131" s="367"/>
      <c r="AC131" s="367"/>
      <c r="AD131" s="367"/>
      <c r="AE131" s="367"/>
      <c r="AF131" s="368"/>
    </row>
    <row r="132" spans="2:32" ht="17.25">
      <c r="B132" s="117"/>
      <c r="C132" s="838" t="s">
        <v>8</v>
      </c>
      <c r="D132" s="838"/>
      <c r="E132" s="839"/>
      <c r="F132" s="839"/>
      <c r="G132" s="839"/>
      <c r="H132" s="839"/>
      <c r="I132" s="839"/>
      <c r="J132" s="839"/>
      <c r="K132" s="839"/>
      <c r="L132" s="839"/>
      <c r="M132" s="839"/>
      <c r="N132" s="839"/>
      <c r="O132" s="839"/>
      <c r="P132" s="840"/>
      <c r="Q132" s="106"/>
      <c r="S132" s="365"/>
      <c r="T132" s="367"/>
      <c r="U132" s="367"/>
      <c r="V132" s="367"/>
      <c r="W132" s="367"/>
      <c r="X132" s="367"/>
      <c r="Y132" s="367"/>
      <c r="Z132" s="367"/>
      <c r="AA132" s="367"/>
      <c r="AB132" s="367"/>
      <c r="AC132" s="367"/>
      <c r="AD132" s="367"/>
      <c r="AE132" s="367"/>
      <c r="AF132" s="368"/>
    </row>
    <row r="133" spans="2:32" ht="22.5" customHeight="1" thickBot="1">
      <c r="B133" s="121"/>
      <c r="C133" s="1239"/>
      <c r="D133" s="1239"/>
      <c r="E133" s="1239"/>
      <c r="F133" s="1239"/>
      <c r="G133" s="1239"/>
      <c r="H133" s="53"/>
      <c r="I133" s="53"/>
      <c r="J133" s="53"/>
      <c r="K133" s="53"/>
      <c r="L133" s="53"/>
      <c r="M133" s="53"/>
      <c r="N133" s="53"/>
      <c r="O133" s="53"/>
      <c r="P133" s="122"/>
      <c r="Q133" s="123"/>
      <c r="S133" s="381"/>
      <c r="T133" s="382"/>
      <c r="U133" s="382"/>
      <c r="V133" s="382"/>
      <c r="W133" s="382"/>
      <c r="X133" s="382"/>
      <c r="Y133" s="382"/>
      <c r="Z133" s="382"/>
      <c r="AA133" s="382"/>
      <c r="AB133" s="382"/>
      <c r="AC133" s="382"/>
      <c r="AD133" s="382"/>
      <c r="AE133" s="382"/>
      <c r="AF133" s="383"/>
    </row>
    <row r="134" spans="3:18" ht="22.5" customHeight="1">
      <c r="C134" s="104"/>
      <c r="D134" s="104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R134" s="97" t="s">
        <v>154</v>
      </c>
    </row>
    <row r="135" spans="3:16" ht="12.75">
      <c r="C135" s="124" t="s">
        <v>451</v>
      </c>
      <c r="D135" s="104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95" t="s">
        <v>433</v>
      </c>
    </row>
    <row r="136" spans="3:16" ht="12.75">
      <c r="C136" s="125" t="s">
        <v>452</v>
      </c>
      <c r="D136" s="104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</row>
    <row r="137" spans="3:16" ht="12.75">
      <c r="C137" s="125" t="s">
        <v>453</v>
      </c>
      <c r="D137" s="104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</row>
    <row r="138" spans="3:16" ht="12.75">
      <c r="C138" s="125" t="s">
        <v>454</v>
      </c>
      <c r="D138" s="104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</row>
    <row r="139" spans="3:16" ht="12.75">
      <c r="C139" s="125" t="s">
        <v>455</v>
      </c>
      <c r="D139" s="104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</row>
    <row r="140" spans="3:16" ht="22.5" customHeight="1">
      <c r="C140" s="104"/>
      <c r="D140" s="104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</row>
    <row r="141" spans="3:16" ht="22.5" customHeight="1">
      <c r="C141" s="104"/>
      <c r="D141" s="104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</row>
    <row r="142" spans="3:16" ht="22.5" customHeight="1">
      <c r="C142" s="104"/>
      <c r="D142" s="104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</row>
    <row r="143" spans="3:16" ht="22.5" customHeight="1">
      <c r="C143" s="104"/>
      <c r="D143" s="104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</row>
    <row r="144" spans="7:16" ht="22.5" customHeight="1"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</row>
  </sheetData>
  <sheetProtection password="C494" sheet="1" objects="1" scenarios="1" insertRows="0"/>
  <mergeCells count="73">
    <mergeCell ref="E49:F49"/>
    <mergeCell ref="E50:F50"/>
    <mergeCell ref="E58:F58"/>
    <mergeCell ref="G37:H37"/>
    <mergeCell ref="I37:J37"/>
    <mergeCell ref="E37:F37"/>
    <mergeCell ref="E54:F54"/>
    <mergeCell ref="E38:F38"/>
    <mergeCell ref="E43:F43"/>
    <mergeCell ref="E44:F44"/>
    <mergeCell ref="E45:F45"/>
    <mergeCell ref="E46:F46"/>
    <mergeCell ref="E47:F47"/>
    <mergeCell ref="E48:F48"/>
    <mergeCell ref="P6:P7"/>
    <mergeCell ref="D9:P9"/>
    <mergeCell ref="C12:D12"/>
    <mergeCell ref="C15:D15"/>
    <mergeCell ref="L15:M15"/>
    <mergeCell ref="C37:D37"/>
    <mergeCell ref="E92:F92"/>
    <mergeCell ref="L16:M16"/>
    <mergeCell ref="F15:K15"/>
    <mergeCell ref="C17:D17"/>
    <mergeCell ref="C19:E19"/>
    <mergeCell ref="C33:E33"/>
    <mergeCell ref="G16:H16"/>
    <mergeCell ref="C16:D16"/>
    <mergeCell ref="J16:K16"/>
    <mergeCell ref="E56:F56"/>
    <mergeCell ref="E39:F39"/>
    <mergeCell ref="E40:F40"/>
    <mergeCell ref="E41:F41"/>
    <mergeCell ref="E42:F42"/>
    <mergeCell ref="C133:G133"/>
    <mergeCell ref="C38:D38"/>
    <mergeCell ref="C77:D77"/>
    <mergeCell ref="G77:H77"/>
    <mergeCell ref="E80:F80"/>
    <mergeCell ref="E81:F81"/>
    <mergeCell ref="E51:F51"/>
    <mergeCell ref="C74:F74"/>
    <mergeCell ref="E78:F78"/>
    <mergeCell ref="E77:F77"/>
    <mergeCell ref="E52:F52"/>
    <mergeCell ref="E59:F59"/>
    <mergeCell ref="E53:F53"/>
    <mergeCell ref="E55:F55"/>
    <mergeCell ref="E73:F73"/>
    <mergeCell ref="E57:F57"/>
    <mergeCell ref="E101:F101"/>
    <mergeCell ref="E102:F102"/>
    <mergeCell ref="I77:J77"/>
    <mergeCell ref="C89:F89"/>
    <mergeCell ref="C92:D92"/>
    <mergeCell ref="E82:F82"/>
    <mergeCell ref="E83:F83"/>
    <mergeCell ref="C78:D78"/>
    <mergeCell ref="E79:F79"/>
    <mergeCell ref="E85:F85"/>
    <mergeCell ref="E86:F86"/>
    <mergeCell ref="E87:F87"/>
    <mergeCell ref="E88:F88"/>
    <mergeCell ref="E84:F84"/>
    <mergeCell ref="C103:F103"/>
    <mergeCell ref="E93:F93"/>
    <mergeCell ref="E94:F94"/>
    <mergeCell ref="E95:F95"/>
    <mergeCell ref="E96:F96"/>
    <mergeCell ref="E97:F97"/>
    <mergeCell ref="E98:F98"/>
    <mergeCell ref="E99:F99"/>
    <mergeCell ref="E100:F100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1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31"/>
  <sheetViews>
    <sheetView zoomScale="70" zoomScaleNormal="70" zoomScalePageLayoutView="0" workbookViewId="0" topLeftCell="C30">
      <selection activeCell="E53" sqref="E53"/>
    </sheetView>
  </sheetViews>
  <sheetFormatPr defaultColWidth="10.6640625" defaultRowHeight="22.5" customHeight="1"/>
  <cols>
    <col min="1" max="1" width="4.3359375" style="553" bestFit="1" customWidth="1"/>
    <col min="2" max="2" width="3.3359375" style="553" customWidth="1"/>
    <col min="3" max="3" width="13.5546875" style="553" customWidth="1"/>
    <col min="4" max="4" width="26.5546875" style="553" customWidth="1"/>
    <col min="5" max="6" width="13.4453125" style="555" customWidth="1"/>
    <col min="7" max="7" width="19.99609375" style="555" customWidth="1"/>
    <col min="8" max="8" width="13.4453125" style="555" customWidth="1"/>
    <col min="9" max="9" width="11.3359375" style="555" customWidth="1"/>
    <col min="10" max="10" width="15.99609375" style="555" customWidth="1"/>
    <col min="11" max="12" width="15.6640625" style="555" customWidth="1"/>
    <col min="13" max="13" width="16.5546875" style="555" customWidth="1"/>
    <col min="14" max="14" width="16.99609375" style="555" customWidth="1"/>
    <col min="15" max="19" width="15.6640625" style="555" customWidth="1"/>
    <col min="20" max="20" width="3.3359375" style="553" customWidth="1"/>
    <col min="21" max="21" width="10.6640625" style="553" customWidth="1"/>
    <col min="22" max="22" width="11.3359375" style="553" bestFit="1" customWidth="1"/>
    <col min="23" max="16384" width="10.6640625" style="553" customWidth="1"/>
  </cols>
  <sheetData>
    <row r="2" ht="22.5" customHeight="1">
      <c r="D2" s="554" t="s">
        <v>753</v>
      </c>
    </row>
    <row r="3" ht="22.5" customHeight="1">
      <c r="D3" s="554" t="s">
        <v>754</v>
      </c>
    </row>
    <row r="4" ht="22.5" customHeight="1" thickBot="1">
      <c r="A4" s="553" t="s">
        <v>153</v>
      </c>
    </row>
    <row r="5" spans="2:35" ht="9" customHeight="1">
      <c r="B5" s="556"/>
      <c r="C5" s="557"/>
      <c r="D5" s="557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  <c r="S5" s="558"/>
      <c r="T5" s="559"/>
      <c r="V5" s="926"/>
      <c r="W5" s="927"/>
      <c r="X5" s="927"/>
      <c r="Y5" s="927"/>
      <c r="Z5" s="927"/>
      <c r="AA5" s="927"/>
      <c r="AB5" s="927"/>
      <c r="AC5" s="927"/>
      <c r="AD5" s="927"/>
      <c r="AE5" s="927"/>
      <c r="AF5" s="927"/>
      <c r="AG5" s="927"/>
      <c r="AH5" s="927"/>
      <c r="AI5" s="928"/>
    </row>
    <row r="6" spans="2:35" ht="30" customHeight="1">
      <c r="B6" s="560"/>
      <c r="C6" s="561" t="s">
        <v>379</v>
      </c>
      <c r="D6" s="562"/>
      <c r="E6" s="563"/>
      <c r="F6" s="563"/>
      <c r="G6" s="563"/>
      <c r="H6" s="563"/>
      <c r="I6" s="563"/>
      <c r="J6" s="563"/>
      <c r="K6" s="563"/>
      <c r="L6" s="563"/>
      <c r="M6" s="563"/>
      <c r="N6" s="563"/>
      <c r="O6" s="563"/>
      <c r="P6" s="563"/>
      <c r="Q6" s="563"/>
      <c r="R6" s="563"/>
      <c r="S6" s="1232">
        <f>ejercicio</f>
        <v>2019</v>
      </c>
      <c r="T6" s="564"/>
      <c r="V6" s="929"/>
      <c r="W6" s="930" t="s">
        <v>1067</v>
      </c>
      <c r="X6" s="931"/>
      <c r="Y6" s="931"/>
      <c r="Z6" s="931"/>
      <c r="AA6" s="931"/>
      <c r="AB6" s="931"/>
      <c r="AC6" s="931"/>
      <c r="AD6" s="931"/>
      <c r="AE6" s="931"/>
      <c r="AF6" s="931"/>
      <c r="AG6" s="931"/>
      <c r="AH6" s="931"/>
      <c r="AI6" s="932"/>
    </row>
    <row r="7" spans="2:35" ht="30" customHeight="1">
      <c r="B7" s="560"/>
      <c r="C7" s="561" t="s">
        <v>380</v>
      </c>
      <c r="D7" s="562"/>
      <c r="E7" s="563"/>
      <c r="F7" s="563"/>
      <c r="G7" s="563"/>
      <c r="H7" s="563"/>
      <c r="I7" s="563"/>
      <c r="J7" s="563"/>
      <c r="K7" s="563"/>
      <c r="L7" s="563"/>
      <c r="M7" s="563"/>
      <c r="N7" s="563"/>
      <c r="O7" s="563"/>
      <c r="P7" s="563"/>
      <c r="Q7" s="563"/>
      <c r="R7" s="563"/>
      <c r="S7" s="1232"/>
      <c r="T7" s="564"/>
      <c r="V7" s="929"/>
      <c r="W7" s="931"/>
      <c r="X7" s="931"/>
      <c r="Y7" s="931"/>
      <c r="Z7" s="931"/>
      <c r="AA7" s="931"/>
      <c r="AB7" s="931"/>
      <c r="AC7" s="931"/>
      <c r="AD7" s="931"/>
      <c r="AE7" s="931"/>
      <c r="AF7" s="931"/>
      <c r="AG7" s="931"/>
      <c r="AH7" s="931"/>
      <c r="AI7" s="932"/>
    </row>
    <row r="8" spans="2:35" ht="30" customHeight="1">
      <c r="B8" s="560"/>
      <c r="C8" s="566"/>
      <c r="D8" s="562"/>
      <c r="E8" s="563"/>
      <c r="F8" s="563"/>
      <c r="G8" s="563"/>
      <c r="H8" s="563"/>
      <c r="I8" s="563"/>
      <c r="J8" s="563"/>
      <c r="K8" s="563"/>
      <c r="L8" s="563"/>
      <c r="M8" s="563"/>
      <c r="N8" s="563"/>
      <c r="O8" s="563"/>
      <c r="P8" s="563"/>
      <c r="Q8" s="563"/>
      <c r="R8" s="563"/>
      <c r="S8" s="563"/>
      <c r="T8" s="564"/>
      <c r="V8" s="929"/>
      <c r="W8" s="931"/>
      <c r="X8" s="931"/>
      <c r="Y8" s="931"/>
      <c r="Z8" s="931"/>
      <c r="AA8" s="931"/>
      <c r="AB8" s="931"/>
      <c r="AC8" s="931"/>
      <c r="AD8" s="931"/>
      <c r="AE8" s="931"/>
      <c r="AF8" s="931"/>
      <c r="AG8" s="931"/>
      <c r="AH8" s="931"/>
      <c r="AI8" s="932"/>
    </row>
    <row r="9" spans="2:35" s="569" customFormat="1" ht="30" customHeight="1">
      <c r="B9" s="567"/>
      <c r="C9" s="568" t="s">
        <v>381</v>
      </c>
      <c r="D9" s="1234" t="str">
        <f>Entidad</f>
        <v>INSTITUTO TECNOLOGICO Y DE ENERGIAS RENOVABLES S.A.</v>
      </c>
      <c r="E9" s="1234"/>
      <c r="F9" s="1234"/>
      <c r="G9" s="1234"/>
      <c r="H9" s="1234"/>
      <c r="I9" s="1234"/>
      <c r="J9" s="1234"/>
      <c r="K9" s="1234"/>
      <c r="L9" s="1234"/>
      <c r="M9" s="1234"/>
      <c r="N9" s="1234"/>
      <c r="O9" s="1234"/>
      <c r="P9" s="1234"/>
      <c r="Q9" s="1234"/>
      <c r="R9" s="1234"/>
      <c r="S9" s="1234"/>
      <c r="T9" s="565"/>
      <c r="V9" s="929"/>
      <c r="W9" s="931"/>
      <c r="X9" s="931"/>
      <c r="Y9" s="931"/>
      <c r="Z9" s="931"/>
      <c r="AA9" s="931"/>
      <c r="AB9" s="931"/>
      <c r="AC9" s="931"/>
      <c r="AD9" s="931"/>
      <c r="AE9" s="931"/>
      <c r="AF9" s="931"/>
      <c r="AG9" s="931"/>
      <c r="AH9" s="931"/>
      <c r="AI9" s="932"/>
    </row>
    <row r="10" spans="2:35" ht="6.75" customHeight="1">
      <c r="B10" s="560"/>
      <c r="C10" s="562"/>
      <c r="D10" s="562"/>
      <c r="E10" s="563"/>
      <c r="F10" s="563"/>
      <c r="G10" s="563"/>
      <c r="H10" s="563"/>
      <c r="I10" s="563"/>
      <c r="J10" s="563"/>
      <c r="K10" s="563"/>
      <c r="L10" s="563"/>
      <c r="M10" s="563"/>
      <c r="N10" s="563"/>
      <c r="O10" s="563"/>
      <c r="P10" s="563"/>
      <c r="Q10" s="563"/>
      <c r="R10" s="563"/>
      <c r="S10" s="563"/>
      <c r="T10" s="564"/>
      <c r="V10" s="929"/>
      <c r="W10" s="931"/>
      <c r="X10" s="931"/>
      <c r="Y10" s="931"/>
      <c r="Z10" s="931"/>
      <c r="AA10" s="931"/>
      <c r="AB10" s="931"/>
      <c r="AC10" s="931"/>
      <c r="AD10" s="931"/>
      <c r="AE10" s="931"/>
      <c r="AF10" s="931"/>
      <c r="AG10" s="931"/>
      <c r="AH10" s="931"/>
      <c r="AI10" s="932"/>
    </row>
    <row r="11" spans="2:35" s="573" customFormat="1" ht="30" customHeight="1">
      <c r="B11" s="570"/>
      <c r="C11" s="571" t="s">
        <v>1095</v>
      </c>
      <c r="D11" s="571"/>
      <c r="E11" s="572"/>
      <c r="F11" s="572"/>
      <c r="G11" s="572"/>
      <c r="H11" s="572"/>
      <c r="I11" s="572"/>
      <c r="J11" s="572"/>
      <c r="K11" s="572"/>
      <c r="L11" s="572"/>
      <c r="M11" s="572"/>
      <c r="N11" s="572"/>
      <c r="O11" s="572"/>
      <c r="P11" s="572"/>
      <c r="Q11" s="572"/>
      <c r="R11" s="572"/>
      <c r="S11" s="572"/>
      <c r="T11" s="933"/>
      <c r="V11" s="929"/>
      <c r="W11" s="931"/>
      <c r="X11" s="931"/>
      <c r="Y11" s="931"/>
      <c r="Z11" s="931"/>
      <c r="AA11" s="931"/>
      <c r="AB11" s="931"/>
      <c r="AC11" s="931"/>
      <c r="AD11" s="931"/>
      <c r="AE11" s="931"/>
      <c r="AF11" s="931"/>
      <c r="AG11" s="931"/>
      <c r="AH11" s="931"/>
      <c r="AI11" s="932"/>
    </row>
    <row r="12" spans="2:35" s="573" customFormat="1" ht="30" customHeight="1">
      <c r="B12" s="570"/>
      <c r="C12" s="1241"/>
      <c r="D12" s="1241"/>
      <c r="E12" s="574"/>
      <c r="F12" s="574"/>
      <c r="G12" s="574"/>
      <c r="H12" s="574"/>
      <c r="I12" s="574"/>
      <c r="J12" s="574"/>
      <c r="K12" s="574"/>
      <c r="L12" s="574"/>
      <c r="M12" s="574"/>
      <c r="N12" s="574"/>
      <c r="O12" s="574"/>
      <c r="P12" s="574"/>
      <c r="Q12" s="574"/>
      <c r="R12" s="574"/>
      <c r="S12" s="574"/>
      <c r="T12" s="933"/>
      <c r="V12" s="929"/>
      <c r="W12" s="931"/>
      <c r="X12" s="931"/>
      <c r="Y12" s="931"/>
      <c r="Z12" s="931"/>
      <c r="AA12" s="931"/>
      <c r="AB12" s="931"/>
      <c r="AC12" s="931"/>
      <c r="AD12" s="931"/>
      <c r="AE12" s="931"/>
      <c r="AF12" s="931"/>
      <c r="AG12" s="931"/>
      <c r="AH12" s="931"/>
      <c r="AI12" s="932"/>
    </row>
    <row r="13" spans="2:35" ht="28.5" customHeight="1">
      <c r="B13" s="576"/>
      <c r="C13" s="934" t="s">
        <v>34</v>
      </c>
      <c r="D13" s="900"/>
      <c r="E13" s="574"/>
      <c r="F13" s="574"/>
      <c r="G13" s="574"/>
      <c r="H13" s="574"/>
      <c r="I13" s="574"/>
      <c r="J13" s="574"/>
      <c r="K13" s="574"/>
      <c r="L13" s="574"/>
      <c r="M13" s="574"/>
      <c r="N13" s="574"/>
      <c r="O13" s="574"/>
      <c r="P13" s="574"/>
      <c r="Q13" s="574"/>
      <c r="R13" s="574"/>
      <c r="S13" s="574"/>
      <c r="T13" s="564"/>
      <c r="V13" s="929"/>
      <c r="W13" s="931"/>
      <c r="X13" s="931"/>
      <c r="Y13" s="931"/>
      <c r="Z13" s="931"/>
      <c r="AA13" s="931"/>
      <c r="AB13" s="931"/>
      <c r="AC13" s="931"/>
      <c r="AD13" s="931"/>
      <c r="AE13" s="931"/>
      <c r="AF13" s="931"/>
      <c r="AG13" s="931"/>
      <c r="AH13" s="931"/>
      <c r="AI13" s="932"/>
    </row>
    <row r="14" spans="2:35" ht="9" customHeight="1">
      <c r="B14" s="576"/>
      <c r="C14" s="900"/>
      <c r="D14" s="900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4"/>
      <c r="R14" s="574"/>
      <c r="S14" s="574"/>
      <c r="T14" s="564"/>
      <c r="V14" s="929"/>
      <c r="W14" s="931"/>
      <c r="X14" s="931"/>
      <c r="Y14" s="931"/>
      <c r="Z14" s="931"/>
      <c r="AA14" s="931"/>
      <c r="AB14" s="931"/>
      <c r="AC14" s="931"/>
      <c r="AD14" s="931"/>
      <c r="AE14" s="931"/>
      <c r="AF14" s="931"/>
      <c r="AG14" s="931"/>
      <c r="AH14" s="931"/>
      <c r="AI14" s="932"/>
    </row>
    <row r="15" spans="2:35" ht="22.5" customHeight="1">
      <c r="B15" s="576"/>
      <c r="C15" s="900"/>
      <c r="D15" s="900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64"/>
      <c r="V15" s="929"/>
      <c r="W15" s="931"/>
      <c r="X15" s="931"/>
      <c r="Y15" s="931"/>
      <c r="Z15" s="931"/>
      <c r="AA15" s="931"/>
      <c r="AB15" s="931"/>
      <c r="AC15" s="931"/>
      <c r="AD15" s="931"/>
      <c r="AE15" s="931"/>
      <c r="AF15" s="931"/>
      <c r="AG15" s="931"/>
      <c r="AH15" s="931"/>
      <c r="AI15" s="932"/>
    </row>
    <row r="16" spans="2:35" ht="39" customHeight="1">
      <c r="B16" s="576"/>
      <c r="C16" s="935" t="s">
        <v>848</v>
      </c>
      <c r="D16" s="936" t="s">
        <v>850</v>
      </c>
      <c r="E16" s="935" t="s">
        <v>1055</v>
      </c>
      <c r="F16" s="935" t="s">
        <v>1055</v>
      </c>
      <c r="G16" s="935" t="s">
        <v>852</v>
      </c>
      <c r="H16" s="935" t="s">
        <v>856</v>
      </c>
      <c r="I16" s="935" t="s">
        <v>858</v>
      </c>
      <c r="J16" s="935" t="s">
        <v>1108</v>
      </c>
      <c r="K16" s="935" t="s">
        <v>854</v>
      </c>
      <c r="L16" s="935" t="s">
        <v>1057</v>
      </c>
      <c r="M16" s="937" t="s">
        <v>1068</v>
      </c>
      <c r="N16" s="935" t="s">
        <v>211</v>
      </c>
      <c r="O16" s="935" t="s">
        <v>212</v>
      </c>
      <c r="P16" s="938" t="s">
        <v>213</v>
      </c>
      <c r="Q16" s="935" t="s">
        <v>1057</v>
      </c>
      <c r="R16" s="1348" t="s">
        <v>214</v>
      </c>
      <c r="S16" s="1349"/>
      <c r="T16" s="564"/>
      <c r="V16" s="929"/>
      <c r="W16" s="931"/>
      <c r="X16" s="931"/>
      <c r="Y16" s="931"/>
      <c r="Z16" s="931"/>
      <c r="AA16" s="931"/>
      <c r="AB16" s="931"/>
      <c r="AC16" s="931"/>
      <c r="AD16" s="931"/>
      <c r="AE16" s="931"/>
      <c r="AF16" s="931"/>
      <c r="AG16" s="931"/>
      <c r="AH16" s="931"/>
      <c r="AI16" s="932"/>
    </row>
    <row r="17" spans="2:35" ht="22.5" customHeight="1">
      <c r="B17" s="576"/>
      <c r="C17" s="939" t="s">
        <v>849</v>
      </c>
      <c r="D17" s="940" t="s">
        <v>849</v>
      </c>
      <c r="E17" s="939" t="s">
        <v>851</v>
      </c>
      <c r="F17" s="939" t="s">
        <v>1056</v>
      </c>
      <c r="G17" s="939" t="s">
        <v>853</v>
      </c>
      <c r="H17" s="939" t="s">
        <v>857</v>
      </c>
      <c r="I17" s="939" t="s">
        <v>1093</v>
      </c>
      <c r="J17" s="939" t="s">
        <v>1136</v>
      </c>
      <c r="K17" s="939" t="s">
        <v>210</v>
      </c>
      <c r="L17" s="939">
        <f>ejercicio-1</f>
        <v>2018</v>
      </c>
      <c r="M17" s="939">
        <f>ejercicio</f>
        <v>2019</v>
      </c>
      <c r="N17" s="939">
        <f>ejercicio</f>
        <v>2019</v>
      </c>
      <c r="O17" s="939">
        <f>ejercicio</f>
        <v>2019</v>
      </c>
      <c r="P17" s="939">
        <f>ejercicio</f>
        <v>2019</v>
      </c>
      <c r="Q17" s="939">
        <f>ejercicio</f>
        <v>2019</v>
      </c>
      <c r="R17" s="941" t="s">
        <v>1058</v>
      </c>
      <c r="S17" s="942" t="s">
        <v>1059</v>
      </c>
      <c r="T17" s="564"/>
      <c r="V17" s="929"/>
      <c r="W17" s="931"/>
      <c r="X17" s="931"/>
      <c r="Y17" s="931"/>
      <c r="Z17" s="931"/>
      <c r="AA17" s="931"/>
      <c r="AB17" s="931"/>
      <c r="AC17" s="931"/>
      <c r="AD17" s="931"/>
      <c r="AE17" s="931"/>
      <c r="AF17" s="931"/>
      <c r="AG17" s="931"/>
      <c r="AH17" s="931"/>
      <c r="AI17" s="932"/>
    </row>
    <row r="18" spans="2:35" ht="22.5" customHeight="1">
      <c r="B18" s="576"/>
      <c r="C18" s="459">
        <v>1</v>
      </c>
      <c r="D18" s="898" t="s">
        <v>278</v>
      </c>
      <c r="E18" s="897">
        <v>42234</v>
      </c>
      <c r="F18" s="897">
        <v>45826</v>
      </c>
      <c r="G18" s="1173" t="s">
        <v>279</v>
      </c>
      <c r="H18" s="1174" t="s">
        <v>280</v>
      </c>
      <c r="I18" s="1174" t="s">
        <v>281</v>
      </c>
      <c r="J18" s="725" t="s">
        <v>281</v>
      </c>
      <c r="K18" s="523">
        <v>18000000</v>
      </c>
      <c r="L18" s="969">
        <f>7444065.71+1298342.44</f>
        <v>8742408.15</v>
      </c>
      <c r="M18" s="726"/>
      <c r="N18" s="726">
        <v>1298342.45</v>
      </c>
      <c r="O18" s="726">
        <v>103814.47</v>
      </c>
      <c r="P18" s="656"/>
      <c r="Q18" s="943">
        <f>L18+M18-N18</f>
        <v>7444065.7</v>
      </c>
      <c r="R18" s="783">
        <v>1314980.25</v>
      </c>
      <c r="S18" s="784">
        <v>6129085.45</v>
      </c>
      <c r="T18" s="564"/>
      <c r="V18" s="929"/>
      <c r="W18" s="931"/>
      <c r="X18" s="931"/>
      <c r="Y18" s="931"/>
      <c r="Z18" s="931"/>
      <c r="AA18" s="931"/>
      <c r="AB18" s="931"/>
      <c r="AC18" s="931"/>
      <c r="AD18" s="931"/>
      <c r="AE18" s="931"/>
      <c r="AF18" s="931"/>
      <c r="AG18" s="931"/>
      <c r="AH18" s="931"/>
      <c r="AI18" s="932"/>
    </row>
    <row r="19" spans="2:35" ht="22.5" customHeight="1">
      <c r="B19" s="576"/>
      <c r="C19" s="459">
        <v>2</v>
      </c>
      <c r="D19" s="898" t="s">
        <v>278</v>
      </c>
      <c r="E19" s="897">
        <v>40932</v>
      </c>
      <c r="F19" s="897">
        <v>45505</v>
      </c>
      <c r="G19" s="1173" t="s">
        <v>282</v>
      </c>
      <c r="H19" s="1174" t="s">
        <v>280</v>
      </c>
      <c r="I19" s="1174" t="s">
        <v>281</v>
      </c>
      <c r="J19" s="1174" t="s">
        <v>281</v>
      </c>
      <c r="K19" s="523">
        <v>1300000</v>
      </c>
      <c r="L19" s="523">
        <f>605591.27+114053.69</f>
        <v>719644.96</v>
      </c>
      <c r="M19" s="969"/>
      <c r="N19" s="523">
        <v>114053.7</v>
      </c>
      <c r="O19" s="523">
        <v>13825.47</v>
      </c>
      <c r="P19" s="656"/>
      <c r="Q19" s="943">
        <f aca="true" t="shared" si="0" ref="Q19:Q42">L19+M19-N19</f>
        <v>605591.26</v>
      </c>
      <c r="R19" s="785">
        <v>116346.16</v>
      </c>
      <c r="S19" s="786">
        <v>489245.1</v>
      </c>
      <c r="T19" s="564"/>
      <c r="V19" s="929"/>
      <c r="W19" s="931"/>
      <c r="X19" s="931"/>
      <c r="Y19" s="931"/>
      <c r="Z19" s="931"/>
      <c r="AA19" s="931"/>
      <c r="AB19" s="931"/>
      <c r="AC19" s="931"/>
      <c r="AD19" s="931"/>
      <c r="AE19" s="931"/>
      <c r="AF19" s="931"/>
      <c r="AG19" s="931"/>
      <c r="AH19" s="931"/>
      <c r="AI19" s="932"/>
    </row>
    <row r="20" spans="2:35" ht="22.5" customHeight="1">
      <c r="B20" s="576"/>
      <c r="C20" s="459">
        <v>3</v>
      </c>
      <c r="D20" s="898" t="s">
        <v>283</v>
      </c>
      <c r="E20" s="897">
        <v>43186</v>
      </c>
      <c r="F20" s="897">
        <v>46843</v>
      </c>
      <c r="G20" s="1173" t="s">
        <v>284</v>
      </c>
      <c r="H20" s="1174" t="s">
        <v>280</v>
      </c>
      <c r="I20" s="1174" t="s">
        <v>281</v>
      </c>
      <c r="J20" s="1174" t="s">
        <v>281</v>
      </c>
      <c r="K20" s="523">
        <v>34763966</v>
      </c>
      <c r="L20" s="523">
        <f>31866968.81+2896997.19</f>
        <v>34763966</v>
      </c>
      <c r="M20" s="523"/>
      <c r="N20" s="523">
        <v>2896997.19</v>
      </c>
      <c r="O20" s="523">
        <v>238278.02</v>
      </c>
      <c r="P20" s="656"/>
      <c r="Q20" s="943">
        <f t="shared" si="0"/>
        <v>31866968.81</v>
      </c>
      <c r="R20" s="785">
        <v>3862662.92</v>
      </c>
      <c r="S20" s="786">
        <v>28004305.89</v>
      </c>
      <c r="T20" s="564"/>
      <c r="V20" s="929"/>
      <c r="W20" s="931"/>
      <c r="X20" s="931"/>
      <c r="Y20" s="931"/>
      <c r="Z20" s="931"/>
      <c r="AA20" s="931"/>
      <c r="AB20" s="931"/>
      <c r="AC20" s="931"/>
      <c r="AD20" s="931"/>
      <c r="AE20" s="931"/>
      <c r="AF20" s="931"/>
      <c r="AG20" s="931"/>
      <c r="AH20" s="931"/>
      <c r="AI20" s="932"/>
    </row>
    <row r="21" spans="2:35" ht="22.5" customHeight="1">
      <c r="B21" s="576"/>
      <c r="C21" s="459"/>
      <c r="D21" s="898"/>
      <c r="E21" s="897"/>
      <c r="F21" s="897"/>
      <c r="G21" s="1173"/>
      <c r="H21" s="1174"/>
      <c r="I21" s="1174"/>
      <c r="J21" s="1174"/>
      <c r="K21" s="523"/>
      <c r="L21" s="523"/>
      <c r="M21" s="523"/>
      <c r="N21" s="523"/>
      <c r="O21" s="523"/>
      <c r="P21" s="656"/>
      <c r="Q21" s="943">
        <f t="shared" si="0"/>
        <v>0</v>
      </c>
      <c r="R21" s="785"/>
      <c r="S21" s="786"/>
      <c r="T21" s="564"/>
      <c r="V21" s="929"/>
      <c r="W21" s="931"/>
      <c r="X21" s="931"/>
      <c r="Y21" s="931"/>
      <c r="Z21" s="931"/>
      <c r="AA21" s="931"/>
      <c r="AB21" s="931"/>
      <c r="AC21" s="931"/>
      <c r="AD21" s="931"/>
      <c r="AE21" s="931"/>
      <c r="AF21" s="931"/>
      <c r="AG21" s="931"/>
      <c r="AH21" s="931"/>
      <c r="AI21" s="932"/>
    </row>
    <row r="22" spans="2:35" ht="22.5" customHeight="1">
      <c r="B22" s="576"/>
      <c r="C22" s="459"/>
      <c r="D22" s="898"/>
      <c r="E22" s="897"/>
      <c r="F22" s="897"/>
      <c r="G22" s="1173"/>
      <c r="H22" s="1174"/>
      <c r="I22" s="1174"/>
      <c r="J22" s="1174"/>
      <c r="K22" s="523"/>
      <c r="L22" s="523"/>
      <c r="M22" s="523"/>
      <c r="N22" s="523"/>
      <c r="O22" s="523"/>
      <c r="P22" s="656"/>
      <c r="Q22" s="943">
        <f t="shared" si="0"/>
        <v>0</v>
      </c>
      <c r="R22" s="785"/>
      <c r="S22" s="786"/>
      <c r="T22" s="564"/>
      <c r="V22" s="929"/>
      <c r="W22" s="931"/>
      <c r="X22" s="931"/>
      <c r="Y22" s="931"/>
      <c r="Z22" s="931"/>
      <c r="AA22" s="931"/>
      <c r="AB22" s="931"/>
      <c r="AC22" s="931"/>
      <c r="AD22" s="931"/>
      <c r="AE22" s="931"/>
      <c r="AF22" s="931"/>
      <c r="AG22" s="931"/>
      <c r="AH22" s="931"/>
      <c r="AI22" s="932"/>
    </row>
    <row r="23" spans="2:35" ht="22.5" customHeight="1">
      <c r="B23" s="576"/>
      <c r="C23" s="459"/>
      <c r="D23" s="898"/>
      <c r="E23" s="897"/>
      <c r="F23" s="897"/>
      <c r="G23" s="1173"/>
      <c r="H23" s="1174"/>
      <c r="I23" s="1174"/>
      <c r="J23" s="1174"/>
      <c r="K23" s="523"/>
      <c r="L23" s="523"/>
      <c r="M23" s="523"/>
      <c r="N23" s="523"/>
      <c r="O23" s="523"/>
      <c r="P23" s="656"/>
      <c r="Q23" s="943">
        <f t="shared" si="0"/>
        <v>0</v>
      </c>
      <c r="R23" s="785"/>
      <c r="S23" s="786"/>
      <c r="T23" s="564"/>
      <c r="V23" s="929"/>
      <c r="W23" s="931"/>
      <c r="X23" s="931"/>
      <c r="Y23" s="931"/>
      <c r="Z23" s="931"/>
      <c r="AA23" s="931"/>
      <c r="AB23" s="931"/>
      <c r="AC23" s="931"/>
      <c r="AD23" s="931"/>
      <c r="AE23" s="931"/>
      <c r="AF23" s="931"/>
      <c r="AG23" s="931"/>
      <c r="AH23" s="931"/>
      <c r="AI23" s="932"/>
    </row>
    <row r="24" spans="2:35" ht="22.5" customHeight="1">
      <c r="B24" s="576"/>
      <c r="C24" s="459"/>
      <c r="D24" s="898"/>
      <c r="E24" s="897"/>
      <c r="F24" s="897"/>
      <c r="G24" s="1173"/>
      <c r="H24" s="1174"/>
      <c r="I24" s="1174"/>
      <c r="J24" s="1174"/>
      <c r="K24" s="523"/>
      <c r="L24" s="523"/>
      <c r="M24" s="523"/>
      <c r="N24" s="523"/>
      <c r="O24" s="523"/>
      <c r="P24" s="656"/>
      <c r="Q24" s="943">
        <f t="shared" si="0"/>
        <v>0</v>
      </c>
      <c r="R24" s="785"/>
      <c r="S24" s="786"/>
      <c r="T24" s="564"/>
      <c r="V24" s="929"/>
      <c r="W24" s="931"/>
      <c r="X24" s="931"/>
      <c r="Y24" s="931"/>
      <c r="Z24" s="931"/>
      <c r="AA24" s="931"/>
      <c r="AB24" s="931"/>
      <c r="AC24" s="931"/>
      <c r="AD24" s="931"/>
      <c r="AE24" s="931"/>
      <c r="AF24" s="931"/>
      <c r="AG24" s="931"/>
      <c r="AH24" s="931"/>
      <c r="AI24" s="932"/>
    </row>
    <row r="25" spans="2:35" ht="22.5" customHeight="1">
      <c r="B25" s="576"/>
      <c r="C25" s="459"/>
      <c r="D25" s="898"/>
      <c r="E25" s="897"/>
      <c r="F25" s="897"/>
      <c r="G25" s="1173"/>
      <c r="H25" s="1174"/>
      <c r="I25" s="1174"/>
      <c r="J25" s="1174"/>
      <c r="K25" s="523"/>
      <c r="L25" s="523"/>
      <c r="M25" s="523"/>
      <c r="N25" s="523"/>
      <c r="O25" s="523"/>
      <c r="P25" s="656"/>
      <c r="Q25" s="943">
        <f t="shared" si="0"/>
        <v>0</v>
      </c>
      <c r="R25" s="785"/>
      <c r="S25" s="786"/>
      <c r="T25" s="564"/>
      <c r="V25" s="929"/>
      <c r="W25" s="931"/>
      <c r="X25" s="931"/>
      <c r="Y25" s="931"/>
      <c r="Z25" s="931"/>
      <c r="AA25" s="931"/>
      <c r="AB25" s="931"/>
      <c r="AC25" s="931"/>
      <c r="AD25" s="931"/>
      <c r="AE25" s="931"/>
      <c r="AF25" s="931"/>
      <c r="AG25" s="931"/>
      <c r="AH25" s="931"/>
      <c r="AI25" s="932"/>
    </row>
    <row r="26" spans="2:35" ht="22.5" customHeight="1">
      <c r="B26" s="576"/>
      <c r="C26" s="459"/>
      <c r="D26" s="456"/>
      <c r="E26" s="897"/>
      <c r="F26" s="897"/>
      <c r="G26" s="459"/>
      <c r="H26" s="515"/>
      <c r="I26" s="515"/>
      <c r="J26" s="515"/>
      <c r="K26" s="523"/>
      <c r="L26" s="523"/>
      <c r="M26" s="523"/>
      <c r="N26" s="523"/>
      <c r="O26" s="523"/>
      <c r="P26" s="656"/>
      <c r="Q26" s="943">
        <f t="shared" si="0"/>
        <v>0</v>
      </c>
      <c r="R26" s="785"/>
      <c r="S26" s="786"/>
      <c r="T26" s="564"/>
      <c r="V26" s="929"/>
      <c r="W26" s="931"/>
      <c r="X26" s="931"/>
      <c r="Y26" s="931"/>
      <c r="Z26" s="931"/>
      <c r="AA26" s="931"/>
      <c r="AB26" s="931"/>
      <c r="AC26" s="931"/>
      <c r="AD26" s="931"/>
      <c r="AE26" s="931"/>
      <c r="AF26" s="931"/>
      <c r="AG26" s="931"/>
      <c r="AH26" s="931"/>
      <c r="AI26" s="932"/>
    </row>
    <row r="27" spans="2:35" ht="22.5" customHeight="1">
      <c r="B27" s="576"/>
      <c r="C27" s="459"/>
      <c r="D27" s="456"/>
      <c r="E27" s="897"/>
      <c r="F27" s="897"/>
      <c r="G27" s="459"/>
      <c r="H27" s="515"/>
      <c r="I27" s="515"/>
      <c r="J27" s="515"/>
      <c r="K27" s="523"/>
      <c r="L27" s="523"/>
      <c r="M27" s="523"/>
      <c r="N27" s="523"/>
      <c r="O27" s="523"/>
      <c r="P27" s="656"/>
      <c r="Q27" s="943">
        <f t="shared" si="0"/>
        <v>0</v>
      </c>
      <c r="R27" s="785"/>
      <c r="S27" s="786"/>
      <c r="T27" s="564"/>
      <c r="V27" s="929"/>
      <c r="W27" s="931"/>
      <c r="X27" s="931"/>
      <c r="Y27" s="931"/>
      <c r="Z27" s="931"/>
      <c r="AA27" s="931"/>
      <c r="AB27" s="931"/>
      <c r="AC27" s="931"/>
      <c r="AD27" s="931"/>
      <c r="AE27" s="931"/>
      <c r="AF27" s="931"/>
      <c r="AG27" s="931"/>
      <c r="AH27" s="931"/>
      <c r="AI27" s="932"/>
    </row>
    <row r="28" spans="2:35" ht="22.5" customHeight="1">
      <c r="B28" s="576"/>
      <c r="C28" s="459"/>
      <c r="D28" s="456"/>
      <c r="E28" s="515"/>
      <c r="F28" s="515"/>
      <c r="G28" s="459"/>
      <c r="H28" s="515"/>
      <c r="I28" s="515"/>
      <c r="J28" s="515"/>
      <c r="K28" s="523"/>
      <c r="L28" s="523"/>
      <c r="M28" s="523"/>
      <c r="N28" s="523"/>
      <c r="O28" s="523"/>
      <c r="P28" s="656"/>
      <c r="Q28" s="943">
        <f t="shared" si="0"/>
        <v>0</v>
      </c>
      <c r="R28" s="785"/>
      <c r="S28" s="786"/>
      <c r="T28" s="564"/>
      <c r="V28" s="929"/>
      <c r="W28" s="931"/>
      <c r="X28" s="931"/>
      <c r="Y28" s="931"/>
      <c r="Z28" s="931"/>
      <c r="AA28" s="931"/>
      <c r="AB28" s="931"/>
      <c r="AC28" s="931"/>
      <c r="AD28" s="931"/>
      <c r="AE28" s="931"/>
      <c r="AF28" s="931"/>
      <c r="AG28" s="931"/>
      <c r="AH28" s="931"/>
      <c r="AI28" s="932"/>
    </row>
    <row r="29" spans="2:35" ht="22.5" customHeight="1">
      <c r="B29" s="576"/>
      <c r="C29" s="459"/>
      <c r="D29" s="456"/>
      <c r="E29" s="515"/>
      <c r="F29" s="515"/>
      <c r="G29" s="459"/>
      <c r="H29" s="515"/>
      <c r="I29" s="515"/>
      <c r="J29" s="515"/>
      <c r="K29" s="523"/>
      <c r="L29" s="523"/>
      <c r="M29" s="523"/>
      <c r="N29" s="523"/>
      <c r="O29" s="523"/>
      <c r="P29" s="656"/>
      <c r="Q29" s="943">
        <f t="shared" si="0"/>
        <v>0</v>
      </c>
      <c r="R29" s="785"/>
      <c r="S29" s="786"/>
      <c r="T29" s="564"/>
      <c r="V29" s="929"/>
      <c r="W29" s="931"/>
      <c r="X29" s="931"/>
      <c r="Y29" s="931"/>
      <c r="Z29" s="931"/>
      <c r="AA29" s="931"/>
      <c r="AB29" s="931"/>
      <c r="AC29" s="931"/>
      <c r="AD29" s="931"/>
      <c r="AE29" s="931"/>
      <c r="AF29" s="931"/>
      <c r="AG29" s="931"/>
      <c r="AH29" s="931"/>
      <c r="AI29" s="932"/>
    </row>
    <row r="30" spans="2:35" ht="22.5" customHeight="1">
      <c r="B30" s="576"/>
      <c r="C30" s="459"/>
      <c r="D30" s="456"/>
      <c r="E30" s="515"/>
      <c r="F30" s="515"/>
      <c r="G30" s="459"/>
      <c r="H30" s="515"/>
      <c r="I30" s="515"/>
      <c r="J30" s="515"/>
      <c r="K30" s="523"/>
      <c r="L30" s="523"/>
      <c r="M30" s="523"/>
      <c r="N30" s="523"/>
      <c r="O30" s="523"/>
      <c r="P30" s="656"/>
      <c r="Q30" s="943">
        <f t="shared" si="0"/>
        <v>0</v>
      </c>
      <c r="R30" s="785"/>
      <c r="S30" s="786"/>
      <c r="T30" s="564"/>
      <c r="V30" s="929"/>
      <c r="W30" s="931"/>
      <c r="X30" s="931"/>
      <c r="Y30" s="931"/>
      <c r="Z30" s="931"/>
      <c r="AA30" s="931"/>
      <c r="AB30" s="931"/>
      <c r="AC30" s="931"/>
      <c r="AD30" s="931"/>
      <c r="AE30" s="931"/>
      <c r="AF30" s="931"/>
      <c r="AG30" s="931"/>
      <c r="AH30" s="931"/>
      <c r="AI30" s="932"/>
    </row>
    <row r="31" spans="2:35" ht="22.5" customHeight="1">
      <c r="B31" s="576"/>
      <c r="C31" s="459"/>
      <c r="D31" s="456"/>
      <c r="E31" s="515"/>
      <c r="F31" s="515"/>
      <c r="G31" s="459"/>
      <c r="H31" s="515"/>
      <c r="I31" s="515"/>
      <c r="J31" s="515"/>
      <c r="K31" s="523"/>
      <c r="L31" s="523"/>
      <c r="M31" s="523"/>
      <c r="N31" s="523"/>
      <c r="O31" s="523"/>
      <c r="P31" s="656"/>
      <c r="Q31" s="943">
        <f t="shared" si="0"/>
        <v>0</v>
      </c>
      <c r="R31" s="785"/>
      <c r="S31" s="786"/>
      <c r="T31" s="564"/>
      <c r="V31" s="929"/>
      <c r="W31" s="931"/>
      <c r="X31" s="931"/>
      <c r="Y31" s="931"/>
      <c r="Z31" s="931"/>
      <c r="AA31" s="931"/>
      <c r="AB31" s="931"/>
      <c r="AC31" s="931"/>
      <c r="AD31" s="931"/>
      <c r="AE31" s="931"/>
      <c r="AF31" s="931"/>
      <c r="AG31" s="931"/>
      <c r="AH31" s="931"/>
      <c r="AI31" s="932"/>
    </row>
    <row r="32" spans="2:35" ht="22.5" customHeight="1">
      <c r="B32" s="576"/>
      <c r="C32" s="459"/>
      <c r="D32" s="456"/>
      <c r="E32" s="515"/>
      <c r="F32" s="515"/>
      <c r="G32" s="459"/>
      <c r="H32" s="515"/>
      <c r="I32" s="515"/>
      <c r="J32" s="515"/>
      <c r="K32" s="523"/>
      <c r="L32" s="523"/>
      <c r="M32" s="523"/>
      <c r="N32" s="523"/>
      <c r="O32" s="523"/>
      <c r="P32" s="656"/>
      <c r="Q32" s="943">
        <f t="shared" si="0"/>
        <v>0</v>
      </c>
      <c r="R32" s="785"/>
      <c r="S32" s="786"/>
      <c r="T32" s="564"/>
      <c r="V32" s="929"/>
      <c r="W32" s="931"/>
      <c r="X32" s="931"/>
      <c r="Y32" s="931"/>
      <c r="Z32" s="931"/>
      <c r="AA32" s="931"/>
      <c r="AB32" s="931"/>
      <c r="AC32" s="931"/>
      <c r="AD32" s="931"/>
      <c r="AE32" s="931"/>
      <c r="AF32" s="931"/>
      <c r="AG32" s="931"/>
      <c r="AH32" s="931"/>
      <c r="AI32" s="932"/>
    </row>
    <row r="33" spans="2:35" ht="22.5" customHeight="1">
      <c r="B33" s="576"/>
      <c r="C33" s="459"/>
      <c r="D33" s="456"/>
      <c r="E33" s="515"/>
      <c r="F33" s="515"/>
      <c r="G33" s="459"/>
      <c r="H33" s="515"/>
      <c r="I33" s="515"/>
      <c r="J33" s="515"/>
      <c r="K33" s="523"/>
      <c r="L33" s="523"/>
      <c r="M33" s="523"/>
      <c r="N33" s="523"/>
      <c r="O33" s="523"/>
      <c r="P33" s="656"/>
      <c r="Q33" s="943">
        <f>L33+M33-N33</f>
        <v>0</v>
      </c>
      <c r="R33" s="785"/>
      <c r="S33" s="786"/>
      <c r="T33" s="564"/>
      <c r="V33" s="929"/>
      <c r="W33" s="931"/>
      <c r="X33" s="931"/>
      <c r="Y33" s="931"/>
      <c r="Z33" s="931"/>
      <c r="AA33" s="931"/>
      <c r="AB33" s="931"/>
      <c r="AC33" s="931"/>
      <c r="AD33" s="931"/>
      <c r="AE33" s="931"/>
      <c r="AF33" s="931"/>
      <c r="AG33" s="931"/>
      <c r="AH33" s="931"/>
      <c r="AI33" s="932"/>
    </row>
    <row r="34" spans="2:35" ht="22.5" customHeight="1">
      <c r="B34" s="576"/>
      <c r="C34" s="459"/>
      <c r="D34" s="456"/>
      <c r="E34" s="515"/>
      <c r="F34" s="515"/>
      <c r="G34" s="459"/>
      <c r="H34" s="515"/>
      <c r="I34" s="515"/>
      <c r="J34" s="515"/>
      <c r="K34" s="523"/>
      <c r="L34" s="523"/>
      <c r="M34" s="523"/>
      <c r="N34" s="523"/>
      <c r="O34" s="523"/>
      <c r="P34" s="656"/>
      <c r="Q34" s="943">
        <f t="shared" si="0"/>
        <v>0</v>
      </c>
      <c r="R34" s="785"/>
      <c r="S34" s="786"/>
      <c r="T34" s="564"/>
      <c r="V34" s="929"/>
      <c r="W34" s="931"/>
      <c r="X34" s="931"/>
      <c r="Y34" s="931"/>
      <c r="Z34" s="931"/>
      <c r="AA34" s="931"/>
      <c r="AB34" s="931"/>
      <c r="AC34" s="931"/>
      <c r="AD34" s="931"/>
      <c r="AE34" s="931"/>
      <c r="AF34" s="931"/>
      <c r="AG34" s="931"/>
      <c r="AH34" s="931"/>
      <c r="AI34" s="932"/>
    </row>
    <row r="35" spans="2:35" ht="22.5" customHeight="1">
      <c r="B35" s="576"/>
      <c r="C35" s="459"/>
      <c r="D35" s="456"/>
      <c r="E35" s="515"/>
      <c r="F35" s="515"/>
      <c r="G35" s="459"/>
      <c r="H35" s="515"/>
      <c r="I35" s="515"/>
      <c r="J35" s="515"/>
      <c r="K35" s="523"/>
      <c r="L35" s="523"/>
      <c r="M35" s="523"/>
      <c r="N35" s="523"/>
      <c r="O35" s="523"/>
      <c r="P35" s="656"/>
      <c r="Q35" s="943">
        <f t="shared" si="0"/>
        <v>0</v>
      </c>
      <c r="R35" s="785"/>
      <c r="S35" s="786"/>
      <c r="T35" s="564"/>
      <c r="V35" s="929"/>
      <c r="W35" s="931"/>
      <c r="X35" s="931"/>
      <c r="Y35" s="931"/>
      <c r="Z35" s="931"/>
      <c r="AA35" s="931"/>
      <c r="AB35" s="931"/>
      <c r="AC35" s="931"/>
      <c r="AD35" s="931"/>
      <c r="AE35" s="931"/>
      <c r="AF35" s="931"/>
      <c r="AG35" s="931"/>
      <c r="AH35" s="931"/>
      <c r="AI35" s="932"/>
    </row>
    <row r="36" spans="2:35" ht="22.5" customHeight="1">
      <c r="B36" s="576"/>
      <c r="C36" s="459"/>
      <c r="D36" s="456"/>
      <c r="E36" s="515"/>
      <c r="F36" s="515"/>
      <c r="G36" s="459"/>
      <c r="H36" s="515"/>
      <c r="I36" s="515"/>
      <c r="J36" s="515"/>
      <c r="K36" s="523"/>
      <c r="L36" s="523"/>
      <c r="M36" s="523"/>
      <c r="N36" s="523"/>
      <c r="O36" s="523"/>
      <c r="P36" s="656"/>
      <c r="Q36" s="943">
        <f t="shared" si="0"/>
        <v>0</v>
      </c>
      <c r="R36" s="785"/>
      <c r="S36" s="786"/>
      <c r="T36" s="564"/>
      <c r="V36" s="929"/>
      <c r="W36" s="931"/>
      <c r="X36" s="931"/>
      <c r="Y36" s="931"/>
      <c r="Z36" s="931"/>
      <c r="AA36" s="931"/>
      <c r="AB36" s="931"/>
      <c r="AC36" s="931"/>
      <c r="AD36" s="931"/>
      <c r="AE36" s="931"/>
      <c r="AF36" s="931"/>
      <c r="AG36" s="931"/>
      <c r="AH36" s="931"/>
      <c r="AI36" s="932"/>
    </row>
    <row r="37" spans="2:35" ht="22.5" customHeight="1">
      <c r="B37" s="576"/>
      <c r="C37" s="459"/>
      <c r="D37" s="456"/>
      <c r="E37" s="515"/>
      <c r="F37" s="515"/>
      <c r="G37" s="459"/>
      <c r="H37" s="515"/>
      <c r="I37" s="515"/>
      <c r="J37" s="515"/>
      <c r="K37" s="523"/>
      <c r="L37" s="523"/>
      <c r="M37" s="523"/>
      <c r="N37" s="523"/>
      <c r="O37" s="523"/>
      <c r="P37" s="656"/>
      <c r="Q37" s="943">
        <f t="shared" si="0"/>
        <v>0</v>
      </c>
      <c r="R37" s="785"/>
      <c r="S37" s="786"/>
      <c r="T37" s="564"/>
      <c r="V37" s="929"/>
      <c r="W37" s="931"/>
      <c r="X37" s="931"/>
      <c r="Y37" s="931"/>
      <c r="Z37" s="931"/>
      <c r="AA37" s="931"/>
      <c r="AB37" s="931"/>
      <c r="AC37" s="931"/>
      <c r="AD37" s="931"/>
      <c r="AE37" s="931"/>
      <c r="AF37" s="931"/>
      <c r="AG37" s="931"/>
      <c r="AH37" s="931"/>
      <c r="AI37" s="932"/>
    </row>
    <row r="38" spans="2:35" ht="22.5" customHeight="1">
      <c r="B38" s="576"/>
      <c r="C38" s="459"/>
      <c r="D38" s="456"/>
      <c r="E38" s="515"/>
      <c r="F38" s="515"/>
      <c r="G38" s="459"/>
      <c r="H38" s="515"/>
      <c r="I38" s="515"/>
      <c r="J38" s="515"/>
      <c r="K38" s="523"/>
      <c r="L38" s="523"/>
      <c r="M38" s="523"/>
      <c r="N38" s="523"/>
      <c r="O38" s="523"/>
      <c r="P38" s="656"/>
      <c r="Q38" s="943">
        <f t="shared" si="0"/>
        <v>0</v>
      </c>
      <c r="R38" s="785"/>
      <c r="S38" s="786"/>
      <c r="T38" s="564"/>
      <c r="V38" s="929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</row>
    <row r="39" spans="2:35" ht="22.5" customHeight="1">
      <c r="B39" s="576"/>
      <c r="C39" s="459"/>
      <c r="D39" s="456"/>
      <c r="E39" s="515"/>
      <c r="F39" s="515"/>
      <c r="G39" s="459"/>
      <c r="H39" s="515"/>
      <c r="I39" s="515"/>
      <c r="J39" s="515"/>
      <c r="K39" s="523"/>
      <c r="L39" s="523"/>
      <c r="M39" s="523"/>
      <c r="N39" s="523"/>
      <c r="O39" s="523"/>
      <c r="P39" s="656"/>
      <c r="Q39" s="943">
        <f t="shared" si="0"/>
        <v>0</v>
      </c>
      <c r="R39" s="785"/>
      <c r="S39" s="786"/>
      <c r="T39" s="564"/>
      <c r="V39" s="929"/>
      <c r="W39" s="931"/>
      <c r="X39" s="931"/>
      <c r="Y39" s="931"/>
      <c r="Z39" s="931"/>
      <c r="AA39" s="931"/>
      <c r="AB39" s="931"/>
      <c r="AC39" s="931"/>
      <c r="AD39" s="931"/>
      <c r="AE39" s="931"/>
      <c r="AF39" s="931"/>
      <c r="AG39" s="931"/>
      <c r="AH39" s="931"/>
      <c r="AI39" s="932"/>
    </row>
    <row r="40" spans="2:35" ht="22.5" customHeight="1">
      <c r="B40" s="576"/>
      <c r="C40" s="459"/>
      <c r="D40" s="456"/>
      <c r="E40" s="515"/>
      <c r="F40" s="515"/>
      <c r="G40" s="459"/>
      <c r="H40" s="515"/>
      <c r="I40" s="515"/>
      <c r="J40" s="515"/>
      <c r="K40" s="523"/>
      <c r="L40" s="523"/>
      <c r="M40" s="523"/>
      <c r="N40" s="523"/>
      <c r="O40" s="523"/>
      <c r="P40" s="656"/>
      <c r="Q40" s="943">
        <f t="shared" si="0"/>
        <v>0</v>
      </c>
      <c r="R40" s="785"/>
      <c r="S40" s="786"/>
      <c r="T40" s="564"/>
      <c r="V40" s="929"/>
      <c r="W40" s="931"/>
      <c r="X40" s="931"/>
      <c r="Y40" s="931"/>
      <c r="Z40" s="931"/>
      <c r="AA40" s="931"/>
      <c r="AB40" s="931"/>
      <c r="AC40" s="931"/>
      <c r="AD40" s="931"/>
      <c r="AE40" s="931"/>
      <c r="AF40" s="931"/>
      <c r="AG40" s="931"/>
      <c r="AH40" s="931"/>
      <c r="AI40" s="932"/>
    </row>
    <row r="41" spans="2:35" ht="22.5" customHeight="1">
      <c r="B41" s="576"/>
      <c r="C41" s="459"/>
      <c r="D41" s="457"/>
      <c r="E41" s="516"/>
      <c r="F41" s="516"/>
      <c r="G41" s="460"/>
      <c r="H41" s="516"/>
      <c r="I41" s="516"/>
      <c r="J41" s="516"/>
      <c r="K41" s="524"/>
      <c r="L41" s="524"/>
      <c r="M41" s="524"/>
      <c r="N41" s="524"/>
      <c r="O41" s="524"/>
      <c r="P41" s="657"/>
      <c r="Q41" s="944">
        <f>L41+M41-N41</f>
        <v>0</v>
      </c>
      <c r="R41" s="785"/>
      <c r="S41" s="786"/>
      <c r="T41" s="564"/>
      <c r="V41" s="929"/>
      <c r="W41" s="931"/>
      <c r="X41" s="931"/>
      <c r="Y41" s="931"/>
      <c r="Z41" s="931"/>
      <c r="AA41" s="931"/>
      <c r="AB41" s="931"/>
      <c r="AC41" s="931"/>
      <c r="AD41" s="931"/>
      <c r="AE41" s="931"/>
      <c r="AF41" s="931"/>
      <c r="AG41" s="931"/>
      <c r="AH41" s="931"/>
      <c r="AI41" s="932"/>
    </row>
    <row r="42" spans="2:35" ht="22.5" customHeight="1">
      <c r="B42" s="576"/>
      <c r="C42" s="461"/>
      <c r="D42" s="458"/>
      <c r="E42" s="517"/>
      <c r="F42" s="517"/>
      <c r="G42" s="461"/>
      <c r="H42" s="517"/>
      <c r="I42" s="517"/>
      <c r="J42" s="517"/>
      <c r="K42" s="525"/>
      <c r="L42" s="525"/>
      <c r="M42" s="525"/>
      <c r="N42" s="525"/>
      <c r="O42" s="525"/>
      <c r="P42" s="658"/>
      <c r="Q42" s="945">
        <f t="shared" si="0"/>
        <v>0</v>
      </c>
      <c r="R42" s="787"/>
      <c r="S42" s="788"/>
      <c r="T42" s="564"/>
      <c r="V42" s="929"/>
      <c r="W42" s="931"/>
      <c r="X42" s="931"/>
      <c r="Y42" s="931"/>
      <c r="Z42" s="931"/>
      <c r="AA42" s="931"/>
      <c r="AB42" s="931"/>
      <c r="AC42" s="931"/>
      <c r="AD42" s="931"/>
      <c r="AE42" s="931"/>
      <c r="AF42" s="931"/>
      <c r="AG42" s="931"/>
      <c r="AH42" s="931"/>
      <c r="AI42" s="932"/>
    </row>
    <row r="43" spans="2:35" ht="22.5" customHeight="1" thickBot="1">
      <c r="B43" s="576"/>
      <c r="C43" s="554"/>
      <c r="D43" s="554"/>
      <c r="E43" s="923"/>
      <c r="F43" s="923"/>
      <c r="G43" s="923"/>
      <c r="H43" s="1350" t="s">
        <v>855</v>
      </c>
      <c r="I43" s="1351"/>
      <c r="J43" s="1352"/>
      <c r="K43" s="946">
        <f aca="true" t="shared" si="1" ref="K43:S43">SUM(K18:K42)</f>
        <v>54063966</v>
      </c>
      <c r="L43" s="947">
        <f t="shared" si="1"/>
        <v>44226019.11</v>
      </c>
      <c r="M43" s="948">
        <f t="shared" si="1"/>
        <v>0</v>
      </c>
      <c r="N43" s="948">
        <f t="shared" si="1"/>
        <v>4309393.34</v>
      </c>
      <c r="O43" s="946">
        <f t="shared" si="1"/>
        <v>355917.95999999996</v>
      </c>
      <c r="P43" s="946">
        <f t="shared" si="1"/>
        <v>0</v>
      </c>
      <c r="Q43" s="949">
        <f t="shared" si="1"/>
        <v>39916625.769999996</v>
      </c>
      <c r="R43" s="948">
        <f t="shared" si="1"/>
        <v>5293989.33</v>
      </c>
      <c r="S43" s="612">
        <f t="shared" si="1"/>
        <v>34622636.44</v>
      </c>
      <c r="T43" s="564"/>
      <c r="V43" s="950"/>
      <c r="W43" s="931"/>
      <c r="X43" s="931"/>
      <c r="Y43" s="931"/>
      <c r="Z43" s="931"/>
      <c r="AA43" s="931"/>
      <c r="AB43" s="931"/>
      <c r="AC43" s="931"/>
      <c r="AD43" s="931"/>
      <c r="AE43" s="931"/>
      <c r="AF43" s="931"/>
      <c r="AG43" s="931"/>
      <c r="AH43" s="931"/>
      <c r="AI43" s="932"/>
    </row>
    <row r="44" spans="2:35" ht="22.5" customHeight="1">
      <c r="B44" s="576"/>
      <c r="C44" s="554"/>
      <c r="D44" s="554"/>
      <c r="E44" s="923"/>
      <c r="F44" s="923"/>
      <c r="G44" s="923"/>
      <c r="H44" s="951"/>
      <c r="I44" s="951"/>
      <c r="J44" s="951"/>
      <c r="K44" s="923"/>
      <c r="L44" s="923"/>
      <c r="M44" s="923"/>
      <c r="N44" s="923"/>
      <c r="O44" s="923"/>
      <c r="P44" s="923"/>
      <c r="Q44" s="923"/>
      <c r="R44" s="923"/>
      <c r="S44" s="923"/>
      <c r="T44" s="564"/>
      <c r="V44" s="950"/>
      <c r="W44" s="931"/>
      <c r="X44" s="931"/>
      <c r="Y44" s="931"/>
      <c r="Z44" s="931"/>
      <c r="AA44" s="931"/>
      <c r="AB44" s="931"/>
      <c r="AC44" s="931"/>
      <c r="AD44" s="931"/>
      <c r="AE44" s="931"/>
      <c r="AF44" s="931"/>
      <c r="AG44" s="931"/>
      <c r="AH44" s="931"/>
      <c r="AI44" s="932"/>
    </row>
    <row r="45" spans="2:35" ht="22.5" customHeight="1">
      <c r="B45" s="576"/>
      <c r="C45" s="934" t="s">
        <v>35</v>
      </c>
      <c r="D45" s="900"/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4"/>
      <c r="Q45" s="574"/>
      <c r="R45" s="574"/>
      <c r="S45" s="574"/>
      <c r="T45" s="564"/>
      <c r="V45" s="929"/>
      <c r="W45" s="931"/>
      <c r="X45" s="931"/>
      <c r="Y45" s="931"/>
      <c r="Z45" s="931"/>
      <c r="AA45" s="931"/>
      <c r="AB45" s="931"/>
      <c r="AC45" s="931"/>
      <c r="AD45" s="931"/>
      <c r="AE45" s="931"/>
      <c r="AF45" s="931"/>
      <c r="AG45" s="931"/>
      <c r="AH45" s="931"/>
      <c r="AI45" s="932"/>
    </row>
    <row r="46" spans="2:35" ht="22.5" customHeight="1">
      <c r="B46" s="576"/>
      <c r="C46" s="900"/>
      <c r="D46" s="900"/>
      <c r="E46" s="574"/>
      <c r="F46" s="574"/>
      <c r="G46" s="574"/>
      <c r="H46" s="574"/>
      <c r="I46" s="574"/>
      <c r="J46" s="574"/>
      <c r="K46" s="574"/>
      <c r="L46" s="574"/>
      <c r="M46" s="574"/>
      <c r="N46" s="574"/>
      <c r="O46" s="574"/>
      <c r="P46" s="574"/>
      <c r="Q46" s="574"/>
      <c r="R46" s="574"/>
      <c r="S46" s="574"/>
      <c r="T46" s="564"/>
      <c r="V46" s="929"/>
      <c r="W46" s="931"/>
      <c r="X46" s="931"/>
      <c r="Y46" s="931"/>
      <c r="Z46" s="931"/>
      <c r="AA46" s="931"/>
      <c r="AB46" s="931"/>
      <c r="AC46" s="931"/>
      <c r="AD46" s="931"/>
      <c r="AE46" s="931"/>
      <c r="AF46" s="931"/>
      <c r="AG46" s="931"/>
      <c r="AH46" s="931"/>
      <c r="AI46" s="932"/>
    </row>
    <row r="47" spans="2:35" ht="22.5" customHeight="1">
      <c r="B47" s="576"/>
      <c r="C47" s="900"/>
      <c r="D47" s="900"/>
      <c r="E47" s="574"/>
      <c r="F47" s="574"/>
      <c r="G47" s="574"/>
      <c r="H47" s="574"/>
      <c r="I47" s="574"/>
      <c r="J47" s="574"/>
      <c r="K47" s="574"/>
      <c r="L47" s="574"/>
      <c r="M47" s="574"/>
      <c r="N47" s="574"/>
      <c r="O47" s="574"/>
      <c r="P47" s="574"/>
      <c r="Q47" s="574"/>
      <c r="R47" s="574"/>
      <c r="S47" s="574"/>
      <c r="T47" s="564"/>
      <c r="V47" s="929"/>
      <c r="W47" s="931"/>
      <c r="X47" s="931"/>
      <c r="Y47" s="931"/>
      <c r="Z47" s="931"/>
      <c r="AA47" s="931"/>
      <c r="AB47" s="931"/>
      <c r="AC47" s="931"/>
      <c r="AD47" s="931"/>
      <c r="AE47" s="931"/>
      <c r="AF47" s="931"/>
      <c r="AG47" s="931"/>
      <c r="AH47" s="931"/>
      <c r="AI47" s="932"/>
    </row>
    <row r="48" spans="2:35" ht="42" customHeight="1">
      <c r="B48" s="576"/>
      <c r="C48" s="935" t="s">
        <v>848</v>
      </c>
      <c r="D48" s="936" t="s">
        <v>850</v>
      </c>
      <c r="E48" s="935" t="s">
        <v>1055</v>
      </c>
      <c r="F48" s="935" t="s">
        <v>1055</v>
      </c>
      <c r="G48" s="935" t="s">
        <v>852</v>
      </c>
      <c r="H48" s="935" t="s">
        <v>856</v>
      </c>
      <c r="I48" s="935" t="s">
        <v>858</v>
      </c>
      <c r="J48" s="935" t="s">
        <v>1108</v>
      </c>
      <c r="K48" s="935" t="s">
        <v>854</v>
      </c>
      <c r="L48" s="935" t="s">
        <v>1057</v>
      </c>
      <c r="M48" s="937" t="s">
        <v>1068</v>
      </c>
      <c r="N48" s="935" t="s">
        <v>211</v>
      </c>
      <c r="O48" s="935" t="s">
        <v>212</v>
      </c>
      <c r="P48" s="938" t="s">
        <v>213</v>
      </c>
      <c r="Q48" s="935" t="s">
        <v>1057</v>
      </c>
      <c r="R48" s="1348" t="s">
        <v>214</v>
      </c>
      <c r="S48" s="1349"/>
      <c r="T48" s="564"/>
      <c r="V48" s="929"/>
      <c r="W48" s="931"/>
      <c r="X48" s="931"/>
      <c r="Y48" s="931"/>
      <c r="Z48" s="931"/>
      <c r="AA48" s="931"/>
      <c r="AB48" s="931"/>
      <c r="AC48" s="931"/>
      <c r="AD48" s="931"/>
      <c r="AE48" s="931"/>
      <c r="AF48" s="931"/>
      <c r="AG48" s="931"/>
      <c r="AH48" s="931"/>
      <c r="AI48" s="932"/>
    </row>
    <row r="49" spans="2:35" ht="22.5" customHeight="1">
      <c r="B49" s="576"/>
      <c r="C49" s="939" t="s">
        <v>849</v>
      </c>
      <c r="D49" s="940" t="s">
        <v>849</v>
      </c>
      <c r="E49" s="939" t="s">
        <v>851</v>
      </c>
      <c r="F49" s="939" t="s">
        <v>1056</v>
      </c>
      <c r="G49" s="939" t="s">
        <v>36</v>
      </c>
      <c r="H49" s="939" t="s">
        <v>857</v>
      </c>
      <c r="I49" s="939" t="s">
        <v>1093</v>
      </c>
      <c r="J49" s="939" t="s">
        <v>1136</v>
      </c>
      <c r="K49" s="939" t="s">
        <v>210</v>
      </c>
      <c r="L49" s="939">
        <f>ejercicio-1</f>
        <v>2018</v>
      </c>
      <c r="M49" s="939">
        <f>ejercicio</f>
        <v>2019</v>
      </c>
      <c r="N49" s="939">
        <f>ejercicio</f>
        <v>2019</v>
      </c>
      <c r="O49" s="939">
        <f>ejercicio</f>
        <v>2019</v>
      </c>
      <c r="P49" s="939">
        <f>ejercicio</f>
        <v>2019</v>
      </c>
      <c r="Q49" s="939">
        <f>ejercicio</f>
        <v>2019</v>
      </c>
      <c r="R49" s="941" t="s">
        <v>1058</v>
      </c>
      <c r="S49" s="942" t="s">
        <v>1059</v>
      </c>
      <c r="T49" s="564"/>
      <c r="V49" s="929"/>
      <c r="W49" s="931"/>
      <c r="X49" s="931"/>
      <c r="Y49" s="931"/>
      <c r="Z49" s="931"/>
      <c r="AA49" s="931"/>
      <c r="AB49" s="931"/>
      <c r="AC49" s="931"/>
      <c r="AD49" s="931"/>
      <c r="AE49" s="931"/>
      <c r="AF49" s="931"/>
      <c r="AG49" s="931"/>
      <c r="AH49" s="931"/>
      <c r="AI49" s="932"/>
    </row>
    <row r="50" spans="2:35" ht="22.5" customHeight="1">
      <c r="B50" s="576"/>
      <c r="C50" s="459">
        <v>1</v>
      </c>
      <c r="D50" s="898" t="s">
        <v>278</v>
      </c>
      <c r="E50" s="1221">
        <v>39755</v>
      </c>
      <c r="F50" s="1221">
        <v>44180</v>
      </c>
      <c r="G50" s="1173" t="s">
        <v>285</v>
      </c>
      <c r="H50" s="1174" t="s">
        <v>280</v>
      </c>
      <c r="I50" s="1174" t="s">
        <v>281</v>
      </c>
      <c r="J50" s="725" t="s">
        <v>281</v>
      </c>
      <c r="K50" s="523"/>
      <c r="L50" s="523">
        <v>42322.36</v>
      </c>
      <c r="M50" s="726"/>
      <c r="N50" s="726">
        <v>35309.02</v>
      </c>
      <c r="O50" s="726"/>
      <c r="P50" s="656"/>
      <c r="Q50" s="952">
        <f>L50+M50-N50</f>
        <v>7013.340000000004</v>
      </c>
      <c r="R50" s="726">
        <v>7013.34</v>
      </c>
      <c r="S50" s="784"/>
      <c r="T50" s="564"/>
      <c r="V50" s="929"/>
      <c r="W50" s="931"/>
      <c r="X50" s="931"/>
      <c r="Y50" s="931"/>
      <c r="Z50" s="931"/>
      <c r="AA50" s="931"/>
      <c r="AB50" s="931"/>
      <c r="AC50" s="931"/>
      <c r="AD50" s="931"/>
      <c r="AE50" s="931"/>
      <c r="AF50" s="931"/>
      <c r="AG50" s="931"/>
      <c r="AH50" s="931"/>
      <c r="AI50" s="932"/>
    </row>
    <row r="51" spans="2:35" ht="22.5" customHeight="1">
      <c r="B51" s="576"/>
      <c r="C51" s="459">
        <v>2</v>
      </c>
      <c r="D51" s="898" t="s">
        <v>286</v>
      </c>
      <c r="E51" s="1221">
        <v>41897</v>
      </c>
      <c r="F51" s="1221">
        <v>45093</v>
      </c>
      <c r="G51" s="1173" t="s">
        <v>276</v>
      </c>
      <c r="H51" s="1174" t="s">
        <v>280</v>
      </c>
      <c r="I51" s="1174" t="s">
        <v>281</v>
      </c>
      <c r="J51" s="1174" t="s">
        <v>281</v>
      </c>
      <c r="K51" s="523"/>
      <c r="L51" s="523">
        <v>121944.13</v>
      </c>
      <c r="M51" s="523"/>
      <c r="N51" s="523">
        <v>21958.97</v>
      </c>
      <c r="O51" s="523"/>
      <c r="P51" s="656"/>
      <c r="Q51" s="943">
        <f aca="true" t="shared" si="2" ref="Q51:Q74">L51+M51-N51</f>
        <v>99985.16</v>
      </c>
      <c r="R51" s="523">
        <v>31871.11</v>
      </c>
      <c r="S51" s="786">
        <v>68114.05</v>
      </c>
      <c r="T51" s="564"/>
      <c r="V51" s="929"/>
      <c r="W51" s="931"/>
      <c r="X51" s="931"/>
      <c r="Y51" s="931"/>
      <c r="Z51" s="931"/>
      <c r="AA51" s="931"/>
      <c r="AB51" s="931"/>
      <c r="AC51" s="931"/>
      <c r="AD51" s="931"/>
      <c r="AE51" s="931"/>
      <c r="AF51" s="931"/>
      <c r="AG51" s="931"/>
      <c r="AH51" s="931"/>
      <c r="AI51" s="932"/>
    </row>
    <row r="52" spans="2:35" ht="22.5" customHeight="1">
      <c r="B52" s="576"/>
      <c r="C52" s="459">
        <v>3</v>
      </c>
      <c r="D52" s="456" t="s">
        <v>286</v>
      </c>
      <c r="E52" s="1221">
        <v>41276</v>
      </c>
      <c r="F52" s="1221">
        <v>43769</v>
      </c>
      <c r="G52" s="459" t="s">
        <v>285</v>
      </c>
      <c r="H52" s="515" t="s">
        <v>287</v>
      </c>
      <c r="I52" s="515" t="s">
        <v>281</v>
      </c>
      <c r="J52" s="515" t="s">
        <v>281</v>
      </c>
      <c r="K52" s="523"/>
      <c r="L52" s="523">
        <v>20138.25</v>
      </c>
      <c r="M52" s="523"/>
      <c r="N52" s="523">
        <v>20138.25</v>
      </c>
      <c r="O52" s="523"/>
      <c r="P52" s="656"/>
      <c r="Q52" s="943">
        <f t="shared" si="2"/>
        <v>0</v>
      </c>
      <c r="R52" s="785"/>
      <c r="S52" s="786"/>
      <c r="T52" s="564"/>
      <c r="V52" s="929"/>
      <c r="W52" s="931"/>
      <c r="X52" s="931"/>
      <c r="Y52" s="931"/>
      <c r="Z52" s="931"/>
      <c r="AA52" s="931"/>
      <c r="AB52" s="931"/>
      <c r="AC52" s="931"/>
      <c r="AD52" s="931"/>
      <c r="AE52" s="931"/>
      <c r="AF52" s="931"/>
      <c r="AG52" s="931"/>
      <c r="AH52" s="931"/>
      <c r="AI52" s="932"/>
    </row>
    <row r="53" spans="2:35" ht="22.5" customHeight="1">
      <c r="B53" s="576"/>
      <c r="C53" s="459">
        <v>4</v>
      </c>
      <c r="D53" s="456" t="s">
        <v>286</v>
      </c>
      <c r="E53" s="1221">
        <v>41212</v>
      </c>
      <c r="F53" s="1221">
        <v>43799</v>
      </c>
      <c r="G53" s="459" t="s">
        <v>285</v>
      </c>
      <c r="H53" s="515" t="s">
        <v>287</v>
      </c>
      <c r="I53" s="515" t="s">
        <v>281</v>
      </c>
      <c r="J53" s="515" t="s">
        <v>281</v>
      </c>
      <c r="K53" s="523"/>
      <c r="L53" s="523">
        <v>4163.84</v>
      </c>
      <c r="M53" s="523"/>
      <c r="N53" s="523">
        <v>4163.84</v>
      </c>
      <c r="O53" s="523"/>
      <c r="P53" s="656"/>
      <c r="Q53" s="943">
        <f t="shared" si="2"/>
        <v>0</v>
      </c>
      <c r="R53" s="785"/>
      <c r="S53" s="786"/>
      <c r="T53" s="564"/>
      <c r="V53" s="929"/>
      <c r="W53" s="931"/>
      <c r="X53" s="931"/>
      <c r="Y53" s="931"/>
      <c r="Z53" s="931"/>
      <c r="AA53" s="931"/>
      <c r="AB53" s="931"/>
      <c r="AC53" s="931"/>
      <c r="AD53" s="931"/>
      <c r="AE53" s="931"/>
      <c r="AF53" s="931"/>
      <c r="AG53" s="931"/>
      <c r="AH53" s="931"/>
      <c r="AI53" s="932"/>
    </row>
    <row r="54" spans="2:35" ht="22.5" customHeight="1">
      <c r="B54" s="576"/>
      <c r="C54" s="459">
        <v>5</v>
      </c>
      <c r="D54" s="456" t="s">
        <v>286</v>
      </c>
      <c r="E54" s="1221">
        <v>41526</v>
      </c>
      <c r="F54" s="1221">
        <v>43630</v>
      </c>
      <c r="G54" s="459" t="s">
        <v>276</v>
      </c>
      <c r="H54" s="515" t="s">
        <v>287</v>
      </c>
      <c r="I54" s="515" t="s">
        <v>281</v>
      </c>
      <c r="J54" s="515" t="s">
        <v>281</v>
      </c>
      <c r="K54" s="523"/>
      <c r="L54" s="523">
        <v>6609.03</v>
      </c>
      <c r="M54" s="523"/>
      <c r="N54" s="523">
        <v>6609.03</v>
      </c>
      <c r="O54" s="523"/>
      <c r="P54" s="656"/>
      <c r="Q54" s="943">
        <f t="shared" si="2"/>
        <v>0</v>
      </c>
      <c r="R54" s="785"/>
      <c r="S54" s="786"/>
      <c r="T54" s="564"/>
      <c r="V54" s="929"/>
      <c r="W54" s="931"/>
      <c r="X54" s="931"/>
      <c r="Y54" s="931"/>
      <c r="Z54" s="931"/>
      <c r="AA54" s="931"/>
      <c r="AB54" s="931"/>
      <c r="AC54" s="931"/>
      <c r="AD54" s="931"/>
      <c r="AE54" s="931"/>
      <c r="AF54" s="931"/>
      <c r="AG54" s="931"/>
      <c r="AH54" s="931"/>
      <c r="AI54" s="932"/>
    </row>
    <row r="55" spans="2:35" ht="22.5" customHeight="1">
      <c r="B55" s="576"/>
      <c r="C55" s="459">
        <v>6</v>
      </c>
      <c r="D55" s="898" t="s">
        <v>316</v>
      </c>
      <c r="E55" s="515"/>
      <c r="F55" s="515"/>
      <c r="G55" s="1173"/>
      <c r="H55" s="515" t="s">
        <v>287</v>
      </c>
      <c r="I55" s="1174" t="s">
        <v>281</v>
      </c>
      <c r="J55" s="1174" t="s">
        <v>281</v>
      </c>
      <c r="K55" s="523"/>
      <c r="L55" s="523">
        <f>-(267538.74-27230.89-88495.6-10109-70619.65)</f>
        <v>-71083.59999999998</v>
      </c>
      <c r="M55" s="523">
        <v>267438.62</v>
      </c>
      <c r="N55" s="523"/>
      <c r="O55" s="523"/>
      <c r="P55" s="656"/>
      <c r="Q55" s="943">
        <f t="shared" si="2"/>
        <v>196355.02000000002</v>
      </c>
      <c r="R55" s="785">
        <v>196355.02</v>
      </c>
      <c r="S55" s="786"/>
      <c r="T55" s="564"/>
      <c r="V55" s="929"/>
      <c r="W55" s="931"/>
      <c r="X55" s="931"/>
      <c r="Y55" s="931"/>
      <c r="Z55" s="931"/>
      <c r="AA55" s="931"/>
      <c r="AB55" s="931"/>
      <c r="AC55" s="931"/>
      <c r="AD55" s="931"/>
      <c r="AE55" s="931"/>
      <c r="AF55" s="931"/>
      <c r="AG55" s="931"/>
      <c r="AH55" s="931"/>
      <c r="AI55" s="932"/>
    </row>
    <row r="56" spans="2:35" ht="22.5" customHeight="1">
      <c r="B56" s="576"/>
      <c r="C56" s="459"/>
      <c r="D56" s="456"/>
      <c r="E56" s="515"/>
      <c r="F56" s="515"/>
      <c r="G56" s="459"/>
      <c r="H56" s="515"/>
      <c r="I56" s="515"/>
      <c r="J56" s="515"/>
      <c r="K56" s="523"/>
      <c r="L56" s="523"/>
      <c r="M56" s="523"/>
      <c r="N56" s="523"/>
      <c r="O56" s="523"/>
      <c r="P56" s="656"/>
      <c r="Q56" s="943">
        <f t="shared" si="2"/>
        <v>0</v>
      </c>
      <c r="R56" s="785"/>
      <c r="S56" s="786"/>
      <c r="T56" s="564"/>
      <c r="V56" s="929"/>
      <c r="W56" s="931"/>
      <c r="X56" s="931"/>
      <c r="Y56" s="931"/>
      <c r="Z56" s="931"/>
      <c r="AA56" s="931"/>
      <c r="AB56" s="931"/>
      <c r="AC56" s="931"/>
      <c r="AD56" s="931"/>
      <c r="AE56" s="931"/>
      <c r="AF56" s="931"/>
      <c r="AG56" s="931"/>
      <c r="AH56" s="931"/>
      <c r="AI56" s="932"/>
    </row>
    <row r="57" spans="2:35" ht="22.5" customHeight="1">
      <c r="B57" s="576"/>
      <c r="C57" s="459"/>
      <c r="D57" s="456"/>
      <c r="E57" s="515"/>
      <c r="F57" s="515"/>
      <c r="G57" s="459"/>
      <c r="H57" s="515"/>
      <c r="I57" s="515"/>
      <c r="J57" s="515"/>
      <c r="K57" s="523"/>
      <c r="L57" s="523"/>
      <c r="M57" s="523"/>
      <c r="N57" s="523"/>
      <c r="O57" s="523"/>
      <c r="P57" s="656"/>
      <c r="Q57" s="943">
        <f t="shared" si="2"/>
        <v>0</v>
      </c>
      <c r="R57" s="785"/>
      <c r="S57" s="786"/>
      <c r="T57" s="564"/>
      <c r="V57" s="929"/>
      <c r="W57" s="931"/>
      <c r="X57" s="931"/>
      <c r="Y57" s="931"/>
      <c r="Z57" s="931"/>
      <c r="AA57" s="931"/>
      <c r="AB57" s="931"/>
      <c r="AC57" s="931"/>
      <c r="AD57" s="931"/>
      <c r="AE57" s="931"/>
      <c r="AF57" s="931"/>
      <c r="AG57" s="931"/>
      <c r="AH57" s="931"/>
      <c r="AI57" s="932"/>
    </row>
    <row r="58" spans="2:35" ht="22.5" customHeight="1">
      <c r="B58" s="576"/>
      <c r="C58" s="459"/>
      <c r="D58" s="456"/>
      <c r="E58" s="515"/>
      <c r="F58" s="515"/>
      <c r="G58" s="459"/>
      <c r="H58" s="515"/>
      <c r="I58" s="515"/>
      <c r="J58" s="515"/>
      <c r="K58" s="523"/>
      <c r="L58" s="523"/>
      <c r="M58" s="523"/>
      <c r="N58" s="523"/>
      <c r="O58" s="523"/>
      <c r="P58" s="656"/>
      <c r="Q58" s="943">
        <f t="shared" si="2"/>
        <v>0</v>
      </c>
      <c r="R58" s="785"/>
      <c r="S58" s="786"/>
      <c r="T58" s="564"/>
      <c r="V58" s="929"/>
      <c r="W58" s="931"/>
      <c r="X58" s="931"/>
      <c r="Y58" s="931"/>
      <c r="Z58" s="931"/>
      <c r="AA58" s="931"/>
      <c r="AB58" s="931"/>
      <c r="AC58" s="931"/>
      <c r="AD58" s="931"/>
      <c r="AE58" s="931"/>
      <c r="AF58" s="931"/>
      <c r="AG58" s="931"/>
      <c r="AH58" s="931"/>
      <c r="AI58" s="932"/>
    </row>
    <row r="59" spans="2:35" ht="22.5" customHeight="1">
      <c r="B59" s="576"/>
      <c r="C59" s="459"/>
      <c r="D59" s="456"/>
      <c r="E59" s="515"/>
      <c r="F59" s="515"/>
      <c r="G59" s="459"/>
      <c r="H59" s="515"/>
      <c r="I59" s="515"/>
      <c r="J59" s="515"/>
      <c r="K59" s="523"/>
      <c r="L59" s="523"/>
      <c r="M59" s="523"/>
      <c r="N59" s="523"/>
      <c r="O59" s="523"/>
      <c r="P59" s="656"/>
      <c r="Q59" s="943">
        <f t="shared" si="2"/>
        <v>0</v>
      </c>
      <c r="R59" s="785"/>
      <c r="S59" s="786"/>
      <c r="T59" s="564"/>
      <c r="V59" s="929"/>
      <c r="W59" s="931"/>
      <c r="X59" s="931"/>
      <c r="Y59" s="931"/>
      <c r="Z59" s="931"/>
      <c r="AA59" s="931"/>
      <c r="AB59" s="931"/>
      <c r="AC59" s="931"/>
      <c r="AD59" s="931"/>
      <c r="AE59" s="931"/>
      <c r="AF59" s="931"/>
      <c r="AG59" s="931"/>
      <c r="AH59" s="931"/>
      <c r="AI59" s="932"/>
    </row>
    <row r="60" spans="2:35" ht="22.5" customHeight="1">
      <c r="B60" s="576"/>
      <c r="C60" s="459"/>
      <c r="D60" s="456"/>
      <c r="E60" s="515"/>
      <c r="F60" s="515"/>
      <c r="G60" s="459"/>
      <c r="H60" s="515"/>
      <c r="I60" s="515"/>
      <c r="J60" s="515"/>
      <c r="K60" s="523"/>
      <c r="L60" s="523"/>
      <c r="M60" s="523"/>
      <c r="N60" s="523"/>
      <c r="O60" s="523"/>
      <c r="P60" s="656"/>
      <c r="Q60" s="943">
        <f t="shared" si="2"/>
        <v>0</v>
      </c>
      <c r="R60" s="785"/>
      <c r="S60" s="786"/>
      <c r="T60" s="564"/>
      <c r="V60" s="929"/>
      <c r="W60" s="931"/>
      <c r="X60" s="931"/>
      <c r="Y60" s="931"/>
      <c r="Z60" s="931"/>
      <c r="AA60" s="931"/>
      <c r="AB60" s="931"/>
      <c r="AC60" s="931"/>
      <c r="AD60" s="931"/>
      <c r="AE60" s="931"/>
      <c r="AF60" s="931"/>
      <c r="AG60" s="931"/>
      <c r="AH60" s="931"/>
      <c r="AI60" s="932"/>
    </row>
    <row r="61" spans="2:35" ht="22.5" customHeight="1">
      <c r="B61" s="576"/>
      <c r="C61" s="459"/>
      <c r="D61" s="456"/>
      <c r="E61" s="515"/>
      <c r="F61" s="515"/>
      <c r="G61" s="459"/>
      <c r="H61" s="515"/>
      <c r="I61" s="515"/>
      <c r="J61" s="515"/>
      <c r="K61" s="523"/>
      <c r="L61" s="523"/>
      <c r="M61" s="523"/>
      <c r="N61" s="523"/>
      <c r="O61" s="523"/>
      <c r="P61" s="656"/>
      <c r="Q61" s="943">
        <f t="shared" si="2"/>
        <v>0</v>
      </c>
      <c r="R61" s="785"/>
      <c r="S61" s="786"/>
      <c r="T61" s="564"/>
      <c r="V61" s="929"/>
      <c r="W61" s="931"/>
      <c r="X61" s="931"/>
      <c r="Y61" s="931"/>
      <c r="Z61" s="931"/>
      <c r="AA61" s="931"/>
      <c r="AB61" s="931"/>
      <c r="AC61" s="931"/>
      <c r="AD61" s="931"/>
      <c r="AE61" s="931"/>
      <c r="AF61" s="931"/>
      <c r="AG61" s="931"/>
      <c r="AH61" s="931"/>
      <c r="AI61" s="932"/>
    </row>
    <row r="62" spans="2:35" ht="22.5" customHeight="1">
      <c r="B62" s="576"/>
      <c r="C62" s="459"/>
      <c r="D62" s="456"/>
      <c r="E62" s="515"/>
      <c r="F62" s="515"/>
      <c r="G62" s="459"/>
      <c r="H62" s="515"/>
      <c r="I62" s="515"/>
      <c r="J62" s="515"/>
      <c r="K62" s="523"/>
      <c r="L62" s="523"/>
      <c r="M62" s="523"/>
      <c r="N62" s="523"/>
      <c r="O62" s="523"/>
      <c r="P62" s="656"/>
      <c r="Q62" s="943">
        <f t="shared" si="2"/>
        <v>0</v>
      </c>
      <c r="R62" s="785"/>
      <c r="S62" s="786"/>
      <c r="T62" s="564"/>
      <c r="V62" s="929"/>
      <c r="W62" s="931"/>
      <c r="X62" s="931"/>
      <c r="Y62" s="931"/>
      <c r="Z62" s="931"/>
      <c r="AA62" s="931"/>
      <c r="AB62" s="931"/>
      <c r="AC62" s="931"/>
      <c r="AD62" s="931"/>
      <c r="AE62" s="931"/>
      <c r="AF62" s="931"/>
      <c r="AG62" s="931"/>
      <c r="AH62" s="931"/>
      <c r="AI62" s="932"/>
    </row>
    <row r="63" spans="2:35" ht="22.5" customHeight="1">
      <c r="B63" s="576"/>
      <c r="C63" s="459"/>
      <c r="D63" s="456"/>
      <c r="E63" s="515"/>
      <c r="F63" s="515"/>
      <c r="G63" s="459"/>
      <c r="H63" s="515"/>
      <c r="I63" s="515"/>
      <c r="J63" s="515"/>
      <c r="K63" s="523"/>
      <c r="L63" s="523"/>
      <c r="M63" s="523"/>
      <c r="N63" s="523"/>
      <c r="O63" s="523"/>
      <c r="P63" s="656"/>
      <c r="Q63" s="943">
        <f t="shared" si="2"/>
        <v>0</v>
      </c>
      <c r="R63" s="785"/>
      <c r="S63" s="786"/>
      <c r="T63" s="564"/>
      <c r="V63" s="929"/>
      <c r="W63" s="931"/>
      <c r="X63" s="931"/>
      <c r="Y63" s="931"/>
      <c r="Z63" s="931"/>
      <c r="AA63" s="931"/>
      <c r="AB63" s="931"/>
      <c r="AC63" s="931"/>
      <c r="AD63" s="931"/>
      <c r="AE63" s="931"/>
      <c r="AF63" s="931"/>
      <c r="AG63" s="931"/>
      <c r="AH63" s="931"/>
      <c r="AI63" s="932"/>
    </row>
    <row r="64" spans="2:35" ht="22.5" customHeight="1">
      <c r="B64" s="576"/>
      <c r="C64" s="459"/>
      <c r="D64" s="456"/>
      <c r="E64" s="515"/>
      <c r="F64" s="515"/>
      <c r="G64" s="459"/>
      <c r="H64" s="515"/>
      <c r="I64" s="515"/>
      <c r="J64" s="515"/>
      <c r="K64" s="523"/>
      <c r="L64" s="523"/>
      <c r="M64" s="523"/>
      <c r="N64" s="523"/>
      <c r="O64" s="523"/>
      <c r="P64" s="656"/>
      <c r="Q64" s="943">
        <f t="shared" si="2"/>
        <v>0</v>
      </c>
      <c r="R64" s="785"/>
      <c r="S64" s="786"/>
      <c r="T64" s="564"/>
      <c r="V64" s="929"/>
      <c r="W64" s="931"/>
      <c r="X64" s="931"/>
      <c r="Y64" s="931"/>
      <c r="Z64" s="931"/>
      <c r="AA64" s="931"/>
      <c r="AB64" s="931"/>
      <c r="AC64" s="931"/>
      <c r="AD64" s="931"/>
      <c r="AE64" s="931"/>
      <c r="AF64" s="931"/>
      <c r="AG64" s="931"/>
      <c r="AH64" s="931"/>
      <c r="AI64" s="932"/>
    </row>
    <row r="65" spans="2:35" ht="22.5" customHeight="1">
      <c r="B65" s="576"/>
      <c r="C65" s="459"/>
      <c r="D65" s="456"/>
      <c r="E65" s="515"/>
      <c r="F65" s="515"/>
      <c r="G65" s="459"/>
      <c r="H65" s="515"/>
      <c r="I65" s="515"/>
      <c r="J65" s="515"/>
      <c r="K65" s="523"/>
      <c r="L65" s="523"/>
      <c r="M65" s="523"/>
      <c r="N65" s="523"/>
      <c r="O65" s="523"/>
      <c r="P65" s="656"/>
      <c r="Q65" s="943">
        <f t="shared" si="2"/>
        <v>0</v>
      </c>
      <c r="R65" s="785"/>
      <c r="S65" s="786"/>
      <c r="T65" s="564"/>
      <c r="V65" s="929"/>
      <c r="W65" s="931"/>
      <c r="X65" s="931"/>
      <c r="Y65" s="931"/>
      <c r="Z65" s="931"/>
      <c r="AA65" s="931"/>
      <c r="AB65" s="931"/>
      <c r="AC65" s="931"/>
      <c r="AD65" s="931"/>
      <c r="AE65" s="931"/>
      <c r="AF65" s="931"/>
      <c r="AG65" s="931"/>
      <c r="AH65" s="931"/>
      <c r="AI65" s="932"/>
    </row>
    <row r="66" spans="2:35" ht="22.5" customHeight="1">
      <c r="B66" s="576"/>
      <c r="C66" s="459"/>
      <c r="D66" s="456"/>
      <c r="E66" s="515"/>
      <c r="F66" s="515"/>
      <c r="G66" s="459"/>
      <c r="H66" s="515"/>
      <c r="I66" s="515"/>
      <c r="J66" s="515"/>
      <c r="K66" s="523"/>
      <c r="L66" s="523"/>
      <c r="M66" s="523"/>
      <c r="N66" s="523"/>
      <c r="O66" s="523"/>
      <c r="P66" s="656"/>
      <c r="Q66" s="943">
        <f t="shared" si="2"/>
        <v>0</v>
      </c>
      <c r="R66" s="785"/>
      <c r="S66" s="786"/>
      <c r="T66" s="564"/>
      <c r="V66" s="929"/>
      <c r="W66" s="931"/>
      <c r="X66" s="931"/>
      <c r="Y66" s="931"/>
      <c r="Z66" s="931"/>
      <c r="AA66" s="931"/>
      <c r="AB66" s="931"/>
      <c r="AC66" s="931"/>
      <c r="AD66" s="931"/>
      <c r="AE66" s="931"/>
      <c r="AF66" s="931"/>
      <c r="AG66" s="931"/>
      <c r="AH66" s="931"/>
      <c r="AI66" s="932"/>
    </row>
    <row r="67" spans="2:35" ht="22.5" customHeight="1">
      <c r="B67" s="576"/>
      <c r="C67" s="459"/>
      <c r="D67" s="456"/>
      <c r="E67" s="515"/>
      <c r="F67" s="515"/>
      <c r="G67" s="459"/>
      <c r="H67" s="515"/>
      <c r="I67" s="515"/>
      <c r="J67" s="515"/>
      <c r="K67" s="523"/>
      <c r="L67" s="523"/>
      <c r="M67" s="523"/>
      <c r="N67" s="523"/>
      <c r="O67" s="523"/>
      <c r="P67" s="656"/>
      <c r="Q67" s="943">
        <f t="shared" si="2"/>
        <v>0</v>
      </c>
      <c r="R67" s="785"/>
      <c r="S67" s="786"/>
      <c r="T67" s="564"/>
      <c r="V67" s="929"/>
      <c r="W67" s="931"/>
      <c r="X67" s="931"/>
      <c r="Y67" s="931"/>
      <c r="Z67" s="931"/>
      <c r="AA67" s="931"/>
      <c r="AB67" s="931"/>
      <c r="AC67" s="931"/>
      <c r="AD67" s="931"/>
      <c r="AE67" s="931"/>
      <c r="AF67" s="931"/>
      <c r="AG67" s="931"/>
      <c r="AH67" s="931"/>
      <c r="AI67" s="932"/>
    </row>
    <row r="68" spans="2:35" ht="22.5" customHeight="1">
      <c r="B68" s="576"/>
      <c r="C68" s="459"/>
      <c r="D68" s="456"/>
      <c r="E68" s="515"/>
      <c r="F68" s="515"/>
      <c r="G68" s="459"/>
      <c r="H68" s="515"/>
      <c r="I68" s="515"/>
      <c r="J68" s="515"/>
      <c r="K68" s="523"/>
      <c r="L68" s="523"/>
      <c r="M68" s="523"/>
      <c r="N68" s="523"/>
      <c r="O68" s="523"/>
      <c r="P68" s="656"/>
      <c r="Q68" s="943">
        <f t="shared" si="2"/>
        <v>0</v>
      </c>
      <c r="R68" s="785"/>
      <c r="S68" s="786"/>
      <c r="T68" s="564"/>
      <c r="V68" s="929"/>
      <c r="W68" s="931"/>
      <c r="X68" s="931"/>
      <c r="Y68" s="931"/>
      <c r="Z68" s="931"/>
      <c r="AA68" s="931"/>
      <c r="AB68" s="931"/>
      <c r="AC68" s="931"/>
      <c r="AD68" s="931"/>
      <c r="AE68" s="931"/>
      <c r="AF68" s="931"/>
      <c r="AG68" s="931"/>
      <c r="AH68" s="931"/>
      <c r="AI68" s="932"/>
    </row>
    <row r="69" spans="2:35" ht="22.5" customHeight="1">
      <c r="B69" s="576"/>
      <c r="C69" s="459"/>
      <c r="D69" s="456"/>
      <c r="E69" s="515"/>
      <c r="F69" s="515"/>
      <c r="G69" s="459"/>
      <c r="H69" s="515"/>
      <c r="I69" s="515"/>
      <c r="J69" s="515"/>
      <c r="K69" s="523"/>
      <c r="L69" s="523"/>
      <c r="M69" s="523"/>
      <c r="N69" s="523"/>
      <c r="O69" s="523"/>
      <c r="P69" s="656"/>
      <c r="Q69" s="943">
        <f t="shared" si="2"/>
        <v>0</v>
      </c>
      <c r="R69" s="785"/>
      <c r="S69" s="786"/>
      <c r="T69" s="564"/>
      <c r="V69" s="929"/>
      <c r="W69" s="931"/>
      <c r="X69" s="931"/>
      <c r="Y69" s="931"/>
      <c r="Z69" s="931"/>
      <c r="AA69" s="931"/>
      <c r="AB69" s="931"/>
      <c r="AC69" s="931"/>
      <c r="AD69" s="931"/>
      <c r="AE69" s="931"/>
      <c r="AF69" s="931"/>
      <c r="AG69" s="931"/>
      <c r="AH69" s="931"/>
      <c r="AI69" s="932"/>
    </row>
    <row r="70" spans="2:35" ht="22.5" customHeight="1">
      <c r="B70" s="576"/>
      <c r="C70" s="459"/>
      <c r="D70" s="456"/>
      <c r="E70" s="515"/>
      <c r="F70" s="515"/>
      <c r="G70" s="459"/>
      <c r="H70" s="515"/>
      <c r="I70" s="515"/>
      <c r="J70" s="515"/>
      <c r="K70" s="523"/>
      <c r="L70" s="523"/>
      <c r="M70" s="523"/>
      <c r="N70" s="523"/>
      <c r="O70" s="523"/>
      <c r="P70" s="656"/>
      <c r="Q70" s="943">
        <f t="shared" si="2"/>
        <v>0</v>
      </c>
      <c r="R70" s="785"/>
      <c r="S70" s="786"/>
      <c r="T70" s="564"/>
      <c r="V70" s="929"/>
      <c r="W70" s="931"/>
      <c r="X70" s="931"/>
      <c r="Y70" s="931"/>
      <c r="Z70" s="931"/>
      <c r="AA70" s="931"/>
      <c r="AB70" s="931"/>
      <c r="AC70" s="931"/>
      <c r="AD70" s="931"/>
      <c r="AE70" s="931"/>
      <c r="AF70" s="931"/>
      <c r="AG70" s="931"/>
      <c r="AH70" s="931"/>
      <c r="AI70" s="932"/>
    </row>
    <row r="71" spans="2:35" ht="22.5" customHeight="1">
      <c r="B71" s="576"/>
      <c r="C71" s="459"/>
      <c r="D71" s="456"/>
      <c r="E71" s="515"/>
      <c r="F71" s="515"/>
      <c r="G71" s="459"/>
      <c r="H71" s="515"/>
      <c r="I71" s="515"/>
      <c r="J71" s="515"/>
      <c r="K71" s="523"/>
      <c r="L71" s="523"/>
      <c r="M71" s="523"/>
      <c r="N71" s="523"/>
      <c r="O71" s="523"/>
      <c r="P71" s="656"/>
      <c r="Q71" s="943">
        <f t="shared" si="2"/>
        <v>0</v>
      </c>
      <c r="R71" s="785"/>
      <c r="S71" s="786"/>
      <c r="T71" s="564"/>
      <c r="V71" s="929"/>
      <c r="W71" s="931"/>
      <c r="X71" s="931"/>
      <c r="Y71" s="931"/>
      <c r="Z71" s="931"/>
      <c r="AA71" s="931"/>
      <c r="AB71" s="931"/>
      <c r="AC71" s="931"/>
      <c r="AD71" s="931"/>
      <c r="AE71" s="931"/>
      <c r="AF71" s="931"/>
      <c r="AG71" s="931"/>
      <c r="AH71" s="931"/>
      <c r="AI71" s="932"/>
    </row>
    <row r="72" spans="2:35" ht="22.5" customHeight="1">
      <c r="B72" s="576"/>
      <c r="C72" s="459"/>
      <c r="D72" s="456"/>
      <c r="E72" s="515"/>
      <c r="F72" s="515"/>
      <c r="G72" s="459"/>
      <c r="H72" s="515"/>
      <c r="I72" s="515"/>
      <c r="J72" s="515"/>
      <c r="K72" s="523"/>
      <c r="L72" s="523"/>
      <c r="M72" s="523"/>
      <c r="N72" s="523"/>
      <c r="O72" s="523"/>
      <c r="P72" s="656"/>
      <c r="Q72" s="943">
        <f t="shared" si="2"/>
        <v>0</v>
      </c>
      <c r="R72" s="785"/>
      <c r="S72" s="786"/>
      <c r="T72" s="564"/>
      <c r="V72" s="929"/>
      <c r="W72" s="931"/>
      <c r="X72" s="931"/>
      <c r="Y72" s="931"/>
      <c r="Z72" s="931"/>
      <c r="AA72" s="931"/>
      <c r="AB72" s="931"/>
      <c r="AC72" s="931"/>
      <c r="AD72" s="931"/>
      <c r="AE72" s="931"/>
      <c r="AF72" s="931"/>
      <c r="AG72" s="931"/>
      <c r="AH72" s="931"/>
      <c r="AI72" s="932"/>
    </row>
    <row r="73" spans="2:35" ht="22.5" customHeight="1">
      <c r="B73" s="576"/>
      <c r="C73" s="459"/>
      <c r="D73" s="457"/>
      <c r="E73" s="516"/>
      <c r="F73" s="516"/>
      <c r="G73" s="460"/>
      <c r="H73" s="516"/>
      <c r="I73" s="516"/>
      <c r="J73" s="516"/>
      <c r="K73" s="524"/>
      <c r="L73" s="524"/>
      <c r="M73" s="524"/>
      <c r="N73" s="524"/>
      <c r="O73" s="524"/>
      <c r="P73" s="657"/>
      <c r="Q73" s="944">
        <f t="shared" si="2"/>
        <v>0</v>
      </c>
      <c r="R73" s="785"/>
      <c r="S73" s="786"/>
      <c r="T73" s="564"/>
      <c r="V73" s="929"/>
      <c r="W73" s="931"/>
      <c r="X73" s="931"/>
      <c r="Y73" s="931"/>
      <c r="Z73" s="931"/>
      <c r="AA73" s="931"/>
      <c r="AB73" s="931"/>
      <c r="AC73" s="931"/>
      <c r="AD73" s="931"/>
      <c r="AE73" s="931"/>
      <c r="AF73" s="931"/>
      <c r="AG73" s="931"/>
      <c r="AH73" s="931"/>
      <c r="AI73" s="932"/>
    </row>
    <row r="74" spans="2:35" ht="22.5" customHeight="1">
      <c r="B74" s="576"/>
      <c r="C74" s="461"/>
      <c r="D74" s="458"/>
      <c r="E74" s="517"/>
      <c r="F74" s="517"/>
      <c r="G74" s="461"/>
      <c r="H74" s="517"/>
      <c r="I74" s="517"/>
      <c r="J74" s="517"/>
      <c r="K74" s="525"/>
      <c r="L74" s="525"/>
      <c r="M74" s="525"/>
      <c r="N74" s="525"/>
      <c r="O74" s="525"/>
      <c r="P74" s="658"/>
      <c r="Q74" s="945">
        <f t="shared" si="2"/>
        <v>0</v>
      </c>
      <c r="R74" s="787"/>
      <c r="S74" s="788"/>
      <c r="T74" s="564"/>
      <c r="V74" s="929"/>
      <c r="W74" s="931"/>
      <c r="X74" s="931"/>
      <c r="Y74" s="931"/>
      <c r="Z74" s="931"/>
      <c r="AA74" s="931"/>
      <c r="AB74" s="931"/>
      <c r="AC74" s="931"/>
      <c r="AD74" s="931"/>
      <c r="AE74" s="931"/>
      <c r="AF74" s="931"/>
      <c r="AG74" s="931"/>
      <c r="AH74" s="931"/>
      <c r="AI74" s="932"/>
    </row>
    <row r="75" spans="2:35" ht="22.5" customHeight="1" thickBot="1">
      <c r="B75" s="576"/>
      <c r="C75" s="554"/>
      <c r="D75" s="554"/>
      <c r="E75" s="923"/>
      <c r="F75" s="923"/>
      <c r="G75" s="923"/>
      <c r="H75" s="1350" t="s">
        <v>855</v>
      </c>
      <c r="I75" s="1351"/>
      <c r="J75" s="1352"/>
      <c r="K75" s="946">
        <f aca="true" t="shared" si="3" ref="K75:S75">SUM(K50:K74)</f>
        <v>0</v>
      </c>
      <c r="L75" s="947">
        <f t="shared" si="3"/>
        <v>124094.01000000001</v>
      </c>
      <c r="M75" s="948">
        <f t="shared" si="3"/>
        <v>267438.62</v>
      </c>
      <c r="N75" s="948">
        <f t="shared" si="3"/>
        <v>88179.10999999999</v>
      </c>
      <c r="O75" s="946">
        <f t="shared" si="3"/>
        <v>0</v>
      </c>
      <c r="P75" s="946">
        <f t="shared" si="3"/>
        <v>0</v>
      </c>
      <c r="Q75" s="949">
        <f t="shared" si="3"/>
        <v>303353.52</v>
      </c>
      <c r="R75" s="948">
        <f t="shared" si="3"/>
        <v>235239.46999999997</v>
      </c>
      <c r="S75" s="612">
        <f t="shared" si="3"/>
        <v>68114.05</v>
      </c>
      <c r="T75" s="564"/>
      <c r="V75" s="929"/>
      <c r="W75" s="931"/>
      <c r="X75" s="931"/>
      <c r="Y75" s="931"/>
      <c r="Z75" s="931"/>
      <c r="AA75" s="931"/>
      <c r="AB75" s="931"/>
      <c r="AC75" s="931"/>
      <c r="AD75" s="931"/>
      <c r="AE75" s="931"/>
      <c r="AF75" s="931"/>
      <c r="AG75" s="931"/>
      <c r="AH75" s="931"/>
      <c r="AI75" s="932"/>
    </row>
    <row r="76" spans="2:35" ht="22.5" customHeight="1">
      <c r="B76" s="576"/>
      <c r="C76" s="554"/>
      <c r="D76" s="554"/>
      <c r="E76" s="923"/>
      <c r="F76" s="923"/>
      <c r="G76" s="923"/>
      <c r="H76" s="951"/>
      <c r="I76" s="951"/>
      <c r="J76" s="951"/>
      <c r="K76" s="923"/>
      <c r="L76" s="923"/>
      <c r="M76" s="923"/>
      <c r="N76" s="923"/>
      <c r="O76" s="923"/>
      <c r="P76" s="923"/>
      <c r="Q76" s="923"/>
      <c r="R76" s="923"/>
      <c r="S76" s="923"/>
      <c r="T76" s="564"/>
      <c r="V76" s="929"/>
      <c r="W76" s="931"/>
      <c r="X76" s="931"/>
      <c r="Y76" s="931"/>
      <c r="Z76" s="931"/>
      <c r="AA76" s="931"/>
      <c r="AB76" s="931"/>
      <c r="AC76" s="931"/>
      <c r="AD76" s="931"/>
      <c r="AE76" s="931"/>
      <c r="AF76" s="931"/>
      <c r="AG76" s="931"/>
      <c r="AH76" s="931"/>
      <c r="AI76" s="932"/>
    </row>
    <row r="77" spans="2:35" ht="22.5" customHeight="1">
      <c r="B77" s="576"/>
      <c r="C77" s="934" t="s">
        <v>37</v>
      </c>
      <c r="D77" s="900"/>
      <c r="E77" s="574"/>
      <c r="F77" s="574"/>
      <c r="G77" s="574"/>
      <c r="H77" s="574"/>
      <c r="I77" s="574"/>
      <c r="J77" s="574"/>
      <c r="K77" s="574"/>
      <c r="L77" s="574"/>
      <c r="M77" s="574"/>
      <c r="N77" s="574"/>
      <c r="O77" s="574"/>
      <c r="P77" s="574"/>
      <c r="Q77" s="574"/>
      <c r="R77" s="574"/>
      <c r="S77" s="574"/>
      <c r="T77" s="564"/>
      <c r="V77" s="929"/>
      <c r="W77" s="931"/>
      <c r="X77" s="931"/>
      <c r="Y77" s="931"/>
      <c r="Z77" s="931"/>
      <c r="AA77" s="931"/>
      <c r="AB77" s="931"/>
      <c r="AC77" s="931"/>
      <c r="AD77" s="931"/>
      <c r="AE77" s="931"/>
      <c r="AF77" s="931"/>
      <c r="AG77" s="931"/>
      <c r="AH77" s="931"/>
      <c r="AI77" s="932"/>
    </row>
    <row r="78" spans="2:35" ht="22.5" customHeight="1">
      <c r="B78" s="576"/>
      <c r="C78" s="900"/>
      <c r="D78" s="900"/>
      <c r="E78" s="574"/>
      <c r="F78" s="574"/>
      <c r="G78" s="574"/>
      <c r="H78" s="574"/>
      <c r="I78" s="574"/>
      <c r="J78" s="574"/>
      <c r="K78" s="574"/>
      <c r="L78" s="574"/>
      <c r="M78" s="574"/>
      <c r="N78" s="574"/>
      <c r="O78" s="574"/>
      <c r="P78" s="574"/>
      <c r="Q78" s="574"/>
      <c r="R78" s="574"/>
      <c r="S78" s="574"/>
      <c r="T78" s="564"/>
      <c r="V78" s="929"/>
      <c r="W78" s="931"/>
      <c r="X78" s="931"/>
      <c r="Y78" s="931"/>
      <c r="Z78" s="931"/>
      <c r="AA78" s="931"/>
      <c r="AB78" s="931"/>
      <c r="AC78" s="931"/>
      <c r="AD78" s="931"/>
      <c r="AE78" s="931"/>
      <c r="AF78" s="931"/>
      <c r="AG78" s="931"/>
      <c r="AH78" s="931"/>
      <c r="AI78" s="932"/>
    </row>
    <row r="79" spans="2:35" ht="22.5" customHeight="1">
      <c r="B79" s="576"/>
      <c r="C79" s="900"/>
      <c r="D79" s="900"/>
      <c r="E79" s="574"/>
      <c r="F79" s="574"/>
      <c r="G79" s="574"/>
      <c r="H79" s="574"/>
      <c r="I79" s="574"/>
      <c r="J79" s="574"/>
      <c r="K79" s="574"/>
      <c r="L79" s="574"/>
      <c r="M79" s="574"/>
      <c r="N79" s="574"/>
      <c r="O79" s="574"/>
      <c r="P79" s="574"/>
      <c r="Q79" s="574"/>
      <c r="R79" s="574"/>
      <c r="S79" s="574"/>
      <c r="T79" s="564"/>
      <c r="V79" s="929"/>
      <c r="W79" s="931"/>
      <c r="X79" s="931"/>
      <c r="Y79" s="931"/>
      <c r="Z79" s="931"/>
      <c r="AA79" s="931"/>
      <c r="AB79" s="931"/>
      <c r="AC79" s="931"/>
      <c r="AD79" s="931"/>
      <c r="AE79" s="931"/>
      <c r="AF79" s="931"/>
      <c r="AG79" s="931"/>
      <c r="AH79" s="931"/>
      <c r="AI79" s="932"/>
    </row>
    <row r="80" spans="2:35" ht="37.5" customHeight="1">
      <c r="B80" s="576"/>
      <c r="C80" s="935" t="s">
        <v>848</v>
      </c>
      <c r="D80" s="936" t="s">
        <v>850</v>
      </c>
      <c r="E80" s="935" t="s">
        <v>1055</v>
      </c>
      <c r="F80" s="935" t="s">
        <v>1055</v>
      </c>
      <c r="G80" s="935" t="s">
        <v>852</v>
      </c>
      <c r="H80" s="935" t="s">
        <v>856</v>
      </c>
      <c r="I80" s="935" t="s">
        <v>858</v>
      </c>
      <c r="J80" s="935" t="s">
        <v>1108</v>
      </c>
      <c r="K80" s="935" t="s">
        <v>854</v>
      </c>
      <c r="L80" s="935" t="s">
        <v>1057</v>
      </c>
      <c r="M80" s="937" t="s">
        <v>1068</v>
      </c>
      <c r="N80" s="935" t="s">
        <v>211</v>
      </c>
      <c r="O80" s="935" t="s">
        <v>212</v>
      </c>
      <c r="P80" s="938" t="s">
        <v>213</v>
      </c>
      <c r="Q80" s="935" t="s">
        <v>1057</v>
      </c>
      <c r="R80" s="1348" t="s">
        <v>214</v>
      </c>
      <c r="S80" s="1349"/>
      <c r="T80" s="564"/>
      <c r="V80" s="929"/>
      <c r="W80" s="931"/>
      <c r="X80" s="931"/>
      <c r="Y80" s="931"/>
      <c r="Z80" s="931"/>
      <c r="AA80" s="931"/>
      <c r="AB80" s="931"/>
      <c r="AC80" s="931"/>
      <c r="AD80" s="931"/>
      <c r="AE80" s="931"/>
      <c r="AF80" s="931"/>
      <c r="AG80" s="931"/>
      <c r="AH80" s="931"/>
      <c r="AI80" s="932"/>
    </row>
    <row r="81" spans="2:35" ht="22.5" customHeight="1">
      <c r="B81" s="576"/>
      <c r="C81" s="939" t="s">
        <v>849</v>
      </c>
      <c r="D81" s="940" t="s">
        <v>849</v>
      </c>
      <c r="E81" s="939" t="s">
        <v>851</v>
      </c>
      <c r="F81" s="939" t="s">
        <v>1056</v>
      </c>
      <c r="G81" s="939" t="s">
        <v>36</v>
      </c>
      <c r="H81" s="939" t="s">
        <v>857</v>
      </c>
      <c r="I81" s="939" t="s">
        <v>1093</v>
      </c>
      <c r="J81" s="939" t="s">
        <v>1136</v>
      </c>
      <c r="K81" s="939" t="s">
        <v>210</v>
      </c>
      <c r="L81" s="939">
        <f>ejercicio-1</f>
        <v>2018</v>
      </c>
      <c r="M81" s="939">
        <f>ejercicio</f>
        <v>2019</v>
      </c>
      <c r="N81" s="939">
        <f>ejercicio</f>
        <v>2019</v>
      </c>
      <c r="O81" s="939">
        <f>ejercicio</f>
        <v>2019</v>
      </c>
      <c r="P81" s="939">
        <f>ejercicio</f>
        <v>2019</v>
      </c>
      <c r="Q81" s="939">
        <f>ejercicio</f>
        <v>2019</v>
      </c>
      <c r="R81" s="941" t="s">
        <v>1058</v>
      </c>
      <c r="S81" s="942" t="s">
        <v>1059</v>
      </c>
      <c r="T81" s="564"/>
      <c r="V81" s="929"/>
      <c r="W81" s="931"/>
      <c r="X81" s="931"/>
      <c r="Y81" s="931"/>
      <c r="Z81" s="931"/>
      <c r="AA81" s="931"/>
      <c r="AB81" s="931"/>
      <c r="AC81" s="931"/>
      <c r="AD81" s="931"/>
      <c r="AE81" s="931"/>
      <c r="AF81" s="931"/>
      <c r="AG81" s="931"/>
      <c r="AH81" s="931"/>
      <c r="AI81" s="932"/>
    </row>
    <row r="82" spans="2:35" ht="22.5" customHeight="1">
      <c r="B82" s="576"/>
      <c r="C82" s="459">
        <v>1</v>
      </c>
      <c r="D82" s="898" t="s">
        <v>302</v>
      </c>
      <c r="E82" s="897"/>
      <c r="F82" s="515"/>
      <c r="G82" s="1173" t="s">
        <v>303</v>
      </c>
      <c r="H82" s="1174" t="s">
        <v>304</v>
      </c>
      <c r="I82" s="1174" t="s">
        <v>281</v>
      </c>
      <c r="J82" s="725" t="s">
        <v>281</v>
      </c>
      <c r="K82" s="523">
        <v>297518.55</v>
      </c>
      <c r="L82" s="523">
        <v>297518.55</v>
      </c>
      <c r="M82" s="726">
        <v>200000</v>
      </c>
      <c r="N82" s="726"/>
      <c r="O82" s="726"/>
      <c r="P82" s="656"/>
      <c r="Q82" s="952">
        <f>L82+M82-N82</f>
        <v>497518.55</v>
      </c>
      <c r="R82" s="783">
        <v>497518.55</v>
      </c>
      <c r="S82" s="784"/>
      <c r="T82" s="564"/>
      <c r="V82" s="929"/>
      <c r="W82" s="931"/>
      <c r="X82" s="931"/>
      <c r="Y82" s="931"/>
      <c r="Z82" s="931"/>
      <c r="AA82" s="931"/>
      <c r="AB82" s="931"/>
      <c r="AC82" s="931"/>
      <c r="AD82" s="931"/>
      <c r="AE82" s="931"/>
      <c r="AF82" s="931"/>
      <c r="AG82" s="931"/>
      <c r="AH82" s="931"/>
      <c r="AI82" s="932"/>
    </row>
    <row r="83" spans="2:35" ht="22.5" customHeight="1">
      <c r="B83" s="576"/>
      <c r="C83" s="459"/>
      <c r="D83" s="898"/>
      <c r="E83" s="897"/>
      <c r="F83" s="515"/>
      <c r="G83" s="1173"/>
      <c r="H83" s="1174"/>
      <c r="I83" s="515"/>
      <c r="J83" s="725"/>
      <c r="K83" s="523"/>
      <c r="L83" s="523"/>
      <c r="M83" s="523"/>
      <c r="N83" s="523"/>
      <c r="O83" s="523"/>
      <c r="P83" s="656"/>
      <c r="Q83" s="943">
        <f aca="true" t="shared" si="4" ref="Q83:Q106">L83+M83-N83</f>
        <v>0</v>
      </c>
      <c r="R83" s="785"/>
      <c r="S83" s="786"/>
      <c r="T83" s="564"/>
      <c r="V83" s="929"/>
      <c r="W83" s="931"/>
      <c r="X83" s="931"/>
      <c r="Y83" s="931"/>
      <c r="Z83" s="931"/>
      <c r="AA83" s="931"/>
      <c r="AB83" s="931"/>
      <c r="AC83" s="931"/>
      <c r="AD83" s="931"/>
      <c r="AE83" s="931"/>
      <c r="AF83" s="931"/>
      <c r="AG83" s="931"/>
      <c r="AH83" s="931"/>
      <c r="AI83" s="932"/>
    </row>
    <row r="84" spans="2:35" ht="22.5" customHeight="1">
      <c r="B84" s="576"/>
      <c r="C84" s="459"/>
      <c r="D84" s="898"/>
      <c r="E84" s="897"/>
      <c r="F84" s="515"/>
      <c r="G84" s="1173"/>
      <c r="H84" s="1174"/>
      <c r="I84" s="515"/>
      <c r="J84" s="725"/>
      <c r="K84" s="523"/>
      <c r="L84" s="523"/>
      <c r="M84" s="523"/>
      <c r="N84" s="523"/>
      <c r="O84" s="523"/>
      <c r="P84" s="656"/>
      <c r="Q84" s="943">
        <f t="shared" si="4"/>
        <v>0</v>
      </c>
      <c r="R84" s="785"/>
      <c r="S84" s="786"/>
      <c r="T84" s="564"/>
      <c r="V84" s="929"/>
      <c r="W84" s="931"/>
      <c r="X84" s="931"/>
      <c r="Y84" s="931"/>
      <c r="Z84" s="931"/>
      <c r="AA84" s="931"/>
      <c r="AB84" s="931"/>
      <c r="AC84" s="931"/>
      <c r="AD84" s="931"/>
      <c r="AE84" s="931"/>
      <c r="AF84" s="931"/>
      <c r="AG84" s="931"/>
      <c r="AH84" s="931"/>
      <c r="AI84" s="932"/>
    </row>
    <row r="85" spans="2:35" ht="22.5" customHeight="1">
      <c r="B85" s="576"/>
      <c r="C85" s="459"/>
      <c r="D85" s="456"/>
      <c r="E85" s="515"/>
      <c r="F85" s="515"/>
      <c r="G85" s="459"/>
      <c r="H85" s="515"/>
      <c r="I85" s="515"/>
      <c r="J85" s="515"/>
      <c r="K85" s="523"/>
      <c r="L85" s="523"/>
      <c r="M85" s="523"/>
      <c r="N85" s="523"/>
      <c r="O85" s="523"/>
      <c r="P85" s="656"/>
      <c r="Q85" s="943">
        <f t="shared" si="4"/>
        <v>0</v>
      </c>
      <c r="R85" s="785"/>
      <c r="S85" s="786"/>
      <c r="T85" s="564"/>
      <c r="V85" s="929"/>
      <c r="W85" s="931"/>
      <c r="X85" s="931"/>
      <c r="Y85" s="931"/>
      <c r="Z85" s="931"/>
      <c r="AA85" s="931"/>
      <c r="AB85" s="931"/>
      <c r="AC85" s="931"/>
      <c r="AD85" s="931"/>
      <c r="AE85" s="931"/>
      <c r="AF85" s="931"/>
      <c r="AG85" s="931"/>
      <c r="AH85" s="931"/>
      <c r="AI85" s="932"/>
    </row>
    <row r="86" spans="2:35" ht="22.5" customHeight="1">
      <c r="B86" s="576"/>
      <c r="C86" s="459"/>
      <c r="D86" s="456"/>
      <c r="E86" s="515"/>
      <c r="F86" s="515"/>
      <c r="G86" s="459"/>
      <c r="H86" s="515"/>
      <c r="I86" s="515"/>
      <c r="J86" s="515"/>
      <c r="K86" s="523"/>
      <c r="L86" s="523"/>
      <c r="M86" s="523"/>
      <c r="N86" s="523"/>
      <c r="O86" s="523"/>
      <c r="P86" s="656"/>
      <c r="Q86" s="943">
        <f t="shared" si="4"/>
        <v>0</v>
      </c>
      <c r="R86" s="785"/>
      <c r="S86" s="786"/>
      <c r="T86" s="564"/>
      <c r="V86" s="929"/>
      <c r="W86" s="931"/>
      <c r="X86" s="931"/>
      <c r="Y86" s="931"/>
      <c r="Z86" s="931"/>
      <c r="AA86" s="931"/>
      <c r="AB86" s="931"/>
      <c r="AC86" s="931"/>
      <c r="AD86" s="931"/>
      <c r="AE86" s="931"/>
      <c r="AF86" s="931"/>
      <c r="AG86" s="931"/>
      <c r="AH86" s="931"/>
      <c r="AI86" s="932"/>
    </row>
    <row r="87" spans="2:35" ht="22.5" customHeight="1">
      <c r="B87" s="576"/>
      <c r="C87" s="459"/>
      <c r="D87" s="456"/>
      <c r="E87" s="515"/>
      <c r="F87" s="515"/>
      <c r="G87" s="459"/>
      <c r="H87" s="515"/>
      <c r="I87" s="515"/>
      <c r="J87" s="515"/>
      <c r="K87" s="523"/>
      <c r="L87" s="523"/>
      <c r="M87" s="523"/>
      <c r="N87" s="523"/>
      <c r="O87" s="523"/>
      <c r="P87" s="656"/>
      <c r="Q87" s="943">
        <f t="shared" si="4"/>
        <v>0</v>
      </c>
      <c r="R87" s="785"/>
      <c r="S87" s="786"/>
      <c r="T87" s="564"/>
      <c r="V87" s="929"/>
      <c r="W87" s="931"/>
      <c r="X87" s="931"/>
      <c r="Y87" s="931"/>
      <c r="Z87" s="931"/>
      <c r="AA87" s="931"/>
      <c r="AB87" s="931"/>
      <c r="AC87" s="931"/>
      <c r="AD87" s="931"/>
      <c r="AE87" s="931"/>
      <c r="AF87" s="931"/>
      <c r="AG87" s="931"/>
      <c r="AH87" s="931"/>
      <c r="AI87" s="932"/>
    </row>
    <row r="88" spans="2:35" ht="22.5" customHeight="1">
      <c r="B88" s="576"/>
      <c r="C88" s="459"/>
      <c r="D88" s="456"/>
      <c r="E88" s="515"/>
      <c r="F88" s="515"/>
      <c r="G88" s="459"/>
      <c r="H88" s="515"/>
      <c r="I88" s="515"/>
      <c r="J88" s="515"/>
      <c r="K88" s="523"/>
      <c r="L88" s="523"/>
      <c r="M88" s="523"/>
      <c r="N88" s="523"/>
      <c r="O88" s="523"/>
      <c r="P88" s="656"/>
      <c r="Q88" s="943">
        <f t="shared" si="4"/>
        <v>0</v>
      </c>
      <c r="R88" s="785"/>
      <c r="S88" s="786"/>
      <c r="T88" s="564"/>
      <c r="V88" s="929"/>
      <c r="W88" s="931"/>
      <c r="X88" s="931"/>
      <c r="Y88" s="931"/>
      <c r="Z88" s="931"/>
      <c r="AA88" s="931"/>
      <c r="AB88" s="931"/>
      <c r="AC88" s="931"/>
      <c r="AD88" s="931"/>
      <c r="AE88" s="931"/>
      <c r="AF88" s="931"/>
      <c r="AG88" s="931"/>
      <c r="AH88" s="931"/>
      <c r="AI88" s="932"/>
    </row>
    <row r="89" spans="2:35" ht="22.5" customHeight="1">
      <c r="B89" s="576"/>
      <c r="C89" s="459"/>
      <c r="D89" s="456"/>
      <c r="E89" s="515"/>
      <c r="F89" s="515"/>
      <c r="G89" s="459"/>
      <c r="H89" s="515"/>
      <c r="I89" s="515"/>
      <c r="J89" s="515"/>
      <c r="K89" s="523"/>
      <c r="L89" s="523"/>
      <c r="M89" s="523"/>
      <c r="N89" s="523"/>
      <c r="O89" s="523"/>
      <c r="P89" s="656"/>
      <c r="Q89" s="943">
        <f t="shared" si="4"/>
        <v>0</v>
      </c>
      <c r="R89" s="785"/>
      <c r="S89" s="786"/>
      <c r="T89" s="564"/>
      <c r="V89" s="929"/>
      <c r="W89" s="931"/>
      <c r="X89" s="931"/>
      <c r="Y89" s="931"/>
      <c r="Z89" s="931"/>
      <c r="AA89" s="931"/>
      <c r="AB89" s="931"/>
      <c r="AC89" s="931"/>
      <c r="AD89" s="931"/>
      <c r="AE89" s="931"/>
      <c r="AF89" s="931"/>
      <c r="AG89" s="931"/>
      <c r="AH89" s="931"/>
      <c r="AI89" s="932"/>
    </row>
    <row r="90" spans="2:35" ht="22.5" customHeight="1">
      <c r="B90" s="576"/>
      <c r="C90" s="459"/>
      <c r="D90" s="456"/>
      <c r="E90" s="515"/>
      <c r="F90" s="515"/>
      <c r="G90" s="459"/>
      <c r="H90" s="515"/>
      <c r="I90" s="515"/>
      <c r="J90" s="515"/>
      <c r="K90" s="523"/>
      <c r="L90" s="523"/>
      <c r="M90" s="523"/>
      <c r="N90" s="523"/>
      <c r="O90" s="523"/>
      <c r="P90" s="656"/>
      <c r="Q90" s="943">
        <f t="shared" si="4"/>
        <v>0</v>
      </c>
      <c r="R90" s="785"/>
      <c r="S90" s="786"/>
      <c r="T90" s="564"/>
      <c r="V90" s="929"/>
      <c r="W90" s="931"/>
      <c r="X90" s="931"/>
      <c r="Y90" s="931"/>
      <c r="Z90" s="931"/>
      <c r="AA90" s="931"/>
      <c r="AB90" s="931"/>
      <c r="AC90" s="931"/>
      <c r="AD90" s="931"/>
      <c r="AE90" s="931"/>
      <c r="AF90" s="931"/>
      <c r="AG90" s="931"/>
      <c r="AH90" s="931"/>
      <c r="AI90" s="932"/>
    </row>
    <row r="91" spans="2:35" ht="22.5" customHeight="1">
      <c r="B91" s="576"/>
      <c r="C91" s="459"/>
      <c r="D91" s="456"/>
      <c r="E91" s="515"/>
      <c r="F91" s="515"/>
      <c r="G91" s="459"/>
      <c r="H91" s="515"/>
      <c r="I91" s="515"/>
      <c r="J91" s="515"/>
      <c r="K91" s="523"/>
      <c r="L91" s="523"/>
      <c r="M91" s="523"/>
      <c r="N91" s="523"/>
      <c r="O91" s="523"/>
      <c r="P91" s="656"/>
      <c r="Q91" s="943">
        <f t="shared" si="4"/>
        <v>0</v>
      </c>
      <c r="R91" s="785"/>
      <c r="S91" s="786"/>
      <c r="T91" s="564"/>
      <c r="V91" s="929"/>
      <c r="W91" s="931"/>
      <c r="X91" s="931"/>
      <c r="Y91" s="931"/>
      <c r="Z91" s="931"/>
      <c r="AA91" s="931"/>
      <c r="AB91" s="931"/>
      <c r="AC91" s="931"/>
      <c r="AD91" s="931"/>
      <c r="AE91" s="931"/>
      <c r="AF91" s="931"/>
      <c r="AG91" s="931"/>
      <c r="AH91" s="931"/>
      <c r="AI91" s="932"/>
    </row>
    <row r="92" spans="2:35" ht="22.5" customHeight="1">
      <c r="B92" s="576"/>
      <c r="C92" s="459"/>
      <c r="D92" s="456"/>
      <c r="E92" s="515"/>
      <c r="F92" s="515"/>
      <c r="G92" s="459"/>
      <c r="H92" s="515"/>
      <c r="I92" s="515"/>
      <c r="J92" s="515"/>
      <c r="K92" s="523"/>
      <c r="L92" s="523"/>
      <c r="M92" s="523"/>
      <c r="N92" s="523"/>
      <c r="O92" s="523"/>
      <c r="P92" s="656"/>
      <c r="Q92" s="943">
        <f t="shared" si="4"/>
        <v>0</v>
      </c>
      <c r="R92" s="785"/>
      <c r="S92" s="786"/>
      <c r="T92" s="564"/>
      <c r="V92" s="929"/>
      <c r="W92" s="931"/>
      <c r="X92" s="931"/>
      <c r="Y92" s="931"/>
      <c r="Z92" s="931"/>
      <c r="AA92" s="931"/>
      <c r="AB92" s="931"/>
      <c r="AC92" s="931"/>
      <c r="AD92" s="931"/>
      <c r="AE92" s="931"/>
      <c r="AF92" s="931"/>
      <c r="AG92" s="931"/>
      <c r="AH92" s="931"/>
      <c r="AI92" s="932"/>
    </row>
    <row r="93" spans="2:35" ht="22.5" customHeight="1">
      <c r="B93" s="576"/>
      <c r="C93" s="459"/>
      <c r="D93" s="456"/>
      <c r="E93" s="515"/>
      <c r="F93" s="515"/>
      <c r="G93" s="459"/>
      <c r="H93" s="515"/>
      <c r="I93" s="515"/>
      <c r="J93" s="515"/>
      <c r="K93" s="523"/>
      <c r="L93" s="523"/>
      <c r="M93" s="523"/>
      <c r="N93" s="523"/>
      <c r="O93" s="523"/>
      <c r="P93" s="656"/>
      <c r="Q93" s="943">
        <f t="shared" si="4"/>
        <v>0</v>
      </c>
      <c r="R93" s="785"/>
      <c r="S93" s="786"/>
      <c r="T93" s="564"/>
      <c r="V93" s="929"/>
      <c r="W93" s="931"/>
      <c r="X93" s="931"/>
      <c r="Y93" s="931"/>
      <c r="Z93" s="931"/>
      <c r="AA93" s="931"/>
      <c r="AB93" s="931"/>
      <c r="AC93" s="931"/>
      <c r="AD93" s="931"/>
      <c r="AE93" s="931"/>
      <c r="AF93" s="931"/>
      <c r="AG93" s="931"/>
      <c r="AH93" s="931"/>
      <c r="AI93" s="932"/>
    </row>
    <row r="94" spans="2:35" ht="22.5" customHeight="1">
      <c r="B94" s="576"/>
      <c r="C94" s="459"/>
      <c r="D94" s="456"/>
      <c r="E94" s="515"/>
      <c r="F94" s="515"/>
      <c r="G94" s="459"/>
      <c r="H94" s="515"/>
      <c r="I94" s="515"/>
      <c r="J94" s="515"/>
      <c r="K94" s="523"/>
      <c r="L94" s="523"/>
      <c r="M94" s="523"/>
      <c r="N94" s="523"/>
      <c r="O94" s="523"/>
      <c r="P94" s="656"/>
      <c r="Q94" s="943">
        <f t="shared" si="4"/>
        <v>0</v>
      </c>
      <c r="R94" s="785"/>
      <c r="S94" s="786"/>
      <c r="T94" s="564"/>
      <c r="V94" s="929"/>
      <c r="W94" s="931"/>
      <c r="X94" s="931"/>
      <c r="Y94" s="931"/>
      <c r="Z94" s="931"/>
      <c r="AA94" s="931"/>
      <c r="AB94" s="931"/>
      <c r="AC94" s="931"/>
      <c r="AD94" s="931"/>
      <c r="AE94" s="931"/>
      <c r="AF94" s="931"/>
      <c r="AG94" s="931"/>
      <c r="AH94" s="931"/>
      <c r="AI94" s="932"/>
    </row>
    <row r="95" spans="2:35" ht="22.5" customHeight="1">
      <c r="B95" s="576"/>
      <c r="C95" s="459"/>
      <c r="D95" s="456"/>
      <c r="E95" s="515"/>
      <c r="F95" s="515"/>
      <c r="G95" s="459"/>
      <c r="H95" s="515"/>
      <c r="I95" s="515"/>
      <c r="J95" s="515"/>
      <c r="K95" s="523"/>
      <c r="L95" s="523"/>
      <c r="M95" s="523"/>
      <c r="N95" s="523"/>
      <c r="O95" s="523"/>
      <c r="P95" s="656"/>
      <c r="Q95" s="943">
        <f t="shared" si="4"/>
        <v>0</v>
      </c>
      <c r="R95" s="785"/>
      <c r="S95" s="786"/>
      <c r="T95" s="564"/>
      <c r="V95" s="929"/>
      <c r="W95" s="931"/>
      <c r="X95" s="931"/>
      <c r="Y95" s="931"/>
      <c r="Z95" s="931"/>
      <c r="AA95" s="931"/>
      <c r="AB95" s="931"/>
      <c r="AC95" s="931"/>
      <c r="AD95" s="931"/>
      <c r="AE95" s="931"/>
      <c r="AF95" s="931"/>
      <c r="AG95" s="931"/>
      <c r="AH95" s="931"/>
      <c r="AI95" s="932"/>
    </row>
    <row r="96" spans="2:35" ht="22.5" customHeight="1">
      <c r="B96" s="576"/>
      <c r="C96" s="459"/>
      <c r="D96" s="456"/>
      <c r="E96" s="515"/>
      <c r="F96" s="515"/>
      <c r="G96" s="459"/>
      <c r="H96" s="515"/>
      <c r="I96" s="515"/>
      <c r="J96" s="515"/>
      <c r="K96" s="523"/>
      <c r="L96" s="523"/>
      <c r="M96" s="523"/>
      <c r="N96" s="523"/>
      <c r="O96" s="523"/>
      <c r="P96" s="656"/>
      <c r="Q96" s="943">
        <f t="shared" si="4"/>
        <v>0</v>
      </c>
      <c r="R96" s="785"/>
      <c r="S96" s="786"/>
      <c r="T96" s="564"/>
      <c r="V96" s="929"/>
      <c r="W96" s="931"/>
      <c r="X96" s="931"/>
      <c r="Y96" s="931"/>
      <c r="Z96" s="931"/>
      <c r="AA96" s="931"/>
      <c r="AB96" s="931"/>
      <c r="AC96" s="931"/>
      <c r="AD96" s="931"/>
      <c r="AE96" s="931"/>
      <c r="AF96" s="931"/>
      <c r="AG96" s="931"/>
      <c r="AH96" s="931"/>
      <c r="AI96" s="932"/>
    </row>
    <row r="97" spans="2:35" ht="22.5" customHeight="1">
      <c r="B97" s="576"/>
      <c r="C97" s="459"/>
      <c r="D97" s="456"/>
      <c r="E97" s="515"/>
      <c r="F97" s="515"/>
      <c r="G97" s="459"/>
      <c r="H97" s="515"/>
      <c r="I97" s="515"/>
      <c r="J97" s="515"/>
      <c r="K97" s="523"/>
      <c r="L97" s="523"/>
      <c r="M97" s="523"/>
      <c r="N97" s="523"/>
      <c r="O97" s="523"/>
      <c r="P97" s="656"/>
      <c r="Q97" s="943">
        <f t="shared" si="4"/>
        <v>0</v>
      </c>
      <c r="R97" s="785"/>
      <c r="S97" s="786"/>
      <c r="T97" s="564"/>
      <c r="V97" s="929"/>
      <c r="W97" s="931"/>
      <c r="X97" s="931"/>
      <c r="Y97" s="931"/>
      <c r="Z97" s="931"/>
      <c r="AA97" s="931"/>
      <c r="AB97" s="931"/>
      <c r="AC97" s="931"/>
      <c r="AD97" s="931"/>
      <c r="AE97" s="931"/>
      <c r="AF97" s="931"/>
      <c r="AG97" s="931"/>
      <c r="AH97" s="931"/>
      <c r="AI97" s="932"/>
    </row>
    <row r="98" spans="2:35" ht="22.5" customHeight="1">
      <c r="B98" s="576"/>
      <c r="C98" s="459"/>
      <c r="D98" s="456"/>
      <c r="E98" s="515"/>
      <c r="F98" s="515"/>
      <c r="G98" s="459"/>
      <c r="H98" s="515"/>
      <c r="I98" s="515"/>
      <c r="J98" s="515"/>
      <c r="K98" s="523"/>
      <c r="L98" s="523"/>
      <c r="M98" s="523"/>
      <c r="N98" s="523"/>
      <c r="O98" s="523"/>
      <c r="P98" s="656"/>
      <c r="Q98" s="943">
        <f t="shared" si="4"/>
        <v>0</v>
      </c>
      <c r="R98" s="785"/>
      <c r="S98" s="786"/>
      <c r="T98" s="564"/>
      <c r="V98" s="929"/>
      <c r="W98" s="931"/>
      <c r="X98" s="931"/>
      <c r="Y98" s="931"/>
      <c r="Z98" s="931"/>
      <c r="AA98" s="931"/>
      <c r="AB98" s="931"/>
      <c r="AC98" s="931"/>
      <c r="AD98" s="931"/>
      <c r="AE98" s="931"/>
      <c r="AF98" s="931"/>
      <c r="AG98" s="931"/>
      <c r="AH98" s="931"/>
      <c r="AI98" s="932"/>
    </row>
    <row r="99" spans="2:35" ht="22.5" customHeight="1">
      <c r="B99" s="576"/>
      <c r="C99" s="459"/>
      <c r="D99" s="456"/>
      <c r="E99" s="515"/>
      <c r="F99" s="515"/>
      <c r="G99" s="459"/>
      <c r="H99" s="515"/>
      <c r="I99" s="515"/>
      <c r="J99" s="515"/>
      <c r="K99" s="523"/>
      <c r="L99" s="523"/>
      <c r="M99" s="523"/>
      <c r="N99" s="523"/>
      <c r="O99" s="523"/>
      <c r="P99" s="656"/>
      <c r="Q99" s="943">
        <f t="shared" si="4"/>
        <v>0</v>
      </c>
      <c r="R99" s="785"/>
      <c r="S99" s="786"/>
      <c r="T99" s="564"/>
      <c r="V99" s="929"/>
      <c r="W99" s="931"/>
      <c r="X99" s="931"/>
      <c r="Y99" s="931"/>
      <c r="Z99" s="931"/>
      <c r="AA99" s="931"/>
      <c r="AB99" s="931"/>
      <c r="AC99" s="931"/>
      <c r="AD99" s="931"/>
      <c r="AE99" s="931"/>
      <c r="AF99" s="931"/>
      <c r="AG99" s="931"/>
      <c r="AH99" s="931"/>
      <c r="AI99" s="932"/>
    </row>
    <row r="100" spans="2:35" ht="22.5" customHeight="1">
      <c r="B100" s="576"/>
      <c r="C100" s="459"/>
      <c r="D100" s="456"/>
      <c r="E100" s="515"/>
      <c r="F100" s="515"/>
      <c r="G100" s="459"/>
      <c r="H100" s="515"/>
      <c r="I100" s="515"/>
      <c r="J100" s="515"/>
      <c r="K100" s="523"/>
      <c r="L100" s="523"/>
      <c r="M100" s="523"/>
      <c r="N100" s="523"/>
      <c r="O100" s="523"/>
      <c r="P100" s="656"/>
      <c r="Q100" s="943">
        <f t="shared" si="4"/>
        <v>0</v>
      </c>
      <c r="R100" s="785"/>
      <c r="S100" s="786"/>
      <c r="T100" s="564"/>
      <c r="V100" s="929"/>
      <c r="W100" s="931"/>
      <c r="X100" s="931"/>
      <c r="Y100" s="931"/>
      <c r="Z100" s="931"/>
      <c r="AA100" s="931"/>
      <c r="AB100" s="931"/>
      <c r="AC100" s="931"/>
      <c r="AD100" s="931"/>
      <c r="AE100" s="931"/>
      <c r="AF100" s="931"/>
      <c r="AG100" s="931"/>
      <c r="AH100" s="931"/>
      <c r="AI100" s="932"/>
    </row>
    <row r="101" spans="2:35" ht="22.5" customHeight="1">
      <c r="B101" s="576"/>
      <c r="C101" s="459"/>
      <c r="D101" s="456"/>
      <c r="E101" s="515"/>
      <c r="F101" s="515"/>
      <c r="G101" s="459"/>
      <c r="H101" s="515"/>
      <c r="I101" s="515"/>
      <c r="J101" s="515"/>
      <c r="K101" s="523"/>
      <c r="L101" s="523"/>
      <c r="M101" s="523"/>
      <c r="N101" s="523"/>
      <c r="O101" s="523"/>
      <c r="P101" s="656"/>
      <c r="Q101" s="943">
        <f t="shared" si="4"/>
        <v>0</v>
      </c>
      <c r="R101" s="785"/>
      <c r="S101" s="786"/>
      <c r="T101" s="564"/>
      <c r="V101" s="929"/>
      <c r="W101" s="931"/>
      <c r="X101" s="931"/>
      <c r="Y101" s="931"/>
      <c r="Z101" s="931"/>
      <c r="AA101" s="931"/>
      <c r="AB101" s="931"/>
      <c r="AC101" s="931"/>
      <c r="AD101" s="931"/>
      <c r="AE101" s="931"/>
      <c r="AF101" s="931"/>
      <c r="AG101" s="931"/>
      <c r="AH101" s="931"/>
      <c r="AI101" s="932"/>
    </row>
    <row r="102" spans="2:35" ht="22.5" customHeight="1">
      <c r="B102" s="576"/>
      <c r="C102" s="459"/>
      <c r="D102" s="456"/>
      <c r="E102" s="515"/>
      <c r="F102" s="515"/>
      <c r="G102" s="459"/>
      <c r="H102" s="515"/>
      <c r="I102" s="515"/>
      <c r="J102" s="515"/>
      <c r="K102" s="523"/>
      <c r="L102" s="523"/>
      <c r="M102" s="523"/>
      <c r="N102" s="523"/>
      <c r="O102" s="523"/>
      <c r="P102" s="656"/>
      <c r="Q102" s="943">
        <f t="shared" si="4"/>
        <v>0</v>
      </c>
      <c r="R102" s="785"/>
      <c r="S102" s="786"/>
      <c r="T102" s="564"/>
      <c r="V102" s="929"/>
      <c r="W102" s="931"/>
      <c r="X102" s="931"/>
      <c r="Y102" s="931"/>
      <c r="Z102" s="931"/>
      <c r="AA102" s="931"/>
      <c r="AB102" s="931"/>
      <c r="AC102" s="931"/>
      <c r="AD102" s="931"/>
      <c r="AE102" s="931"/>
      <c r="AF102" s="931"/>
      <c r="AG102" s="931"/>
      <c r="AH102" s="931"/>
      <c r="AI102" s="932"/>
    </row>
    <row r="103" spans="2:35" ht="22.5" customHeight="1">
      <c r="B103" s="576"/>
      <c r="C103" s="459"/>
      <c r="D103" s="456"/>
      <c r="E103" s="515"/>
      <c r="F103" s="515"/>
      <c r="G103" s="459"/>
      <c r="H103" s="515"/>
      <c r="I103" s="515"/>
      <c r="J103" s="515"/>
      <c r="K103" s="523"/>
      <c r="L103" s="523"/>
      <c r="M103" s="523"/>
      <c r="N103" s="523"/>
      <c r="O103" s="523"/>
      <c r="P103" s="656"/>
      <c r="Q103" s="943">
        <f t="shared" si="4"/>
        <v>0</v>
      </c>
      <c r="R103" s="785"/>
      <c r="S103" s="786"/>
      <c r="T103" s="564"/>
      <c r="V103" s="929"/>
      <c r="W103" s="931"/>
      <c r="X103" s="931"/>
      <c r="Y103" s="931"/>
      <c r="Z103" s="931"/>
      <c r="AA103" s="931"/>
      <c r="AB103" s="931"/>
      <c r="AC103" s="931"/>
      <c r="AD103" s="931"/>
      <c r="AE103" s="931"/>
      <c r="AF103" s="931"/>
      <c r="AG103" s="931"/>
      <c r="AH103" s="931"/>
      <c r="AI103" s="932"/>
    </row>
    <row r="104" spans="2:35" ht="22.5" customHeight="1">
      <c r="B104" s="576"/>
      <c r="C104" s="459"/>
      <c r="D104" s="456"/>
      <c r="E104" s="515"/>
      <c r="F104" s="515"/>
      <c r="G104" s="459"/>
      <c r="H104" s="515"/>
      <c r="I104" s="515"/>
      <c r="J104" s="515"/>
      <c r="K104" s="523"/>
      <c r="L104" s="523"/>
      <c r="M104" s="523"/>
      <c r="N104" s="523"/>
      <c r="O104" s="523"/>
      <c r="P104" s="656"/>
      <c r="Q104" s="943">
        <f t="shared" si="4"/>
        <v>0</v>
      </c>
      <c r="R104" s="785"/>
      <c r="S104" s="786"/>
      <c r="T104" s="564"/>
      <c r="V104" s="929"/>
      <c r="W104" s="931"/>
      <c r="X104" s="931"/>
      <c r="Y104" s="931"/>
      <c r="Z104" s="931"/>
      <c r="AA104" s="931"/>
      <c r="AB104" s="931"/>
      <c r="AC104" s="931"/>
      <c r="AD104" s="931"/>
      <c r="AE104" s="931"/>
      <c r="AF104" s="931"/>
      <c r="AG104" s="931"/>
      <c r="AH104" s="931"/>
      <c r="AI104" s="932"/>
    </row>
    <row r="105" spans="2:35" ht="22.5" customHeight="1">
      <c r="B105" s="576"/>
      <c r="C105" s="459"/>
      <c r="D105" s="457"/>
      <c r="E105" s="516"/>
      <c r="F105" s="516"/>
      <c r="G105" s="460"/>
      <c r="H105" s="516"/>
      <c r="I105" s="516"/>
      <c r="J105" s="516"/>
      <c r="K105" s="524"/>
      <c r="L105" s="524"/>
      <c r="M105" s="524"/>
      <c r="N105" s="524"/>
      <c r="O105" s="524"/>
      <c r="P105" s="657"/>
      <c r="Q105" s="944">
        <f t="shared" si="4"/>
        <v>0</v>
      </c>
      <c r="R105" s="785"/>
      <c r="S105" s="786"/>
      <c r="T105" s="564"/>
      <c r="V105" s="929"/>
      <c r="W105" s="931"/>
      <c r="X105" s="931"/>
      <c r="Y105" s="931"/>
      <c r="Z105" s="931"/>
      <c r="AA105" s="931"/>
      <c r="AB105" s="931"/>
      <c r="AC105" s="931"/>
      <c r="AD105" s="931"/>
      <c r="AE105" s="931"/>
      <c r="AF105" s="931"/>
      <c r="AG105" s="931"/>
      <c r="AH105" s="931"/>
      <c r="AI105" s="932"/>
    </row>
    <row r="106" spans="2:35" ht="22.5" customHeight="1">
      <c r="B106" s="576"/>
      <c r="C106" s="461"/>
      <c r="D106" s="458"/>
      <c r="E106" s="517"/>
      <c r="F106" s="517"/>
      <c r="G106" s="461"/>
      <c r="H106" s="517"/>
      <c r="I106" s="517"/>
      <c r="J106" s="517"/>
      <c r="K106" s="525"/>
      <c r="L106" s="525"/>
      <c r="M106" s="525"/>
      <c r="N106" s="525"/>
      <c r="O106" s="525"/>
      <c r="P106" s="658"/>
      <c r="Q106" s="945">
        <f t="shared" si="4"/>
        <v>0</v>
      </c>
      <c r="R106" s="787"/>
      <c r="S106" s="788"/>
      <c r="T106" s="564"/>
      <c r="V106" s="929"/>
      <c r="W106" s="931"/>
      <c r="X106" s="931"/>
      <c r="Y106" s="931"/>
      <c r="Z106" s="931"/>
      <c r="AA106" s="931"/>
      <c r="AB106" s="931"/>
      <c r="AC106" s="931"/>
      <c r="AD106" s="931"/>
      <c r="AE106" s="931"/>
      <c r="AF106" s="931"/>
      <c r="AG106" s="931"/>
      <c r="AH106" s="931"/>
      <c r="AI106" s="932"/>
    </row>
    <row r="107" spans="2:35" ht="22.5" customHeight="1" thickBot="1">
      <c r="B107" s="576"/>
      <c r="C107" s="554"/>
      <c r="D107" s="554"/>
      <c r="E107" s="923"/>
      <c r="F107" s="923"/>
      <c r="G107" s="923"/>
      <c r="H107" s="1350" t="s">
        <v>855</v>
      </c>
      <c r="I107" s="1351"/>
      <c r="J107" s="1352"/>
      <c r="K107" s="946">
        <f aca="true" t="shared" si="5" ref="K107:S107">SUM(K82:K106)</f>
        <v>297518.55</v>
      </c>
      <c r="L107" s="947">
        <f t="shared" si="5"/>
        <v>297518.55</v>
      </c>
      <c r="M107" s="948">
        <f t="shared" si="5"/>
        <v>200000</v>
      </c>
      <c r="N107" s="948">
        <f t="shared" si="5"/>
        <v>0</v>
      </c>
      <c r="O107" s="946">
        <f t="shared" si="5"/>
        <v>0</v>
      </c>
      <c r="P107" s="946">
        <f t="shared" si="5"/>
        <v>0</v>
      </c>
      <c r="Q107" s="949">
        <f t="shared" si="5"/>
        <v>497518.55</v>
      </c>
      <c r="R107" s="948">
        <f t="shared" si="5"/>
        <v>497518.55</v>
      </c>
      <c r="S107" s="612">
        <f t="shared" si="5"/>
        <v>0</v>
      </c>
      <c r="T107" s="564"/>
      <c r="V107" s="929"/>
      <c r="W107" s="931"/>
      <c r="X107" s="931"/>
      <c r="Y107" s="931"/>
      <c r="Z107" s="931"/>
      <c r="AA107" s="931"/>
      <c r="AB107" s="931"/>
      <c r="AC107" s="931"/>
      <c r="AD107" s="931"/>
      <c r="AE107" s="931"/>
      <c r="AF107" s="931"/>
      <c r="AG107" s="931"/>
      <c r="AH107" s="931"/>
      <c r="AI107" s="932"/>
    </row>
    <row r="108" spans="2:35" ht="22.5" customHeight="1">
      <c r="B108" s="576"/>
      <c r="C108" s="554"/>
      <c r="D108" s="554"/>
      <c r="E108" s="923"/>
      <c r="F108" s="923"/>
      <c r="G108" s="923"/>
      <c r="H108" s="951"/>
      <c r="I108" s="951"/>
      <c r="J108" s="951"/>
      <c r="K108" s="923"/>
      <c r="L108" s="923"/>
      <c r="M108" s="923"/>
      <c r="N108" s="923"/>
      <c r="O108" s="923"/>
      <c r="P108" s="923"/>
      <c r="Q108" s="923"/>
      <c r="R108" s="923"/>
      <c r="S108" s="923"/>
      <c r="T108" s="564"/>
      <c r="V108" s="929"/>
      <c r="W108" s="931"/>
      <c r="X108" s="931"/>
      <c r="Y108" s="931"/>
      <c r="Z108" s="931"/>
      <c r="AA108" s="931"/>
      <c r="AB108" s="931"/>
      <c r="AC108" s="931"/>
      <c r="AD108" s="931"/>
      <c r="AE108" s="931"/>
      <c r="AF108" s="931"/>
      <c r="AG108" s="931"/>
      <c r="AH108" s="931"/>
      <c r="AI108" s="932"/>
    </row>
    <row r="109" spans="2:35" ht="22.5" customHeight="1">
      <c r="B109" s="576"/>
      <c r="C109" s="554"/>
      <c r="D109" s="554"/>
      <c r="E109" s="923"/>
      <c r="F109" s="923"/>
      <c r="G109" s="923"/>
      <c r="H109" s="951"/>
      <c r="I109" s="951"/>
      <c r="J109" s="951"/>
      <c r="K109" s="923"/>
      <c r="L109" s="923"/>
      <c r="M109" s="923"/>
      <c r="N109" s="923"/>
      <c r="O109" s="923"/>
      <c r="P109" s="923"/>
      <c r="Q109" s="923"/>
      <c r="R109" s="923"/>
      <c r="S109" s="923"/>
      <c r="T109" s="564"/>
      <c r="V109" s="929"/>
      <c r="W109" s="931"/>
      <c r="X109" s="931"/>
      <c r="Y109" s="931"/>
      <c r="Z109" s="931"/>
      <c r="AA109" s="931"/>
      <c r="AB109" s="931"/>
      <c r="AC109" s="931"/>
      <c r="AD109" s="931"/>
      <c r="AE109" s="931"/>
      <c r="AF109" s="931"/>
      <c r="AG109" s="931"/>
      <c r="AH109" s="931"/>
      <c r="AI109" s="932"/>
    </row>
    <row r="110" spans="2:35" s="958" customFormat="1" ht="18" customHeight="1">
      <c r="B110" s="953"/>
      <c r="C110" s="705" t="s">
        <v>788</v>
      </c>
      <c r="D110" s="954"/>
      <c r="E110" s="955"/>
      <c r="F110" s="955"/>
      <c r="G110" s="955"/>
      <c r="H110" s="955"/>
      <c r="I110" s="955"/>
      <c r="J110" s="955"/>
      <c r="K110" s="955"/>
      <c r="L110" s="955"/>
      <c r="M110" s="955"/>
      <c r="N110" s="956"/>
      <c r="O110" s="956"/>
      <c r="P110" s="956"/>
      <c r="Q110" s="956"/>
      <c r="R110" s="956"/>
      <c r="S110" s="956"/>
      <c r="T110" s="957"/>
      <c r="V110" s="959"/>
      <c r="W110" s="960"/>
      <c r="X110" s="960"/>
      <c r="Y110" s="960"/>
      <c r="Z110" s="960"/>
      <c r="AA110" s="960"/>
      <c r="AB110" s="960"/>
      <c r="AC110" s="960"/>
      <c r="AD110" s="960"/>
      <c r="AE110" s="960"/>
      <c r="AF110" s="960"/>
      <c r="AG110" s="960"/>
      <c r="AH110" s="960"/>
      <c r="AI110" s="961"/>
    </row>
    <row r="111" spans="2:35" s="958" customFormat="1" ht="18" customHeight="1">
      <c r="B111" s="953"/>
      <c r="C111" s="954" t="s">
        <v>165</v>
      </c>
      <c r="D111" s="954"/>
      <c r="E111" s="955"/>
      <c r="F111" s="955"/>
      <c r="G111" s="955"/>
      <c r="H111" s="955"/>
      <c r="I111" s="955"/>
      <c r="J111" s="955"/>
      <c r="K111" s="955"/>
      <c r="L111" s="955"/>
      <c r="M111" s="955"/>
      <c r="N111" s="956"/>
      <c r="O111" s="956"/>
      <c r="P111" s="956"/>
      <c r="Q111" s="956"/>
      <c r="R111" s="956"/>
      <c r="S111" s="956"/>
      <c r="T111" s="957"/>
      <c r="V111" s="959"/>
      <c r="W111" s="960"/>
      <c r="X111" s="960"/>
      <c r="Y111" s="960"/>
      <c r="Z111" s="960"/>
      <c r="AA111" s="960"/>
      <c r="AB111" s="960"/>
      <c r="AC111" s="960"/>
      <c r="AD111" s="960"/>
      <c r="AE111" s="960"/>
      <c r="AF111" s="960"/>
      <c r="AG111" s="960"/>
      <c r="AH111" s="960"/>
      <c r="AI111" s="961"/>
    </row>
    <row r="112" spans="2:35" s="958" customFormat="1" ht="18" customHeight="1">
      <c r="B112" s="953"/>
      <c r="C112" s="954" t="s">
        <v>164</v>
      </c>
      <c r="D112" s="954"/>
      <c r="E112" s="955"/>
      <c r="F112" s="955"/>
      <c r="G112" s="955"/>
      <c r="H112" s="955"/>
      <c r="I112" s="955"/>
      <c r="J112" s="955"/>
      <c r="K112" s="955"/>
      <c r="L112" s="955"/>
      <c r="M112" s="955"/>
      <c r="N112" s="956"/>
      <c r="O112" s="956"/>
      <c r="P112" s="956"/>
      <c r="Q112" s="956"/>
      <c r="R112" s="956"/>
      <c r="S112" s="956"/>
      <c r="T112" s="957"/>
      <c r="V112" s="959"/>
      <c r="W112" s="960"/>
      <c r="X112" s="960"/>
      <c r="Y112" s="960"/>
      <c r="Z112" s="960"/>
      <c r="AA112" s="960"/>
      <c r="AB112" s="960"/>
      <c r="AC112" s="960"/>
      <c r="AD112" s="960"/>
      <c r="AE112" s="960"/>
      <c r="AF112" s="960"/>
      <c r="AG112" s="960"/>
      <c r="AH112" s="960"/>
      <c r="AI112" s="961"/>
    </row>
    <row r="113" spans="2:35" s="958" customFormat="1" ht="18" customHeight="1">
      <c r="B113" s="953"/>
      <c r="C113" s="954" t="s">
        <v>1153</v>
      </c>
      <c r="D113" s="954"/>
      <c r="E113" s="955"/>
      <c r="F113" s="955"/>
      <c r="G113" s="955"/>
      <c r="H113" s="955"/>
      <c r="I113" s="955"/>
      <c r="J113" s="955"/>
      <c r="K113" s="955"/>
      <c r="L113" s="955"/>
      <c r="M113" s="955"/>
      <c r="N113" s="956"/>
      <c r="O113" s="956"/>
      <c r="P113" s="956"/>
      <c r="Q113" s="956"/>
      <c r="R113" s="956"/>
      <c r="S113" s="956"/>
      <c r="T113" s="957"/>
      <c r="V113" s="959"/>
      <c r="W113" s="960"/>
      <c r="X113" s="960"/>
      <c r="Y113" s="960"/>
      <c r="Z113" s="960"/>
      <c r="AA113" s="960"/>
      <c r="AB113" s="960"/>
      <c r="AC113" s="960"/>
      <c r="AD113" s="960"/>
      <c r="AE113" s="960"/>
      <c r="AF113" s="960"/>
      <c r="AG113" s="960"/>
      <c r="AH113" s="960"/>
      <c r="AI113" s="961"/>
    </row>
    <row r="114" spans="2:35" s="958" customFormat="1" ht="18" customHeight="1">
      <c r="B114" s="953"/>
      <c r="C114" s="962" t="s">
        <v>1137</v>
      </c>
      <c r="D114" s="954"/>
      <c r="E114" s="955"/>
      <c r="F114" s="955"/>
      <c r="G114" s="955"/>
      <c r="H114" s="955"/>
      <c r="I114" s="955"/>
      <c r="J114" s="955"/>
      <c r="K114" s="955"/>
      <c r="L114" s="955"/>
      <c r="M114" s="955"/>
      <c r="N114" s="956"/>
      <c r="O114" s="956"/>
      <c r="P114" s="956"/>
      <c r="Q114" s="956"/>
      <c r="R114" s="956"/>
      <c r="S114" s="956"/>
      <c r="T114" s="957"/>
      <c r="V114" s="959"/>
      <c r="W114" s="960"/>
      <c r="X114" s="960"/>
      <c r="Y114" s="960"/>
      <c r="Z114" s="960"/>
      <c r="AA114" s="960"/>
      <c r="AB114" s="960"/>
      <c r="AC114" s="960"/>
      <c r="AD114" s="960"/>
      <c r="AE114" s="960"/>
      <c r="AF114" s="960"/>
      <c r="AG114" s="960"/>
      <c r="AH114" s="960"/>
      <c r="AI114" s="961"/>
    </row>
    <row r="115" spans="2:35" s="958" customFormat="1" ht="18" customHeight="1">
      <c r="B115" s="953"/>
      <c r="C115" s="962" t="s">
        <v>215</v>
      </c>
      <c r="D115" s="954"/>
      <c r="E115" s="955"/>
      <c r="F115" s="955"/>
      <c r="G115" s="955"/>
      <c r="H115" s="955"/>
      <c r="I115" s="955"/>
      <c r="J115" s="955"/>
      <c r="K115" s="955"/>
      <c r="L115" s="955"/>
      <c r="M115" s="955"/>
      <c r="N115" s="956"/>
      <c r="O115" s="956"/>
      <c r="P115" s="956"/>
      <c r="Q115" s="956"/>
      <c r="R115" s="956"/>
      <c r="S115" s="956"/>
      <c r="T115" s="957"/>
      <c r="V115" s="959"/>
      <c r="W115" s="960"/>
      <c r="X115" s="960"/>
      <c r="Y115" s="960"/>
      <c r="Z115" s="960"/>
      <c r="AA115" s="960"/>
      <c r="AB115" s="960"/>
      <c r="AC115" s="960"/>
      <c r="AD115" s="960"/>
      <c r="AE115" s="960"/>
      <c r="AF115" s="960"/>
      <c r="AG115" s="960"/>
      <c r="AH115" s="960"/>
      <c r="AI115" s="961"/>
    </row>
    <row r="116" spans="2:35" s="958" customFormat="1" ht="18" customHeight="1">
      <c r="B116" s="953"/>
      <c r="C116" s="958" t="s">
        <v>216</v>
      </c>
      <c r="D116" s="954"/>
      <c r="E116" s="955"/>
      <c r="F116" s="955"/>
      <c r="G116" s="955"/>
      <c r="H116" s="955"/>
      <c r="I116" s="955"/>
      <c r="J116" s="955"/>
      <c r="K116" s="955"/>
      <c r="L116" s="955"/>
      <c r="M116" s="955"/>
      <c r="N116" s="956"/>
      <c r="O116" s="956"/>
      <c r="P116" s="956"/>
      <c r="Q116" s="956"/>
      <c r="R116" s="956"/>
      <c r="S116" s="956"/>
      <c r="T116" s="957"/>
      <c r="V116" s="959"/>
      <c r="W116" s="960"/>
      <c r="X116" s="960"/>
      <c r="Y116" s="960"/>
      <c r="Z116" s="960"/>
      <c r="AA116" s="960"/>
      <c r="AB116" s="960"/>
      <c r="AC116" s="960"/>
      <c r="AD116" s="960"/>
      <c r="AE116" s="960"/>
      <c r="AF116" s="960"/>
      <c r="AG116" s="960"/>
      <c r="AH116" s="960"/>
      <c r="AI116" s="961"/>
    </row>
    <row r="117" spans="2:35" s="958" customFormat="1" ht="18" customHeight="1">
      <c r="B117" s="953"/>
      <c r="C117" s="963" t="s">
        <v>217</v>
      </c>
      <c r="D117" s="954"/>
      <c r="E117" s="964"/>
      <c r="F117" s="964"/>
      <c r="G117" s="964"/>
      <c r="H117" s="964"/>
      <c r="I117" s="964"/>
      <c r="J117" s="964"/>
      <c r="K117" s="964"/>
      <c r="L117" s="964"/>
      <c r="M117" s="964"/>
      <c r="N117" s="956"/>
      <c r="O117" s="956"/>
      <c r="P117" s="956"/>
      <c r="Q117" s="956"/>
      <c r="R117" s="956"/>
      <c r="S117" s="956"/>
      <c r="T117" s="957"/>
      <c r="V117" s="959"/>
      <c r="W117" s="960"/>
      <c r="X117" s="960"/>
      <c r="Y117" s="960"/>
      <c r="Z117" s="960"/>
      <c r="AA117" s="960"/>
      <c r="AB117" s="960"/>
      <c r="AC117" s="960"/>
      <c r="AD117" s="960"/>
      <c r="AE117" s="960"/>
      <c r="AF117" s="960"/>
      <c r="AG117" s="960"/>
      <c r="AH117" s="960"/>
      <c r="AI117" s="961"/>
    </row>
    <row r="118" spans="2:35" s="958" customFormat="1" ht="18" customHeight="1">
      <c r="B118" s="953"/>
      <c r="C118" s="963" t="s">
        <v>218</v>
      </c>
      <c r="D118" s="954"/>
      <c r="E118" s="964"/>
      <c r="F118" s="964"/>
      <c r="G118" s="964"/>
      <c r="H118" s="964"/>
      <c r="I118" s="964"/>
      <c r="J118" s="964"/>
      <c r="K118" s="964"/>
      <c r="L118" s="964"/>
      <c r="M118" s="964"/>
      <c r="N118" s="956"/>
      <c r="O118" s="956"/>
      <c r="P118" s="956"/>
      <c r="Q118" s="956"/>
      <c r="R118" s="956"/>
      <c r="S118" s="956"/>
      <c r="T118" s="957"/>
      <c r="V118" s="959"/>
      <c r="W118" s="960"/>
      <c r="X118" s="960"/>
      <c r="Y118" s="960"/>
      <c r="Z118" s="960"/>
      <c r="AA118" s="960"/>
      <c r="AB118" s="960"/>
      <c r="AC118" s="960"/>
      <c r="AD118" s="960"/>
      <c r="AE118" s="960"/>
      <c r="AF118" s="960"/>
      <c r="AG118" s="960"/>
      <c r="AH118" s="960"/>
      <c r="AI118" s="961"/>
    </row>
    <row r="119" spans="2:35" s="958" customFormat="1" ht="18" customHeight="1">
      <c r="B119" s="953"/>
      <c r="C119" s="963" t="s">
        <v>219</v>
      </c>
      <c r="D119" s="954"/>
      <c r="E119" s="964"/>
      <c r="F119" s="964"/>
      <c r="G119" s="964"/>
      <c r="H119" s="964"/>
      <c r="I119" s="964"/>
      <c r="J119" s="964"/>
      <c r="K119" s="964"/>
      <c r="L119" s="964"/>
      <c r="M119" s="964"/>
      <c r="N119" s="956"/>
      <c r="O119" s="956"/>
      <c r="P119" s="956"/>
      <c r="Q119" s="956"/>
      <c r="R119" s="956"/>
      <c r="S119" s="956"/>
      <c r="T119" s="957"/>
      <c r="V119" s="959"/>
      <c r="W119" s="960"/>
      <c r="X119" s="960"/>
      <c r="Y119" s="960"/>
      <c r="Z119" s="960"/>
      <c r="AA119" s="960"/>
      <c r="AB119" s="960"/>
      <c r="AC119" s="960"/>
      <c r="AD119" s="960"/>
      <c r="AE119" s="960"/>
      <c r="AF119" s="960"/>
      <c r="AG119" s="960"/>
      <c r="AH119" s="960"/>
      <c r="AI119" s="961"/>
    </row>
    <row r="120" spans="2:35" ht="22.5" customHeight="1" thickBot="1">
      <c r="B120" s="635"/>
      <c r="C120" s="1233"/>
      <c r="D120" s="1233"/>
      <c r="E120" s="636"/>
      <c r="F120" s="636"/>
      <c r="G120" s="636"/>
      <c r="H120" s="636"/>
      <c r="I120" s="636"/>
      <c r="J120" s="636"/>
      <c r="K120" s="636"/>
      <c r="L120" s="636"/>
      <c r="M120" s="636"/>
      <c r="N120" s="636"/>
      <c r="O120" s="636"/>
      <c r="P120" s="636"/>
      <c r="Q120" s="636"/>
      <c r="R120" s="636"/>
      <c r="S120" s="636"/>
      <c r="T120" s="637"/>
      <c r="V120" s="965"/>
      <c r="W120" s="966"/>
      <c r="X120" s="966"/>
      <c r="Y120" s="966"/>
      <c r="Z120" s="966"/>
      <c r="AA120" s="966"/>
      <c r="AB120" s="966"/>
      <c r="AC120" s="966"/>
      <c r="AD120" s="966"/>
      <c r="AE120" s="966"/>
      <c r="AF120" s="966"/>
      <c r="AG120" s="966"/>
      <c r="AH120" s="966"/>
      <c r="AI120" s="967"/>
    </row>
    <row r="121" spans="3:21" ht="22.5" customHeight="1">
      <c r="C121" s="562"/>
      <c r="D121" s="562"/>
      <c r="E121" s="563"/>
      <c r="F121" s="563"/>
      <c r="G121" s="563"/>
      <c r="H121" s="563"/>
      <c r="I121" s="563"/>
      <c r="J121" s="563"/>
      <c r="K121" s="563"/>
      <c r="L121" s="563"/>
      <c r="M121" s="563"/>
      <c r="N121" s="563"/>
      <c r="O121" s="563"/>
      <c r="P121" s="563"/>
      <c r="Q121" s="563"/>
      <c r="R121" s="563"/>
      <c r="S121" s="563"/>
      <c r="U121" s="553" t="s">
        <v>154</v>
      </c>
    </row>
    <row r="122" spans="3:19" ht="12.75">
      <c r="C122" s="638" t="s">
        <v>451</v>
      </c>
      <c r="D122" s="562"/>
      <c r="E122" s="563"/>
      <c r="F122" s="563"/>
      <c r="G122" s="563"/>
      <c r="H122" s="563"/>
      <c r="I122" s="563"/>
      <c r="J122" s="563"/>
      <c r="K122" s="563"/>
      <c r="L122" s="563"/>
      <c r="M122" s="563"/>
      <c r="N122" s="563"/>
      <c r="O122" s="563"/>
      <c r="P122" s="563"/>
      <c r="Q122" s="563"/>
      <c r="R122" s="563"/>
      <c r="S122" s="968" t="s">
        <v>435</v>
      </c>
    </row>
    <row r="123" spans="3:18" ht="12.75">
      <c r="C123" s="640" t="s">
        <v>452</v>
      </c>
      <c r="D123" s="562"/>
      <c r="E123" s="563"/>
      <c r="F123" s="563"/>
      <c r="G123" s="563"/>
      <c r="H123" s="563"/>
      <c r="I123" s="563"/>
      <c r="J123" s="563"/>
      <c r="K123" s="563"/>
      <c r="L123" s="563"/>
      <c r="M123" s="563"/>
      <c r="N123" s="563"/>
      <c r="O123" s="563"/>
      <c r="P123" s="563"/>
      <c r="Q123" s="563"/>
      <c r="R123" s="563"/>
    </row>
    <row r="124" spans="3:19" ht="12.75">
      <c r="C124" s="640" t="s">
        <v>453</v>
      </c>
      <c r="D124" s="562"/>
      <c r="E124" s="563"/>
      <c r="F124" s="563"/>
      <c r="G124" s="563"/>
      <c r="H124" s="563"/>
      <c r="I124" s="563"/>
      <c r="J124" s="563"/>
      <c r="K124" s="563"/>
      <c r="L124" s="563"/>
      <c r="M124" s="563"/>
      <c r="N124" s="563"/>
      <c r="O124" s="563"/>
      <c r="P124" s="563"/>
      <c r="Q124" s="563"/>
      <c r="R124" s="563"/>
      <c r="S124" s="563"/>
    </row>
    <row r="125" spans="3:19" ht="12.75">
      <c r="C125" s="640" t="s">
        <v>454</v>
      </c>
      <c r="D125" s="562"/>
      <c r="E125" s="563"/>
      <c r="F125" s="563"/>
      <c r="G125" s="563"/>
      <c r="H125" s="563"/>
      <c r="I125" s="563"/>
      <c r="J125" s="563"/>
      <c r="K125" s="563"/>
      <c r="L125" s="563"/>
      <c r="M125" s="563"/>
      <c r="N125" s="563"/>
      <c r="O125" s="563"/>
      <c r="P125" s="563"/>
      <c r="Q125" s="563"/>
      <c r="R125" s="563"/>
      <c r="S125" s="563"/>
    </row>
    <row r="126" spans="3:19" ht="12.75">
      <c r="C126" s="640" t="s">
        <v>455</v>
      </c>
      <c r="D126" s="562"/>
      <c r="E126" s="563"/>
      <c r="F126" s="563"/>
      <c r="G126" s="563"/>
      <c r="H126" s="563"/>
      <c r="I126" s="563"/>
      <c r="J126" s="563"/>
      <c r="K126" s="563"/>
      <c r="L126" s="563"/>
      <c r="M126" s="563"/>
      <c r="N126" s="563"/>
      <c r="O126" s="563"/>
      <c r="P126" s="563"/>
      <c r="Q126" s="563"/>
      <c r="R126" s="563"/>
      <c r="S126" s="563"/>
    </row>
    <row r="127" spans="3:19" ht="22.5" customHeight="1">
      <c r="C127" s="562"/>
      <c r="D127" s="562"/>
      <c r="E127" s="563"/>
      <c r="F127" s="563"/>
      <c r="G127" s="563"/>
      <c r="H127" s="563"/>
      <c r="I127" s="563"/>
      <c r="J127" s="563"/>
      <c r="K127" s="563"/>
      <c r="L127" s="563"/>
      <c r="M127" s="563"/>
      <c r="N127" s="563"/>
      <c r="O127" s="563"/>
      <c r="P127" s="563"/>
      <c r="Q127" s="563"/>
      <c r="R127" s="563"/>
      <c r="S127" s="563"/>
    </row>
    <row r="128" spans="3:19" ht="22.5" customHeight="1">
      <c r="C128" s="562"/>
      <c r="D128" s="562"/>
      <c r="E128" s="563"/>
      <c r="F128" s="563"/>
      <c r="G128" s="563"/>
      <c r="H128" s="563"/>
      <c r="I128" s="563"/>
      <c r="J128" s="563"/>
      <c r="K128" s="563"/>
      <c r="L128" s="563"/>
      <c r="M128" s="563"/>
      <c r="N128" s="563"/>
      <c r="O128" s="563"/>
      <c r="P128" s="563"/>
      <c r="Q128" s="563"/>
      <c r="R128" s="563"/>
      <c r="S128" s="563"/>
    </row>
    <row r="129" spans="3:19" ht="22.5" customHeight="1">
      <c r="C129" s="562"/>
      <c r="D129" s="562"/>
      <c r="E129" s="563"/>
      <c r="F129" s="563"/>
      <c r="G129" s="563"/>
      <c r="H129" s="563"/>
      <c r="I129" s="563"/>
      <c r="J129" s="563"/>
      <c r="K129" s="563"/>
      <c r="L129" s="563"/>
      <c r="M129" s="563"/>
      <c r="N129" s="563"/>
      <c r="O129" s="563"/>
      <c r="P129" s="563"/>
      <c r="Q129" s="563"/>
      <c r="R129" s="563"/>
      <c r="S129" s="563"/>
    </row>
    <row r="130" spans="3:19" ht="22.5" customHeight="1">
      <c r="C130" s="562"/>
      <c r="D130" s="562"/>
      <c r="E130" s="563"/>
      <c r="F130" s="563"/>
      <c r="G130" s="563"/>
      <c r="H130" s="563"/>
      <c r="I130" s="563"/>
      <c r="J130" s="563"/>
      <c r="K130" s="563"/>
      <c r="L130" s="563"/>
      <c r="M130" s="563"/>
      <c r="N130" s="563"/>
      <c r="O130" s="563"/>
      <c r="P130" s="563"/>
      <c r="Q130" s="563"/>
      <c r="R130" s="563"/>
      <c r="S130" s="563"/>
    </row>
    <row r="131" spans="5:19" ht="22.5" customHeight="1">
      <c r="E131" s="563"/>
      <c r="F131" s="563"/>
      <c r="G131" s="563"/>
      <c r="H131" s="563"/>
      <c r="I131" s="563"/>
      <c r="J131" s="563"/>
      <c r="K131" s="563"/>
      <c r="L131" s="563"/>
      <c r="M131" s="563"/>
      <c r="N131" s="563"/>
      <c r="O131" s="563"/>
      <c r="P131" s="563"/>
      <c r="Q131" s="563"/>
      <c r="R131" s="563"/>
      <c r="S131" s="563"/>
    </row>
  </sheetData>
  <sheetProtection password="C494" sheet="1" objects="1" scenarios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27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7"/>
  <sheetViews>
    <sheetView zoomScale="125" zoomScaleNormal="125" zoomScalePageLayoutView="0" workbookViewId="0" topLeftCell="A10">
      <selection activeCell="F24" sqref="F24"/>
    </sheetView>
  </sheetViews>
  <sheetFormatPr defaultColWidth="10.6640625" defaultRowHeight="22.5" customHeight="1"/>
  <cols>
    <col min="1" max="1" width="4.3359375" style="97" bestFit="1" customWidth="1"/>
    <col min="2" max="2" width="3.3359375" style="97" customWidth="1"/>
    <col min="3" max="3" width="13.5546875" style="97" customWidth="1"/>
    <col min="4" max="4" width="14.4453125" style="97" customWidth="1"/>
    <col min="5" max="5" width="26.6640625" style="98" customWidth="1"/>
    <col min="6" max="9" width="13.4453125" style="98" customWidth="1"/>
    <col min="10" max="10" width="3.3359375" style="97" customWidth="1"/>
    <col min="11" max="16384" width="10.6640625" style="97" customWidth="1"/>
  </cols>
  <sheetData>
    <row r="2" ht="22.5" customHeight="1">
      <c r="D2" s="208" t="s">
        <v>753</v>
      </c>
    </row>
    <row r="3" ht="22.5" customHeight="1">
      <c r="D3" s="208" t="s">
        <v>754</v>
      </c>
    </row>
    <row r="4" ht="22.5" customHeight="1" thickBot="1">
      <c r="A4" s="97" t="s">
        <v>153</v>
      </c>
    </row>
    <row r="5" spans="2:25" ht="9" customHeight="1">
      <c r="B5" s="99"/>
      <c r="C5" s="100"/>
      <c r="D5" s="100"/>
      <c r="E5" s="101"/>
      <c r="F5" s="101"/>
      <c r="G5" s="101"/>
      <c r="H5" s="101"/>
      <c r="I5" s="101"/>
      <c r="J5" s="102"/>
      <c r="L5" s="362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4"/>
    </row>
    <row r="6" spans="2:25" ht="30" customHeight="1">
      <c r="B6" s="103"/>
      <c r="C6" s="67" t="s">
        <v>379</v>
      </c>
      <c r="D6" s="104"/>
      <c r="E6" s="105"/>
      <c r="F6" s="105"/>
      <c r="G6" s="105"/>
      <c r="H6" s="105"/>
      <c r="I6" s="1226">
        <f>ejercicio</f>
        <v>2019</v>
      </c>
      <c r="J6" s="106"/>
      <c r="L6" s="365"/>
      <c r="M6" s="366" t="s">
        <v>1067</v>
      </c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8"/>
    </row>
    <row r="7" spans="2:25" ht="30" customHeight="1">
      <c r="B7" s="103"/>
      <c r="C7" s="67" t="s">
        <v>380</v>
      </c>
      <c r="D7" s="104"/>
      <c r="E7" s="105"/>
      <c r="F7" s="105"/>
      <c r="G7" s="105"/>
      <c r="H7" s="105"/>
      <c r="I7" s="1226"/>
      <c r="J7" s="106"/>
      <c r="L7" s="365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8"/>
    </row>
    <row r="8" spans="2:25" ht="30" customHeight="1">
      <c r="B8" s="103"/>
      <c r="C8" s="107"/>
      <c r="D8" s="104"/>
      <c r="E8" s="105"/>
      <c r="F8" s="105"/>
      <c r="G8" s="105"/>
      <c r="H8" s="105"/>
      <c r="I8" s="108"/>
      <c r="J8" s="106"/>
      <c r="L8" s="365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8"/>
    </row>
    <row r="9" spans="2:25" s="183" customFormat="1" ht="30" customHeight="1">
      <c r="B9" s="181"/>
      <c r="C9" s="40" t="s">
        <v>381</v>
      </c>
      <c r="D9" s="1240" t="str">
        <f>Entidad</f>
        <v>INSTITUTO TECNOLOGICO Y DE ENERGIAS RENOVABLES S.A.</v>
      </c>
      <c r="E9" s="1240"/>
      <c r="F9" s="1240"/>
      <c r="G9" s="1240"/>
      <c r="H9" s="1240"/>
      <c r="I9" s="1240"/>
      <c r="J9" s="182"/>
      <c r="L9" s="365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8"/>
    </row>
    <row r="10" spans="2:25" ht="6.75" customHeight="1">
      <c r="B10" s="103"/>
      <c r="C10" s="104"/>
      <c r="D10" s="104"/>
      <c r="E10" s="105"/>
      <c r="F10" s="105"/>
      <c r="G10" s="105"/>
      <c r="H10" s="105"/>
      <c r="I10" s="105"/>
      <c r="J10" s="106"/>
      <c r="L10" s="365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8"/>
    </row>
    <row r="11" spans="2:25" s="115" customFormat="1" ht="30" customHeight="1">
      <c r="B11" s="111"/>
      <c r="C11" s="112" t="s">
        <v>826</v>
      </c>
      <c r="D11" s="112"/>
      <c r="E11" s="113"/>
      <c r="F11" s="113"/>
      <c r="G11" s="113"/>
      <c r="H11" s="113"/>
      <c r="I11" s="113"/>
      <c r="J11" s="114"/>
      <c r="L11" s="365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8"/>
    </row>
    <row r="12" spans="2:25" s="115" customFormat="1" ht="30" customHeight="1">
      <c r="B12" s="111"/>
      <c r="C12" s="1309"/>
      <c r="D12" s="1309"/>
      <c r="E12" s="96"/>
      <c r="F12" s="96"/>
      <c r="G12" s="96"/>
      <c r="H12" s="96"/>
      <c r="I12" s="96"/>
      <c r="J12" s="114"/>
      <c r="L12" s="365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8"/>
    </row>
    <row r="13" spans="2:25" s="115" customFormat="1" ht="15.75" customHeight="1">
      <c r="B13" s="111"/>
      <c r="C13" s="213"/>
      <c r="D13" s="216"/>
      <c r="E13" s="217"/>
      <c r="F13" s="214" t="s">
        <v>828</v>
      </c>
      <c r="G13" s="1354" t="s">
        <v>833</v>
      </c>
      <c r="H13" s="1355"/>
      <c r="I13" s="1356"/>
      <c r="J13" s="114"/>
      <c r="L13" s="365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8"/>
    </row>
    <row r="14" spans="2:25" s="115" customFormat="1" ht="15.75" customHeight="1">
      <c r="B14" s="111"/>
      <c r="C14" s="215"/>
      <c r="D14" s="218"/>
      <c r="E14" s="219"/>
      <c r="F14" s="199" t="s">
        <v>829</v>
      </c>
      <c r="G14" s="214" t="s">
        <v>830</v>
      </c>
      <c r="H14" s="214" t="s">
        <v>831</v>
      </c>
      <c r="I14" s="214" t="s">
        <v>832</v>
      </c>
      <c r="J14" s="114"/>
      <c r="L14" s="365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8"/>
    </row>
    <row r="15" spans="2:25" s="183" customFormat="1" ht="15.75" customHeight="1">
      <c r="B15" s="181"/>
      <c r="C15" s="1357" t="s">
        <v>827</v>
      </c>
      <c r="D15" s="1358"/>
      <c r="E15" s="1359"/>
      <c r="F15" s="194">
        <f>ejercicio</f>
        <v>2019</v>
      </c>
      <c r="G15" s="194">
        <f>ejercicio+1</f>
        <v>2020</v>
      </c>
      <c r="H15" s="194">
        <f>ejercicio+1</f>
        <v>2020</v>
      </c>
      <c r="I15" s="194">
        <f>ejercicio+1</f>
        <v>2020</v>
      </c>
      <c r="J15" s="182"/>
      <c r="L15" s="365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8"/>
    </row>
    <row r="16" spans="2:25" s="183" customFormat="1" ht="7.5" customHeight="1">
      <c r="B16" s="181"/>
      <c r="C16" s="67"/>
      <c r="D16" s="67"/>
      <c r="E16" s="180"/>
      <c r="F16" s="180"/>
      <c r="G16" s="180"/>
      <c r="H16" s="180"/>
      <c r="I16" s="180"/>
      <c r="J16" s="182"/>
      <c r="L16" s="365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8"/>
    </row>
    <row r="17" spans="1:25" s="120" customFormat="1" ht="22.5" customHeight="1" thickBot="1">
      <c r="A17" s="183"/>
      <c r="B17" s="181"/>
      <c r="C17" s="157" t="s">
        <v>834</v>
      </c>
      <c r="D17" s="158"/>
      <c r="E17" s="222"/>
      <c r="F17" s="462"/>
      <c r="G17" s="463"/>
      <c r="H17" s="464"/>
      <c r="I17" s="503"/>
      <c r="J17" s="118"/>
      <c r="L17" s="365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8"/>
    </row>
    <row r="18" spans="1:25" s="120" customFormat="1" ht="9" customHeight="1">
      <c r="A18" s="183"/>
      <c r="B18" s="181"/>
      <c r="C18" s="32"/>
      <c r="D18" s="32"/>
      <c r="E18" s="32"/>
      <c r="F18" s="225"/>
      <c r="G18" s="226"/>
      <c r="H18" s="227"/>
      <c r="I18" s="228"/>
      <c r="J18" s="118"/>
      <c r="L18" s="365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8"/>
    </row>
    <row r="19" spans="1:25" s="120" customFormat="1" ht="22.5" customHeight="1" thickBot="1">
      <c r="A19" s="183"/>
      <c r="B19" s="181"/>
      <c r="C19" s="157" t="s">
        <v>664</v>
      </c>
      <c r="D19" s="158"/>
      <c r="E19" s="222"/>
      <c r="F19" s="127">
        <f>SUM(F20:F24)</f>
        <v>40219979.29</v>
      </c>
      <c r="G19" s="220">
        <f>SUM(G20:G24)</f>
        <v>108943.29</v>
      </c>
      <c r="H19" s="221">
        <f>SUM(H20:H24)</f>
        <v>166942.63</v>
      </c>
      <c r="I19" s="229">
        <f>SUM(I20:I24)</f>
        <v>109174.74</v>
      </c>
      <c r="J19" s="118"/>
      <c r="L19" s="365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8"/>
    </row>
    <row r="20" spans="2:25" s="120" customFormat="1" ht="22.5" customHeight="1">
      <c r="B20" s="117"/>
      <c r="C20" s="176" t="s">
        <v>835</v>
      </c>
      <c r="D20" s="177"/>
      <c r="E20" s="179"/>
      <c r="F20" s="452"/>
      <c r="G20" s="465"/>
      <c r="H20" s="433"/>
      <c r="I20" s="504"/>
      <c r="J20" s="118"/>
      <c r="L20" s="365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8"/>
    </row>
    <row r="21" spans="2:25" s="120" customFormat="1" ht="22.5" customHeight="1">
      <c r="B21" s="117"/>
      <c r="C21" s="176" t="s">
        <v>836</v>
      </c>
      <c r="D21" s="177"/>
      <c r="E21" s="179"/>
      <c r="F21" s="452">
        <v>39916625.769999996</v>
      </c>
      <c r="G21" s="465">
        <v>108943.29</v>
      </c>
      <c r="H21" s="433">
        <f>109058.96+57883.67</f>
        <v>166942.63</v>
      </c>
      <c r="I21" s="504">
        <v>109174.74</v>
      </c>
      <c r="J21" s="118"/>
      <c r="L21" s="365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8"/>
    </row>
    <row r="22" spans="2:25" s="120" customFormat="1" ht="22.5" customHeight="1">
      <c r="B22" s="117"/>
      <c r="C22" s="176" t="s">
        <v>837</v>
      </c>
      <c r="D22" s="177"/>
      <c r="E22" s="179"/>
      <c r="F22" s="452"/>
      <c r="G22" s="465"/>
      <c r="H22" s="433"/>
      <c r="I22" s="504"/>
      <c r="J22" s="118"/>
      <c r="L22" s="365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8"/>
    </row>
    <row r="23" spans="2:25" ht="22.5" customHeight="1">
      <c r="B23" s="117"/>
      <c r="C23" s="153" t="s">
        <v>838</v>
      </c>
      <c r="D23" s="154"/>
      <c r="E23" s="172"/>
      <c r="F23" s="453"/>
      <c r="G23" s="466"/>
      <c r="H23" s="426"/>
      <c r="I23" s="505"/>
      <c r="J23" s="106"/>
      <c r="L23" s="365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8"/>
    </row>
    <row r="24" spans="2:25" ht="22.5" customHeight="1">
      <c r="B24" s="117"/>
      <c r="C24" s="155" t="s">
        <v>839</v>
      </c>
      <c r="D24" s="156"/>
      <c r="E24" s="173"/>
      <c r="F24" s="455">
        <v>303353.52</v>
      </c>
      <c r="G24" s="467"/>
      <c r="H24" s="430"/>
      <c r="I24" s="506"/>
      <c r="J24" s="106"/>
      <c r="L24" s="365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8"/>
    </row>
    <row r="25" spans="2:25" ht="7.5" customHeight="1">
      <c r="B25" s="103"/>
      <c r="C25" s="1353"/>
      <c r="D25" s="1353"/>
      <c r="E25" s="1353"/>
      <c r="F25" s="1353"/>
      <c r="G25" s="1353"/>
      <c r="H25" s="1353"/>
      <c r="I25" s="1353"/>
      <c r="J25" s="106"/>
      <c r="L25" s="365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8"/>
    </row>
    <row r="26" spans="1:25" s="120" customFormat="1" ht="22.5" customHeight="1" thickBot="1">
      <c r="A26" s="183"/>
      <c r="B26" s="181"/>
      <c r="C26" s="157" t="s">
        <v>840</v>
      </c>
      <c r="D26" s="158"/>
      <c r="E26" s="222"/>
      <c r="F26" s="127">
        <f>+SUM(F27:F28)</f>
        <v>0</v>
      </c>
      <c r="G26" s="220">
        <f>SUM(G27:G28)</f>
        <v>0</v>
      </c>
      <c r="H26" s="221">
        <f>SUM(H27:H28)</f>
        <v>0</v>
      </c>
      <c r="I26" s="229">
        <f>SUM(I27:I28)</f>
        <v>0</v>
      </c>
      <c r="J26" s="118"/>
      <c r="L26" s="365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8"/>
    </row>
    <row r="27" spans="2:25" s="120" customFormat="1" ht="22.5" customHeight="1">
      <c r="B27" s="117"/>
      <c r="C27" s="176" t="s">
        <v>841</v>
      </c>
      <c r="D27" s="177"/>
      <c r="E27" s="179"/>
      <c r="F27" s="452"/>
      <c r="G27" s="507"/>
      <c r="H27" s="508"/>
      <c r="I27" s="504"/>
      <c r="J27" s="118"/>
      <c r="L27" s="365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8"/>
    </row>
    <row r="28" spans="2:25" ht="22.5" customHeight="1">
      <c r="B28" s="117"/>
      <c r="C28" s="155" t="s">
        <v>842</v>
      </c>
      <c r="D28" s="156"/>
      <c r="E28" s="173"/>
      <c r="F28" s="455"/>
      <c r="G28" s="509"/>
      <c r="H28" s="510"/>
      <c r="I28" s="511"/>
      <c r="J28" s="106"/>
      <c r="L28" s="365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8"/>
    </row>
    <row r="29" spans="2:25" ht="7.5" customHeight="1">
      <c r="B29" s="103"/>
      <c r="C29" s="1353"/>
      <c r="D29" s="1353"/>
      <c r="E29" s="1353"/>
      <c r="F29" s="1353"/>
      <c r="G29" s="1353"/>
      <c r="H29" s="1353"/>
      <c r="I29" s="1353"/>
      <c r="J29" s="106"/>
      <c r="L29" s="365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8"/>
    </row>
    <row r="30" spans="2:25" ht="22.5" customHeight="1" thickBot="1">
      <c r="B30" s="117"/>
      <c r="C30" s="157" t="s">
        <v>843</v>
      </c>
      <c r="D30" s="158"/>
      <c r="E30" s="222"/>
      <c r="F30" s="127">
        <f>SUM(F31:F32)</f>
        <v>0</v>
      </c>
      <c r="G30" s="220">
        <f>SUM(G31:G32)</f>
        <v>0</v>
      </c>
      <c r="H30" s="221">
        <f>SUM(H31:H32)</f>
        <v>0</v>
      </c>
      <c r="I30" s="229">
        <f>SUM(I31:I32)</f>
        <v>0</v>
      </c>
      <c r="J30" s="106"/>
      <c r="L30" s="365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8"/>
    </row>
    <row r="31" spans="2:25" ht="22.5" customHeight="1">
      <c r="B31" s="117"/>
      <c r="C31" s="176" t="s">
        <v>841</v>
      </c>
      <c r="D31" s="177"/>
      <c r="E31" s="179"/>
      <c r="F31" s="452"/>
      <c r="G31" s="512"/>
      <c r="H31" s="513"/>
      <c r="I31" s="514"/>
      <c r="J31" s="106"/>
      <c r="L31" s="365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8"/>
    </row>
    <row r="32" spans="2:25" ht="22.5" customHeight="1">
      <c r="B32" s="117"/>
      <c r="C32" s="155" t="s">
        <v>842</v>
      </c>
      <c r="D32" s="156"/>
      <c r="E32" s="173"/>
      <c r="F32" s="455"/>
      <c r="G32" s="509"/>
      <c r="H32" s="510"/>
      <c r="I32" s="511"/>
      <c r="J32" s="106"/>
      <c r="L32" s="365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8"/>
    </row>
    <row r="33" spans="2:25" ht="22.5" customHeight="1">
      <c r="B33" s="117"/>
      <c r="C33" s="208"/>
      <c r="D33" s="208"/>
      <c r="E33" s="209"/>
      <c r="F33" s="210"/>
      <c r="G33" s="209"/>
      <c r="H33" s="209"/>
      <c r="I33" s="211"/>
      <c r="J33" s="106"/>
      <c r="L33" s="365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8"/>
    </row>
    <row r="34" spans="2:25" ht="22.5" customHeight="1">
      <c r="B34" s="117"/>
      <c r="C34" s="166" t="s">
        <v>788</v>
      </c>
      <c r="D34" s="164"/>
      <c r="E34" s="165"/>
      <c r="F34" s="165"/>
      <c r="G34" s="165"/>
      <c r="H34" s="165"/>
      <c r="I34" s="96"/>
      <c r="J34" s="106"/>
      <c r="L34" s="365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8"/>
    </row>
    <row r="35" spans="2:25" ht="17.25">
      <c r="B35" s="117"/>
      <c r="C35" s="224" t="s">
        <v>844</v>
      </c>
      <c r="D35" s="164"/>
      <c r="E35" s="165"/>
      <c r="F35" s="165"/>
      <c r="G35" s="165"/>
      <c r="H35" s="165"/>
      <c r="I35" s="96"/>
      <c r="J35" s="106"/>
      <c r="L35" s="365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8"/>
    </row>
    <row r="36" spans="2:25" ht="22.5" customHeight="1" thickBot="1">
      <c r="B36" s="121"/>
      <c r="C36" s="1239"/>
      <c r="D36" s="1239"/>
      <c r="E36" s="1239"/>
      <c r="F36" s="1239"/>
      <c r="G36" s="53"/>
      <c r="H36" s="53"/>
      <c r="I36" s="122"/>
      <c r="J36" s="123"/>
      <c r="L36" s="381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3"/>
    </row>
    <row r="37" spans="3:11" ht="22.5" customHeight="1">
      <c r="C37" s="104"/>
      <c r="D37" s="104"/>
      <c r="E37" s="105"/>
      <c r="F37" s="105"/>
      <c r="G37" s="105"/>
      <c r="H37" s="105"/>
      <c r="I37" s="105"/>
      <c r="K37" s="97" t="s">
        <v>154</v>
      </c>
    </row>
    <row r="38" spans="3:9" ht="12.75">
      <c r="C38" s="124" t="s">
        <v>451</v>
      </c>
      <c r="D38" s="104"/>
      <c r="E38" s="105"/>
      <c r="F38" s="105"/>
      <c r="G38" s="105"/>
      <c r="H38" s="105"/>
      <c r="I38" s="95" t="s">
        <v>437</v>
      </c>
    </row>
    <row r="39" spans="3:9" ht="12.75">
      <c r="C39" s="125" t="s">
        <v>452</v>
      </c>
      <c r="D39" s="104"/>
      <c r="E39" s="105"/>
      <c r="F39" s="105"/>
      <c r="G39" s="105"/>
      <c r="H39" s="105"/>
      <c r="I39" s="105"/>
    </row>
    <row r="40" spans="3:9" ht="12.75">
      <c r="C40" s="125" t="s">
        <v>453</v>
      </c>
      <c r="D40" s="104"/>
      <c r="E40" s="105"/>
      <c r="F40" s="105"/>
      <c r="G40" s="105"/>
      <c r="H40" s="105"/>
      <c r="I40" s="105"/>
    </row>
    <row r="41" spans="3:9" ht="12.75">
      <c r="C41" s="125" t="s">
        <v>454</v>
      </c>
      <c r="D41" s="104"/>
      <c r="E41" s="105"/>
      <c r="F41" s="105"/>
      <c r="G41" s="105"/>
      <c r="H41" s="105"/>
      <c r="I41" s="105"/>
    </row>
    <row r="42" spans="3:9" ht="12.75">
      <c r="C42" s="125" t="s">
        <v>455</v>
      </c>
      <c r="D42" s="104"/>
      <c r="E42" s="105"/>
      <c r="F42" s="105"/>
      <c r="G42" s="105"/>
      <c r="H42" s="105"/>
      <c r="I42" s="105"/>
    </row>
    <row r="43" spans="3:9" ht="22.5" customHeight="1">
      <c r="C43" s="104"/>
      <c r="D43" s="104"/>
      <c r="E43" s="105"/>
      <c r="F43" s="105"/>
      <c r="G43" s="105"/>
      <c r="H43" s="105"/>
      <c r="I43" s="105"/>
    </row>
    <row r="44" spans="3:9" ht="22.5" customHeight="1">
      <c r="C44" s="104"/>
      <c r="D44" s="104"/>
      <c r="E44" s="105"/>
      <c r="F44" s="105"/>
      <c r="G44" s="105"/>
      <c r="H44" s="105"/>
      <c r="I44" s="105"/>
    </row>
    <row r="45" spans="3:9" ht="22.5" customHeight="1">
      <c r="C45" s="104"/>
      <c r="D45" s="104"/>
      <c r="E45" s="105"/>
      <c r="F45" s="105"/>
      <c r="G45" s="105"/>
      <c r="H45" s="105"/>
      <c r="I45" s="105"/>
    </row>
    <row r="46" spans="3:9" ht="22.5" customHeight="1">
      <c r="C46" s="104"/>
      <c r="D46" s="104"/>
      <c r="E46" s="105"/>
      <c r="F46" s="105"/>
      <c r="G46" s="105"/>
      <c r="H46" s="105"/>
      <c r="I46" s="105"/>
    </row>
    <row r="47" spans="6:9" ht="22.5" customHeight="1">
      <c r="F47" s="105"/>
      <c r="G47" s="105"/>
      <c r="H47" s="105"/>
      <c r="I47" s="105"/>
    </row>
  </sheetData>
  <sheetProtection password="C494" sheet="1" objects="1" scenarios="1"/>
  <mergeCells count="8">
    <mergeCell ref="I6:I7"/>
    <mergeCell ref="D9:I9"/>
    <mergeCell ref="C12:D12"/>
    <mergeCell ref="C25:I25"/>
    <mergeCell ref="C36:F36"/>
    <mergeCell ref="G13:I13"/>
    <mergeCell ref="C15:E15"/>
    <mergeCell ref="C29:I29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67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5"/>
  <sheetViews>
    <sheetView zoomScale="125" zoomScaleNormal="125" zoomScalePageLayoutView="0" workbookViewId="0" topLeftCell="F4">
      <selection activeCell="E16" sqref="E16:N16"/>
    </sheetView>
  </sheetViews>
  <sheetFormatPr defaultColWidth="10.6640625" defaultRowHeight="22.5" customHeight="1"/>
  <cols>
    <col min="1" max="1" width="4.3359375" style="97" bestFit="1" customWidth="1"/>
    <col min="2" max="2" width="3.3359375" style="97" customWidth="1"/>
    <col min="3" max="3" width="13.5546875" style="97" customWidth="1"/>
    <col min="4" max="4" width="33.4453125" style="97" customWidth="1"/>
    <col min="5" max="14" width="13.4453125" style="98" customWidth="1"/>
    <col min="15" max="15" width="3.3359375" style="97" customWidth="1"/>
    <col min="16" max="16384" width="10.6640625" style="97" customWidth="1"/>
  </cols>
  <sheetData>
    <row r="2" ht="22.5" customHeight="1">
      <c r="D2" s="208" t="s">
        <v>753</v>
      </c>
    </row>
    <row r="3" ht="22.5" customHeight="1">
      <c r="D3" s="208" t="s">
        <v>754</v>
      </c>
    </row>
    <row r="4" ht="22.5" customHeight="1" thickBot="1">
      <c r="A4" s="97" t="s">
        <v>153</v>
      </c>
    </row>
    <row r="5" spans="2:30" ht="9" customHeight="1">
      <c r="B5" s="99"/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  <c r="Q5" s="387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9"/>
    </row>
    <row r="6" spans="2:30" ht="30" customHeight="1">
      <c r="B6" s="103"/>
      <c r="C6" s="67" t="s">
        <v>379</v>
      </c>
      <c r="D6" s="104"/>
      <c r="E6" s="105"/>
      <c r="F6" s="105"/>
      <c r="G6" s="105"/>
      <c r="H6" s="105"/>
      <c r="I6" s="105"/>
      <c r="J6" s="105"/>
      <c r="K6" s="105"/>
      <c r="L6" s="105"/>
      <c r="M6" s="105"/>
      <c r="N6" s="1226">
        <f>ejercicio</f>
        <v>2019</v>
      </c>
      <c r="O6" s="106"/>
      <c r="Q6" s="390"/>
      <c r="R6" s="391" t="s">
        <v>1067</v>
      </c>
      <c r="S6" s="391"/>
      <c r="T6" s="391"/>
      <c r="U6" s="391"/>
      <c r="V6" s="392"/>
      <c r="W6" s="392"/>
      <c r="X6" s="392"/>
      <c r="Y6" s="392"/>
      <c r="Z6" s="392"/>
      <c r="AA6" s="392"/>
      <c r="AB6" s="392"/>
      <c r="AC6" s="392"/>
      <c r="AD6" s="393"/>
    </row>
    <row r="7" spans="2:30" ht="30" customHeight="1">
      <c r="B7" s="103"/>
      <c r="C7" s="67" t="s">
        <v>380</v>
      </c>
      <c r="D7" s="104"/>
      <c r="E7" s="105"/>
      <c r="F7" s="105"/>
      <c r="G7" s="105"/>
      <c r="H7" s="105"/>
      <c r="I7" s="105"/>
      <c r="J7" s="105"/>
      <c r="K7" s="105"/>
      <c r="L7" s="105"/>
      <c r="M7" s="105"/>
      <c r="N7" s="1226"/>
      <c r="O7" s="106"/>
      <c r="Q7" s="390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3"/>
    </row>
    <row r="8" spans="2:30" ht="30" customHeight="1">
      <c r="B8" s="103"/>
      <c r="C8" s="107"/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8"/>
      <c r="O8" s="106"/>
      <c r="Q8" s="390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3"/>
    </row>
    <row r="9" spans="2:30" s="183" customFormat="1" ht="30" customHeight="1">
      <c r="B9" s="181"/>
      <c r="C9" s="40" t="s">
        <v>381</v>
      </c>
      <c r="D9" s="1240" t="str">
        <f>Entidad</f>
        <v>INSTITUTO TECNOLOGICO Y DE ENERGIAS RENOVABLES S.A.</v>
      </c>
      <c r="E9" s="1240"/>
      <c r="F9" s="1240"/>
      <c r="G9" s="1240"/>
      <c r="H9" s="1240"/>
      <c r="I9" s="1240"/>
      <c r="J9" s="1240"/>
      <c r="K9" s="1240"/>
      <c r="L9" s="1240"/>
      <c r="M9" s="1240"/>
      <c r="N9" s="1240"/>
      <c r="O9" s="182"/>
      <c r="Q9" s="390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3"/>
    </row>
    <row r="10" spans="2:30" ht="6.75" customHeight="1">
      <c r="B10" s="103"/>
      <c r="C10" s="104"/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  <c r="Q10" s="390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3"/>
    </row>
    <row r="11" spans="2:30" s="115" customFormat="1" ht="30" customHeight="1">
      <c r="B11" s="111"/>
      <c r="C11" s="112" t="s">
        <v>846</v>
      </c>
      <c r="D11" s="112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4"/>
      <c r="Q11" s="390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3"/>
    </row>
    <row r="12" spans="2:30" s="115" customFormat="1" ht="30" customHeight="1">
      <c r="B12" s="111"/>
      <c r="C12" s="1309"/>
      <c r="D12" s="1309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114"/>
      <c r="Q12" s="390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3"/>
    </row>
    <row r="13" spans="2:30" s="115" customFormat="1" ht="18.75" customHeight="1">
      <c r="B13" s="111"/>
      <c r="C13" s="213"/>
      <c r="D13" s="216"/>
      <c r="E13" s="1360" t="s">
        <v>845</v>
      </c>
      <c r="F13" s="1361"/>
      <c r="G13" s="1361"/>
      <c r="H13" s="1361"/>
      <c r="I13" s="1361"/>
      <c r="J13" s="1361"/>
      <c r="K13" s="1361"/>
      <c r="L13" s="1361"/>
      <c r="M13" s="1361"/>
      <c r="N13" s="1362"/>
      <c r="O13" s="114"/>
      <c r="Q13" s="390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3"/>
    </row>
    <row r="14" spans="2:30" s="183" customFormat="1" ht="18.75" customHeight="1">
      <c r="B14" s="181"/>
      <c r="C14" s="1357" t="s">
        <v>827</v>
      </c>
      <c r="D14" s="1358"/>
      <c r="E14" s="231">
        <f>ejercicio+1</f>
        <v>2020</v>
      </c>
      <c r="F14" s="232">
        <f>ejercicio+2</f>
        <v>2021</v>
      </c>
      <c r="G14" s="232">
        <f>ejercicio+3</f>
        <v>2022</v>
      </c>
      <c r="H14" s="232">
        <f>ejercicio+4</f>
        <v>2023</v>
      </c>
      <c r="I14" s="232">
        <f>ejercicio+5</f>
        <v>2024</v>
      </c>
      <c r="J14" s="232">
        <f>ejercicio+6</f>
        <v>2025</v>
      </c>
      <c r="K14" s="232">
        <f>ejercicio+7</f>
        <v>2026</v>
      </c>
      <c r="L14" s="232">
        <f>ejercicio+8</f>
        <v>2027</v>
      </c>
      <c r="M14" s="232">
        <f>ejercicio+9</f>
        <v>2028</v>
      </c>
      <c r="N14" s="233">
        <f>ejercicio+10</f>
        <v>2029</v>
      </c>
      <c r="O14" s="182"/>
      <c r="Q14" s="390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3"/>
    </row>
    <row r="15" spans="2:30" s="120" customFormat="1" ht="22.5" customHeight="1">
      <c r="B15" s="117"/>
      <c r="C15" s="176" t="s">
        <v>835</v>
      </c>
      <c r="D15" s="177"/>
      <c r="E15" s="421"/>
      <c r="F15" s="422"/>
      <c r="G15" s="422"/>
      <c r="H15" s="422"/>
      <c r="I15" s="422"/>
      <c r="J15" s="422"/>
      <c r="K15" s="422"/>
      <c r="L15" s="422"/>
      <c r="M15" s="422"/>
      <c r="N15" s="782"/>
      <c r="O15" s="118"/>
      <c r="Q15" s="390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3"/>
    </row>
    <row r="16" spans="2:30" s="120" customFormat="1" ht="22.5" customHeight="1">
      <c r="B16" s="117"/>
      <c r="C16" s="176" t="s">
        <v>836</v>
      </c>
      <c r="D16" s="177"/>
      <c r="E16" s="432">
        <v>5293989.35</v>
      </c>
      <c r="F16" s="432">
        <v>5313178.93</v>
      </c>
      <c r="G16" s="432">
        <v>5332631.45</v>
      </c>
      <c r="H16" s="432">
        <v>5352350.63</v>
      </c>
      <c r="I16" s="433">
        <v>5372340.23</v>
      </c>
      <c r="J16" s="433">
        <v>4561143.65</v>
      </c>
      <c r="K16" s="433">
        <v>3862662.92</v>
      </c>
      <c r="L16" s="433">
        <v>3862662.92</v>
      </c>
      <c r="M16" s="433">
        <v>965665.73</v>
      </c>
      <c r="N16" s="504"/>
      <c r="O16" s="118"/>
      <c r="Q16" s="390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3"/>
    </row>
    <row r="17" spans="2:30" s="120" customFormat="1" ht="22.5" customHeight="1">
      <c r="B17" s="117"/>
      <c r="C17" s="176" t="s">
        <v>837</v>
      </c>
      <c r="D17" s="177"/>
      <c r="E17" s="432"/>
      <c r="F17" s="433"/>
      <c r="G17" s="433"/>
      <c r="H17" s="433"/>
      <c r="I17" s="433"/>
      <c r="J17" s="433"/>
      <c r="K17" s="433"/>
      <c r="L17" s="433"/>
      <c r="M17" s="433"/>
      <c r="N17" s="504"/>
      <c r="O17" s="118"/>
      <c r="Q17" s="390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3"/>
    </row>
    <row r="18" spans="2:30" ht="22.5" customHeight="1">
      <c r="B18" s="117"/>
      <c r="C18" s="153" t="s">
        <v>838</v>
      </c>
      <c r="D18" s="154"/>
      <c r="E18" s="425"/>
      <c r="F18" s="426"/>
      <c r="G18" s="426"/>
      <c r="H18" s="426"/>
      <c r="I18" s="426"/>
      <c r="J18" s="426"/>
      <c r="K18" s="426"/>
      <c r="L18" s="426"/>
      <c r="M18" s="426"/>
      <c r="N18" s="505"/>
      <c r="O18" s="106"/>
      <c r="Q18" s="390"/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392"/>
      <c r="AC18" s="392"/>
      <c r="AD18" s="393"/>
    </row>
    <row r="19" spans="2:30" ht="22.5" customHeight="1">
      <c r="B19" s="117"/>
      <c r="C19" s="155" t="s">
        <v>839</v>
      </c>
      <c r="D19" s="156"/>
      <c r="E19" s="429">
        <f>7013.34+14284+14284</f>
        <v>35581.34</v>
      </c>
      <c r="F19" s="430">
        <f>14284*2</f>
        <v>28568</v>
      </c>
      <c r="G19" s="430">
        <v>28568</v>
      </c>
      <c r="H19" s="430">
        <v>19734.66</v>
      </c>
      <c r="I19" s="430"/>
      <c r="J19" s="430"/>
      <c r="K19" s="430"/>
      <c r="L19" s="430"/>
      <c r="M19" s="430"/>
      <c r="N19" s="506"/>
      <c r="O19" s="106"/>
      <c r="Q19" s="390"/>
      <c r="R19" s="392"/>
      <c r="S19" s="392"/>
      <c r="T19" s="392"/>
      <c r="U19" s="392"/>
      <c r="V19" s="392"/>
      <c r="W19" s="392"/>
      <c r="X19" s="392"/>
      <c r="Y19" s="392"/>
      <c r="Z19" s="392"/>
      <c r="AA19" s="392"/>
      <c r="AB19" s="392"/>
      <c r="AC19" s="392"/>
      <c r="AD19" s="393"/>
    </row>
    <row r="20" spans="1:30" s="120" customFormat="1" ht="22.5" customHeight="1" thickBot="1">
      <c r="A20" s="183"/>
      <c r="B20" s="181"/>
      <c r="C20" s="157" t="s">
        <v>847</v>
      </c>
      <c r="D20" s="158"/>
      <c r="E20" s="230">
        <f>SUM(E15:E19)</f>
        <v>5329570.6899999995</v>
      </c>
      <c r="F20" s="221">
        <f aca="true" t="shared" si="0" ref="F20:N20">SUM(F15:F19)</f>
        <v>5341746.93</v>
      </c>
      <c r="G20" s="221">
        <f t="shared" si="0"/>
        <v>5361199.45</v>
      </c>
      <c r="H20" s="221">
        <f t="shared" si="0"/>
        <v>5372085.29</v>
      </c>
      <c r="I20" s="221">
        <f t="shared" si="0"/>
        <v>5372340.23</v>
      </c>
      <c r="J20" s="221">
        <f t="shared" si="0"/>
        <v>4561143.65</v>
      </c>
      <c r="K20" s="221">
        <f t="shared" si="0"/>
        <v>3862662.92</v>
      </c>
      <c r="L20" s="221">
        <f t="shared" si="0"/>
        <v>3862662.92</v>
      </c>
      <c r="M20" s="221">
        <f t="shared" si="0"/>
        <v>965665.73</v>
      </c>
      <c r="N20" s="229">
        <f t="shared" si="0"/>
        <v>0</v>
      </c>
      <c r="O20" s="118"/>
      <c r="Q20" s="390"/>
      <c r="R20" s="392"/>
      <c r="S20" s="392"/>
      <c r="T20" s="392"/>
      <c r="U20" s="392"/>
      <c r="V20" s="392"/>
      <c r="W20" s="392"/>
      <c r="X20" s="392"/>
      <c r="Y20" s="392"/>
      <c r="Z20" s="392"/>
      <c r="AA20" s="392"/>
      <c r="AB20" s="392"/>
      <c r="AC20" s="392"/>
      <c r="AD20" s="393"/>
    </row>
    <row r="21" spans="2:30" ht="22.5" customHeight="1">
      <c r="B21" s="117"/>
      <c r="C21" s="208"/>
      <c r="D21" s="208"/>
      <c r="E21" s="209"/>
      <c r="F21" s="209"/>
      <c r="G21" s="209"/>
      <c r="H21" s="209"/>
      <c r="I21" s="209"/>
      <c r="J21" s="209"/>
      <c r="K21" s="209"/>
      <c r="L21" s="209"/>
      <c r="M21" s="209"/>
      <c r="N21" s="211"/>
      <c r="O21" s="106"/>
      <c r="Q21" s="390"/>
      <c r="R21" s="392"/>
      <c r="S21" s="392"/>
      <c r="T21" s="392"/>
      <c r="U21" s="392"/>
      <c r="V21" s="392"/>
      <c r="W21" s="392"/>
      <c r="X21" s="392"/>
      <c r="Y21" s="392"/>
      <c r="Z21" s="392"/>
      <c r="AA21" s="392"/>
      <c r="AB21" s="392"/>
      <c r="AC21" s="392"/>
      <c r="AD21" s="393"/>
    </row>
    <row r="22" spans="2:30" ht="22.5" customHeight="1">
      <c r="B22" s="117"/>
      <c r="C22" s="166" t="s">
        <v>24</v>
      </c>
      <c r="D22" s="164"/>
      <c r="E22" s="165"/>
      <c r="F22" s="165"/>
      <c r="G22" s="165"/>
      <c r="H22" s="165"/>
      <c r="I22" s="165"/>
      <c r="J22" s="165"/>
      <c r="K22" s="165"/>
      <c r="L22" s="165"/>
      <c r="M22" s="165"/>
      <c r="N22" s="96"/>
      <c r="O22" s="106"/>
      <c r="Q22" s="390"/>
      <c r="R22" s="392"/>
      <c r="S22" s="392"/>
      <c r="T22" s="392"/>
      <c r="U22" s="392"/>
      <c r="V22" s="392"/>
      <c r="W22" s="392"/>
      <c r="X22" s="392"/>
      <c r="Y22" s="392"/>
      <c r="Z22" s="392"/>
      <c r="AA22" s="392"/>
      <c r="AB22" s="392"/>
      <c r="AC22" s="392"/>
      <c r="AD22" s="393"/>
    </row>
    <row r="23" spans="2:30" ht="17.25">
      <c r="B23" s="117"/>
      <c r="C23" s="224" t="s">
        <v>844</v>
      </c>
      <c r="D23" s="164"/>
      <c r="E23" s="165"/>
      <c r="F23" s="165"/>
      <c r="G23" s="165"/>
      <c r="H23" s="165"/>
      <c r="I23" s="165"/>
      <c r="J23" s="165"/>
      <c r="K23" s="165"/>
      <c r="L23" s="165"/>
      <c r="M23" s="165"/>
      <c r="N23" s="96"/>
      <c r="O23" s="106"/>
      <c r="Q23" s="390"/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2"/>
      <c r="AC23" s="392"/>
      <c r="AD23" s="393"/>
    </row>
    <row r="24" spans="2:30" ht="22.5" customHeight="1" thickBot="1">
      <c r="B24" s="121"/>
      <c r="C24" s="1239"/>
      <c r="D24" s="1239"/>
      <c r="E24" s="53"/>
      <c r="F24" s="53"/>
      <c r="G24" s="53"/>
      <c r="H24" s="53"/>
      <c r="I24" s="53"/>
      <c r="J24" s="53"/>
      <c r="K24" s="53"/>
      <c r="L24" s="53"/>
      <c r="M24" s="53"/>
      <c r="N24" s="122"/>
      <c r="O24" s="123"/>
      <c r="Q24" s="384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6"/>
    </row>
    <row r="25" spans="3:16" ht="22.5" customHeight="1">
      <c r="C25" s="104"/>
      <c r="D25" s="104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P25" s="97" t="s">
        <v>154</v>
      </c>
    </row>
    <row r="26" spans="3:14" ht="12.75">
      <c r="C26" s="124" t="s">
        <v>451</v>
      </c>
      <c r="D26" s="104"/>
      <c r="E26" s="105"/>
      <c r="F26" s="105"/>
      <c r="G26" s="105"/>
      <c r="H26" s="105"/>
      <c r="I26" s="105"/>
      <c r="J26" s="105"/>
      <c r="K26" s="105"/>
      <c r="L26" s="105"/>
      <c r="M26" s="105"/>
      <c r="N26" s="95" t="s">
        <v>439</v>
      </c>
    </row>
    <row r="27" spans="3:14" ht="12.75">
      <c r="C27" s="125" t="s">
        <v>452</v>
      </c>
      <c r="D27" s="104"/>
      <c r="E27" s="105"/>
      <c r="F27" s="105"/>
      <c r="G27" s="105"/>
      <c r="H27" s="105"/>
      <c r="I27" s="105"/>
      <c r="J27" s="105"/>
      <c r="K27" s="105"/>
      <c r="L27" s="105"/>
      <c r="M27" s="105"/>
      <c r="N27" s="105"/>
    </row>
    <row r="28" spans="3:14" ht="12.75">
      <c r="C28" s="125" t="s">
        <v>453</v>
      </c>
      <c r="D28" s="104"/>
      <c r="E28" s="105"/>
      <c r="F28" s="105"/>
      <c r="G28" s="105"/>
      <c r="H28" s="105"/>
      <c r="I28" s="105"/>
      <c r="J28" s="105"/>
      <c r="K28" s="105"/>
      <c r="L28" s="105"/>
      <c r="M28" s="105"/>
      <c r="N28" s="105"/>
    </row>
    <row r="29" spans="3:14" ht="12.75">
      <c r="C29" s="125" t="s">
        <v>454</v>
      </c>
      <c r="D29" s="104"/>
      <c r="E29" s="105"/>
      <c r="F29" s="105"/>
      <c r="G29" s="105"/>
      <c r="H29" s="105"/>
      <c r="I29" s="105"/>
      <c r="J29" s="105"/>
      <c r="K29" s="105"/>
      <c r="L29" s="105"/>
      <c r="M29" s="105"/>
      <c r="N29" s="105"/>
    </row>
    <row r="30" spans="3:14" ht="12.75">
      <c r="C30" s="125" t="s">
        <v>455</v>
      </c>
      <c r="D30" s="104"/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  <row r="31" spans="3:14" ht="22.5" customHeight="1">
      <c r="C31" s="104"/>
      <c r="D31" s="104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3:14" ht="22.5" customHeight="1">
      <c r="C32" s="104"/>
      <c r="D32" s="104"/>
      <c r="E32" s="105"/>
      <c r="F32" s="105"/>
      <c r="G32" s="105"/>
      <c r="H32" s="105"/>
      <c r="I32" s="105"/>
      <c r="J32" s="105"/>
      <c r="K32" s="105"/>
      <c r="L32" s="105"/>
      <c r="M32" s="105"/>
      <c r="N32" s="105"/>
    </row>
    <row r="33" spans="3:14" ht="22.5" customHeight="1">
      <c r="C33" s="104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3:14" ht="22.5" customHeight="1">
      <c r="C34" s="104"/>
      <c r="D34" s="104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5:14" ht="22.5" customHeight="1"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</sheetData>
  <sheetProtection sheet="1" objects="1" scenarios="1"/>
  <mergeCells count="6">
    <mergeCell ref="C24:D24"/>
    <mergeCell ref="N6:N7"/>
    <mergeCell ref="D9:N9"/>
    <mergeCell ref="C12:D12"/>
    <mergeCell ref="E13:N13"/>
    <mergeCell ref="C14:D14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6"/>
  <sheetViews>
    <sheetView zoomScalePageLayoutView="0" workbookViewId="0" topLeftCell="A24">
      <selection activeCell="G50" sqref="G50"/>
    </sheetView>
  </sheetViews>
  <sheetFormatPr defaultColWidth="10.6640625" defaultRowHeight="22.5" customHeight="1"/>
  <cols>
    <col min="1" max="1" width="4.3359375" style="97" bestFit="1" customWidth="1"/>
    <col min="2" max="2" width="3.3359375" style="97" customWidth="1"/>
    <col min="3" max="3" width="5.3359375" style="97" customWidth="1"/>
    <col min="4" max="4" width="18.6640625" style="97" customWidth="1"/>
    <col min="5" max="5" width="13.3359375" style="97" customWidth="1"/>
    <col min="6" max="10" width="18.6640625" style="98" customWidth="1"/>
    <col min="11" max="11" width="3.3359375" style="97" customWidth="1"/>
    <col min="12" max="16384" width="10.6640625" style="97" customWidth="1"/>
  </cols>
  <sheetData>
    <row r="2" ht="22.5" customHeight="1">
      <c r="E2" s="208" t="s">
        <v>753</v>
      </c>
    </row>
    <row r="3" ht="22.5" customHeight="1">
      <c r="E3" s="208" t="s">
        <v>754</v>
      </c>
    </row>
    <row r="4" ht="22.5" customHeight="1" thickBot="1">
      <c r="A4" s="97" t="s">
        <v>153</v>
      </c>
    </row>
    <row r="5" spans="2:26" ht="9" customHeight="1">
      <c r="B5" s="99"/>
      <c r="C5" s="100"/>
      <c r="D5" s="100"/>
      <c r="E5" s="100"/>
      <c r="F5" s="101"/>
      <c r="G5" s="101"/>
      <c r="H5" s="101"/>
      <c r="I5" s="101"/>
      <c r="J5" s="101"/>
      <c r="K5" s="102"/>
      <c r="M5" s="387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9"/>
    </row>
    <row r="6" spans="2:26" ht="30" customHeight="1">
      <c r="B6" s="103"/>
      <c r="C6" s="67" t="s">
        <v>379</v>
      </c>
      <c r="D6" s="104"/>
      <c r="E6" s="105"/>
      <c r="F6" s="105"/>
      <c r="G6" s="105"/>
      <c r="H6" s="105"/>
      <c r="I6" s="105"/>
      <c r="J6" s="1226">
        <f>ejercicio</f>
        <v>2019</v>
      </c>
      <c r="K6" s="106"/>
      <c r="M6" s="390"/>
      <c r="N6" s="391" t="s">
        <v>1067</v>
      </c>
      <c r="O6" s="391"/>
      <c r="P6" s="391"/>
      <c r="Q6" s="391"/>
      <c r="R6" s="392"/>
      <c r="S6" s="392"/>
      <c r="T6" s="392"/>
      <c r="U6" s="392"/>
      <c r="V6" s="392"/>
      <c r="W6" s="392"/>
      <c r="X6" s="392"/>
      <c r="Y6" s="392"/>
      <c r="Z6" s="393"/>
    </row>
    <row r="7" spans="2:26" ht="30" customHeight="1">
      <c r="B7" s="103"/>
      <c r="C7" s="67" t="s">
        <v>380</v>
      </c>
      <c r="D7" s="104"/>
      <c r="E7" s="105"/>
      <c r="F7" s="105"/>
      <c r="G7" s="105"/>
      <c r="H7" s="105"/>
      <c r="I7" s="105"/>
      <c r="J7" s="1226"/>
      <c r="K7" s="106"/>
      <c r="M7" s="390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3"/>
    </row>
    <row r="8" spans="2:26" ht="30" customHeight="1">
      <c r="B8" s="103"/>
      <c r="C8" s="107"/>
      <c r="D8" s="104"/>
      <c r="E8" s="105"/>
      <c r="F8" s="105"/>
      <c r="G8" s="105"/>
      <c r="H8" s="105"/>
      <c r="I8" s="105"/>
      <c r="J8" s="108"/>
      <c r="K8" s="106"/>
      <c r="M8" s="390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3"/>
    </row>
    <row r="9" spans="2:26" s="183" customFormat="1" ht="30" customHeight="1">
      <c r="B9" s="181"/>
      <c r="C9" s="40" t="s">
        <v>381</v>
      </c>
      <c r="D9" s="251"/>
      <c r="E9" s="1240" t="str">
        <f>Entidad</f>
        <v>INSTITUTO TECNOLOGICO Y DE ENERGIAS RENOVABLES S.A.</v>
      </c>
      <c r="F9" s="1240"/>
      <c r="G9" s="1240"/>
      <c r="H9" s="1240"/>
      <c r="I9" s="1240"/>
      <c r="J9" s="1240"/>
      <c r="K9" s="106"/>
      <c r="M9" s="390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3"/>
    </row>
    <row r="10" spans="2:26" ht="6.75" customHeight="1">
      <c r="B10" s="103"/>
      <c r="C10" s="104"/>
      <c r="D10" s="104"/>
      <c r="E10" s="105"/>
      <c r="F10" s="105"/>
      <c r="G10" s="105"/>
      <c r="H10" s="105"/>
      <c r="I10" s="105"/>
      <c r="J10" s="104"/>
      <c r="K10" s="106"/>
      <c r="M10" s="390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3"/>
    </row>
    <row r="11" spans="2:26" s="115" customFormat="1" ht="30" customHeight="1">
      <c r="B11" s="111"/>
      <c r="C11" s="112" t="s">
        <v>859</v>
      </c>
      <c r="D11" s="112"/>
      <c r="E11" s="113"/>
      <c r="F11" s="113"/>
      <c r="G11" s="113"/>
      <c r="H11" s="113"/>
      <c r="I11" s="113"/>
      <c r="J11" s="113"/>
      <c r="K11" s="106"/>
      <c r="M11" s="390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3"/>
    </row>
    <row r="12" spans="2:26" s="115" customFormat="1" ht="30" customHeight="1">
      <c r="B12" s="111"/>
      <c r="C12" s="1309"/>
      <c r="D12" s="1309"/>
      <c r="E12" s="96"/>
      <c r="F12" s="96"/>
      <c r="G12" s="96"/>
      <c r="H12" s="96"/>
      <c r="I12" s="96"/>
      <c r="J12" s="250"/>
      <c r="K12" s="106"/>
      <c r="M12" s="390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3"/>
    </row>
    <row r="13" spans="2:26" ht="28.5" customHeight="1">
      <c r="B13" s="117"/>
      <c r="C13" s="66" t="s">
        <v>884</v>
      </c>
      <c r="D13" s="150"/>
      <c r="E13" s="96"/>
      <c r="F13" s="96"/>
      <c r="G13" s="96"/>
      <c r="H13" s="96"/>
      <c r="I13" s="96"/>
      <c r="J13" s="104"/>
      <c r="K13" s="106"/>
      <c r="M13" s="390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3"/>
    </row>
    <row r="14" spans="2:26" ht="24.75" customHeight="1">
      <c r="B14" s="117"/>
      <c r="C14" s="526" t="s">
        <v>893</v>
      </c>
      <c r="D14" s="527"/>
      <c r="E14" s="150"/>
      <c r="F14" s="96"/>
      <c r="G14" s="96"/>
      <c r="H14" s="96"/>
      <c r="I14" s="96"/>
      <c r="J14" s="96"/>
      <c r="K14" s="106"/>
      <c r="M14" s="390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3"/>
    </row>
    <row r="15" spans="2:26" ht="22.5" customHeight="1">
      <c r="B15" s="117"/>
      <c r="C15" s="468" t="s">
        <v>1045</v>
      </c>
      <c r="D15" s="208" t="s">
        <v>860</v>
      </c>
      <c r="F15" s="96"/>
      <c r="G15" s="96"/>
      <c r="H15" s="96"/>
      <c r="I15" s="96"/>
      <c r="J15" s="96"/>
      <c r="K15" s="106"/>
      <c r="M15" s="390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3"/>
    </row>
    <row r="16" spans="2:26" ht="9" customHeight="1">
      <c r="B16" s="117"/>
      <c r="C16" s="149"/>
      <c r="D16" s="208"/>
      <c r="F16" s="96"/>
      <c r="G16" s="96"/>
      <c r="H16" s="96"/>
      <c r="I16" s="96"/>
      <c r="J16" s="96"/>
      <c r="K16" s="106"/>
      <c r="M16" s="390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3"/>
    </row>
    <row r="17" spans="2:26" ht="22.5" customHeight="1">
      <c r="B17" s="117"/>
      <c r="C17" s="468"/>
      <c r="D17" s="208" t="s">
        <v>861</v>
      </c>
      <c r="F17" s="96"/>
      <c r="G17" s="96"/>
      <c r="H17" s="96"/>
      <c r="I17" s="96"/>
      <c r="J17" s="96"/>
      <c r="K17" s="106"/>
      <c r="M17" s="390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3"/>
    </row>
    <row r="18" spans="2:26" ht="9.75" customHeight="1">
      <c r="B18" s="117"/>
      <c r="C18" s="149"/>
      <c r="D18" s="208"/>
      <c r="F18" s="96"/>
      <c r="G18" s="96"/>
      <c r="H18" s="96"/>
      <c r="I18" s="96"/>
      <c r="J18" s="96"/>
      <c r="K18" s="106"/>
      <c r="M18" s="390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  <c r="Y18" s="392"/>
      <c r="Z18" s="393"/>
    </row>
    <row r="19" spans="2:26" ht="22.5" customHeight="1">
      <c r="B19" s="117"/>
      <c r="C19" s="468"/>
      <c r="D19" s="208" t="s">
        <v>862</v>
      </c>
      <c r="F19" s="96"/>
      <c r="G19" s="96"/>
      <c r="H19" s="96"/>
      <c r="I19" s="96"/>
      <c r="J19" s="96"/>
      <c r="K19" s="106"/>
      <c r="M19" s="390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  <c r="Y19" s="392"/>
      <c r="Z19" s="393"/>
    </row>
    <row r="20" spans="2:26" ht="9" customHeight="1">
      <c r="B20" s="117"/>
      <c r="C20" s="149"/>
      <c r="D20" s="208"/>
      <c r="F20" s="96"/>
      <c r="G20" s="96"/>
      <c r="H20" s="96"/>
      <c r="I20" s="96"/>
      <c r="J20" s="96"/>
      <c r="K20" s="106"/>
      <c r="M20" s="390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2"/>
      <c r="Y20" s="392"/>
      <c r="Z20" s="393"/>
    </row>
    <row r="21" spans="2:26" ht="22.5" customHeight="1">
      <c r="B21" s="117"/>
      <c r="C21" s="468"/>
      <c r="D21" s="208" t="s">
        <v>863</v>
      </c>
      <c r="F21" s="96"/>
      <c r="G21" s="96"/>
      <c r="H21" s="96"/>
      <c r="I21" s="96"/>
      <c r="J21" s="96"/>
      <c r="K21" s="106"/>
      <c r="M21" s="390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392"/>
      <c r="Z21" s="393"/>
    </row>
    <row r="22" spans="2:26" ht="9" customHeight="1">
      <c r="B22" s="117"/>
      <c r="C22" s="149"/>
      <c r="D22" s="208"/>
      <c r="F22" s="96"/>
      <c r="G22" s="96"/>
      <c r="H22" s="96"/>
      <c r="I22" s="96"/>
      <c r="J22" s="96"/>
      <c r="K22" s="106"/>
      <c r="M22" s="390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92"/>
      <c r="Z22" s="393"/>
    </row>
    <row r="23" spans="2:26" ht="22.5" customHeight="1">
      <c r="B23" s="117"/>
      <c r="C23" s="468"/>
      <c r="D23" s="208" t="s">
        <v>864</v>
      </c>
      <c r="F23" s="96"/>
      <c r="G23" s="96"/>
      <c r="H23" s="96"/>
      <c r="I23" s="96"/>
      <c r="J23" s="96"/>
      <c r="K23" s="106"/>
      <c r="M23" s="390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393"/>
    </row>
    <row r="24" spans="2:26" ht="22.5" customHeight="1">
      <c r="B24" s="117"/>
      <c r="C24" s="149"/>
      <c r="D24" s="208"/>
      <c r="F24" s="96"/>
      <c r="G24" s="96"/>
      <c r="H24" s="96"/>
      <c r="I24" s="96"/>
      <c r="J24" s="96"/>
      <c r="K24" s="106"/>
      <c r="M24" s="390"/>
      <c r="N24" s="392"/>
      <c r="O24" s="392"/>
      <c r="P24" s="392"/>
      <c r="Q24" s="392"/>
      <c r="R24" s="392"/>
      <c r="S24" s="392"/>
      <c r="T24" s="392"/>
      <c r="U24" s="392"/>
      <c r="V24" s="392"/>
      <c r="W24" s="392"/>
      <c r="X24" s="392"/>
      <c r="Y24" s="392"/>
      <c r="Z24" s="393"/>
    </row>
    <row r="25" spans="2:26" ht="22.5" customHeight="1">
      <c r="B25" s="117"/>
      <c r="C25" s="32"/>
      <c r="D25" s="150"/>
      <c r="E25" s="150"/>
      <c r="F25" s="96"/>
      <c r="G25" s="96"/>
      <c r="H25" s="96"/>
      <c r="I25" s="96"/>
      <c r="J25" s="96"/>
      <c r="K25" s="106"/>
      <c r="M25" s="390"/>
      <c r="N25" s="392"/>
      <c r="O25" s="392"/>
      <c r="P25" s="392"/>
      <c r="Q25" s="392"/>
      <c r="R25" s="392"/>
      <c r="S25" s="392"/>
      <c r="T25" s="392"/>
      <c r="U25" s="392"/>
      <c r="V25" s="392"/>
      <c r="W25" s="392"/>
      <c r="X25" s="392"/>
      <c r="Y25" s="392"/>
      <c r="Z25" s="393"/>
    </row>
    <row r="26" spans="2:26" ht="22.5" customHeight="1">
      <c r="B26" s="117"/>
      <c r="C26" s="66" t="s">
        <v>867</v>
      </c>
      <c r="E26" s="150"/>
      <c r="F26" s="96"/>
      <c r="G26" s="96"/>
      <c r="H26" s="96"/>
      <c r="I26" s="96"/>
      <c r="J26" s="96"/>
      <c r="K26" s="106"/>
      <c r="M26" s="390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3"/>
    </row>
    <row r="27" spans="2:26" ht="9" customHeight="1">
      <c r="B27" s="117"/>
      <c r="C27" s="66"/>
      <c r="E27" s="150"/>
      <c r="F27" s="96"/>
      <c r="G27" s="96"/>
      <c r="H27" s="96"/>
      <c r="I27" s="96"/>
      <c r="J27" s="96"/>
      <c r="K27" s="106"/>
      <c r="M27" s="390"/>
      <c r="N27" s="392"/>
      <c r="O27" s="392"/>
      <c r="P27" s="392"/>
      <c r="Q27" s="392"/>
      <c r="R27" s="392"/>
      <c r="S27" s="392"/>
      <c r="T27" s="392"/>
      <c r="U27" s="392"/>
      <c r="V27" s="392"/>
      <c r="W27" s="392"/>
      <c r="X27" s="392"/>
      <c r="Y27" s="392"/>
      <c r="Z27" s="393"/>
    </row>
    <row r="28" spans="2:26" ht="22.5" customHeight="1">
      <c r="B28" s="117"/>
      <c r="C28" s="184" t="str">
        <f>IF(VLOOKUP("X",C15:D23,2,FALSE)="#N/A",VLOOKUP("x",C15:D23,2,FALSE),VLOOKUP("X",C15:D23,2,FALSE))</f>
        <v>  Administracion General y Resto de sectores</v>
      </c>
      <c r="D28" s="185"/>
      <c r="E28" s="185"/>
      <c r="F28" s="185"/>
      <c r="G28" s="185"/>
      <c r="H28" s="260"/>
      <c r="I28" s="96"/>
      <c r="J28" s="96"/>
      <c r="K28" s="106"/>
      <c r="M28" s="390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3"/>
    </row>
    <row r="29" spans="2:26" ht="22.5" customHeight="1">
      <c r="B29" s="117"/>
      <c r="C29" s="32"/>
      <c r="D29" s="150"/>
      <c r="E29" s="150"/>
      <c r="F29" s="96"/>
      <c r="G29" s="96"/>
      <c r="H29" s="96"/>
      <c r="I29" s="96"/>
      <c r="J29" s="96"/>
      <c r="K29" s="106"/>
      <c r="M29" s="390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3"/>
    </row>
    <row r="30" spans="2:26" s="129" customFormat="1" ht="22.5" customHeight="1">
      <c r="B30" s="160"/>
      <c r="C30" s="184" t="s">
        <v>865</v>
      </c>
      <c r="D30" s="175"/>
      <c r="E30" s="201"/>
      <c r="F30" s="186">
        <f>E45</f>
        <v>207</v>
      </c>
      <c r="G30" s="96"/>
      <c r="H30" s="96"/>
      <c r="I30" s="96"/>
      <c r="J30" s="96"/>
      <c r="K30" s="128"/>
      <c r="M30" s="390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3"/>
    </row>
    <row r="31" spans="2:26" s="129" customFormat="1" ht="22.5" customHeight="1">
      <c r="B31" s="160"/>
      <c r="C31" s="266" t="s">
        <v>866</v>
      </c>
      <c r="D31" s="267"/>
      <c r="E31" s="268"/>
      <c r="F31" s="186">
        <f>J45+F53</f>
        <v>6625812.955803332</v>
      </c>
      <c r="G31" s="96"/>
      <c r="H31" s="96"/>
      <c r="I31" s="96"/>
      <c r="J31" s="96"/>
      <c r="K31" s="128"/>
      <c r="M31" s="390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2"/>
      <c r="Y31" s="392"/>
      <c r="Z31" s="393"/>
    </row>
    <row r="32" spans="2:26" ht="22.5" customHeight="1">
      <c r="B32" s="117"/>
      <c r="D32" s="208"/>
      <c r="E32" s="150"/>
      <c r="F32" s="209"/>
      <c r="G32" s="96"/>
      <c r="H32" s="96"/>
      <c r="I32" s="96"/>
      <c r="J32" s="96"/>
      <c r="K32" s="106"/>
      <c r="M32" s="390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3"/>
    </row>
    <row r="33" spans="2:26" ht="22.5" customHeight="1">
      <c r="B33" s="117"/>
      <c r="C33" s="32"/>
      <c r="D33" s="150"/>
      <c r="E33" s="150"/>
      <c r="F33" s="96"/>
      <c r="G33" s="96"/>
      <c r="H33" s="96"/>
      <c r="I33" s="96"/>
      <c r="J33" s="96"/>
      <c r="K33" s="106"/>
      <c r="M33" s="390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392"/>
      <c r="Z33" s="393"/>
    </row>
    <row r="34" spans="2:26" ht="22.5" customHeight="1">
      <c r="B34" s="117"/>
      <c r="C34" s="66" t="s">
        <v>868</v>
      </c>
      <c r="E34" s="150"/>
      <c r="F34" s="96"/>
      <c r="G34" s="96"/>
      <c r="H34" s="96"/>
      <c r="I34" s="96"/>
      <c r="J34" s="96"/>
      <c r="K34" s="106"/>
      <c r="M34" s="390"/>
      <c r="N34" s="392"/>
      <c r="O34" s="392"/>
      <c r="P34" s="392"/>
      <c r="Q34" s="392"/>
      <c r="R34" s="392"/>
      <c r="S34" s="392"/>
      <c r="T34" s="392"/>
      <c r="U34" s="392"/>
      <c r="V34" s="392"/>
      <c r="W34" s="392"/>
      <c r="X34" s="392"/>
      <c r="Y34" s="392"/>
      <c r="Z34" s="393"/>
    </row>
    <row r="35" spans="2:26" ht="22.5" customHeight="1">
      <c r="B35" s="117"/>
      <c r="C35" s="32"/>
      <c r="D35" s="150"/>
      <c r="E35" s="150"/>
      <c r="F35" s="96"/>
      <c r="G35" s="96"/>
      <c r="H35" s="96"/>
      <c r="I35" s="96"/>
      <c r="J35" s="96"/>
      <c r="K35" s="106"/>
      <c r="M35" s="390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3"/>
    </row>
    <row r="36" spans="2:26" s="234" customFormat="1" ht="22.5" customHeight="1">
      <c r="B36" s="235"/>
      <c r="C36" s="252"/>
      <c r="D36" s="255"/>
      <c r="E36" s="236"/>
      <c r="F36" s="1299" t="s">
        <v>887</v>
      </c>
      <c r="G36" s="1300"/>
      <c r="H36" s="1300"/>
      <c r="I36" s="1300"/>
      <c r="J36" s="1301"/>
      <c r="K36" s="237"/>
      <c r="M36" s="390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3"/>
    </row>
    <row r="37" spans="2:26" s="234" customFormat="1" ht="24" customHeight="1">
      <c r="B37" s="235"/>
      <c r="C37" s="1345" t="s">
        <v>869</v>
      </c>
      <c r="D37" s="1346"/>
      <c r="E37" s="239" t="s">
        <v>876</v>
      </c>
      <c r="F37" s="238" t="s">
        <v>878</v>
      </c>
      <c r="G37" s="238" t="s">
        <v>1046</v>
      </c>
      <c r="H37" s="238" t="s">
        <v>881</v>
      </c>
      <c r="I37" s="238" t="s">
        <v>883</v>
      </c>
      <c r="J37" s="248" t="s">
        <v>885</v>
      </c>
      <c r="K37" s="237"/>
      <c r="M37" s="390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3"/>
    </row>
    <row r="38" spans="2:26" s="234" customFormat="1" ht="24" customHeight="1">
      <c r="B38" s="235"/>
      <c r="C38" s="1319" t="s">
        <v>441</v>
      </c>
      <c r="D38" s="1320"/>
      <c r="E38" s="241" t="s">
        <v>877</v>
      </c>
      <c r="F38" s="240" t="s">
        <v>879</v>
      </c>
      <c r="G38" s="240" t="s">
        <v>880</v>
      </c>
      <c r="H38" s="240" t="s">
        <v>882</v>
      </c>
      <c r="I38" s="240" t="s">
        <v>886</v>
      </c>
      <c r="J38" s="243" t="s">
        <v>886</v>
      </c>
      <c r="K38" s="237"/>
      <c r="M38" s="390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2"/>
      <c r="Y38" s="392"/>
      <c r="Z38" s="393"/>
    </row>
    <row r="39" spans="2:26" ht="22.5" customHeight="1">
      <c r="B39" s="117"/>
      <c r="C39" s="176" t="s">
        <v>870</v>
      </c>
      <c r="D39" s="258"/>
      <c r="E39" s="519"/>
      <c r="F39" s="518"/>
      <c r="G39" s="518"/>
      <c r="H39" s="518"/>
      <c r="I39" s="518"/>
      <c r="J39" s="528">
        <f aca="true" t="shared" si="0" ref="J39:J44">SUM(F39:I39)</f>
        <v>0</v>
      </c>
      <c r="K39" s="106"/>
      <c r="M39" s="390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3"/>
    </row>
    <row r="40" spans="2:26" ht="22.5" customHeight="1">
      <c r="B40" s="117"/>
      <c r="C40" s="176" t="s">
        <v>871</v>
      </c>
      <c r="D40" s="258"/>
      <c r="E40" s="519">
        <v>1</v>
      </c>
      <c r="F40" s="518">
        <v>62377.5933</v>
      </c>
      <c r="G40" s="518">
        <v>20214.56666</v>
      </c>
      <c r="H40" s="518">
        <v>0</v>
      </c>
      <c r="I40" s="518">
        <v>10396.26555</v>
      </c>
      <c r="J40" s="528">
        <f t="shared" si="0"/>
        <v>92988.42551</v>
      </c>
      <c r="K40" s="106"/>
      <c r="M40" s="390"/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2"/>
      <c r="Y40" s="392"/>
      <c r="Z40" s="393"/>
    </row>
    <row r="41" spans="2:26" ht="22.5" customHeight="1">
      <c r="B41" s="117"/>
      <c r="C41" s="176" t="s">
        <v>872</v>
      </c>
      <c r="D41" s="258"/>
      <c r="E41" s="519"/>
      <c r="F41" s="518"/>
      <c r="G41" s="518"/>
      <c r="H41" s="518"/>
      <c r="I41" s="518"/>
      <c r="J41" s="528">
        <f t="shared" si="0"/>
        <v>0</v>
      </c>
      <c r="K41" s="106"/>
      <c r="M41" s="390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2"/>
      <c r="Y41" s="392"/>
      <c r="Z41" s="393"/>
    </row>
    <row r="42" spans="2:26" ht="22.5" customHeight="1">
      <c r="B42" s="117"/>
      <c r="C42" s="176" t="s">
        <v>873</v>
      </c>
      <c r="D42" s="258"/>
      <c r="E42" s="519">
        <v>107</v>
      </c>
      <c r="F42" s="518">
        <v>1944620.8058000002</v>
      </c>
      <c r="G42" s="518">
        <v>43325.5656</v>
      </c>
      <c r="H42" s="518">
        <v>0</v>
      </c>
      <c r="I42" s="518">
        <v>686007.1065333317</v>
      </c>
      <c r="J42" s="528">
        <f t="shared" si="0"/>
        <v>2673953.477933332</v>
      </c>
      <c r="K42" s="106"/>
      <c r="M42" s="390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3"/>
    </row>
    <row r="43" spans="2:26" ht="22.5" customHeight="1">
      <c r="B43" s="117"/>
      <c r="C43" s="176" t="s">
        <v>874</v>
      </c>
      <c r="D43" s="258"/>
      <c r="E43" s="519">
        <v>99</v>
      </c>
      <c r="F43" s="518">
        <v>1800832.6300000004</v>
      </c>
      <c r="G43" s="518">
        <v>1104.4599999999996</v>
      </c>
      <c r="H43" s="518"/>
      <c r="I43" s="518">
        <v>376623.1550000002</v>
      </c>
      <c r="J43" s="528">
        <f t="shared" si="0"/>
        <v>2178560.2450000006</v>
      </c>
      <c r="K43" s="106"/>
      <c r="M43" s="390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3"/>
    </row>
    <row r="44" spans="2:26" ht="22.5" customHeight="1">
      <c r="B44" s="117"/>
      <c r="C44" s="155" t="s">
        <v>875</v>
      </c>
      <c r="D44" s="259"/>
      <c r="E44" s="522"/>
      <c r="F44" s="521"/>
      <c r="G44" s="521"/>
      <c r="H44" s="521"/>
      <c r="I44" s="521"/>
      <c r="J44" s="528">
        <f t="shared" si="0"/>
        <v>0</v>
      </c>
      <c r="K44" s="106"/>
      <c r="M44" s="390"/>
      <c r="N44" s="392"/>
      <c r="O44" s="392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3"/>
    </row>
    <row r="45" spans="2:26" ht="22.5" customHeight="1" thickBot="1">
      <c r="B45" s="117"/>
      <c r="C45" s="1363" t="s">
        <v>889</v>
      </c>
      <c r="D45" s="1364"/>
      <c r="E45" s="264">
        <f aca="true" t="shared" si="1" ref="E45:J45">SUM(E39:E44)</f>
        <v>207</v>
      </c>
      <c r="F45" s="264">
        <f t="shared" si="1"/>
        <v>3807831.029100001</v>
      </c>
      <c r="G45" s="264">
        <f t="shared" si="1"/>
        <v>64644.59226</v>
      </c>
      <c r="H45" s="264">
        <f t="shared" si="1"/>
        <v>0</v>
      </c>
      <c r="I45" s="264">
        <f t="shared" si="1"/>
        <v>1073026.527083332</v>
      </c>
      <c r="J45" s="264">
        <f t="shared" si="1"/>
        <v>4945502.148443332</v>
      </c>
      <c r="K45" s="106"/>
      <c r="M45" s="390"/>
      <c r="N45" s="392"/>
      <c r="O45" s="392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3"/>
    </row>
    <row r="46" spans="2:26" ht="22.5" customHeight="1">
      <c r="B46" s="117"/>
      <c r="C46" s="32"/>
      <c r="D46" s="208"/>
      <c r="E46" s="208"/>
      <c r="F46" s="209"/>
      <c r="G46" s="209"/>
      <c r="H46" s="209"/>
      <c r="I46" s="209"/>
      <c r="J46" s="96"/>
      <c r="K46" s="106"/>
      <c r="M46" s="390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393"/>
    </row>
    <row r="47" spans="2:26" ht="22.5" customHeight="1">
      <c r="B47" s="117"/>
      <c r="C47" s="32"/>
      <c r="D47" s="208"/>
      <c r="E47" s="208"/>
      <c r="F47" s="209"/>
      <c r="G47" s="209"/>
      <c r="H47" s="209"/>
      <c r="I47" s="209"/>
      <c r="J47" s="96"/>
      <c r="K47" s="106"/>
      <c r="M47" s="390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393"/>
    </row>
    <row r="48" spans="2:26" ht="22.5" customHeight="1">
      <c r="B48" s="117"/>
      <c r="C48" s="66" t="s">
        <v>888</v>
      </c>
      <c r="D48" s="208"/>
      <c r="E48" s="208"/>
      <c r="F48" s="209"/>
      <c r="G48" s="209"/>
      <c r="H48" s="209"/>
      <c r="I48" s="209"/>
      <c r="J48" s="96"/>
      <c r="K48" s="106"/>
      <c r="M48" s="390"/>
      <c r="N48" s="392"/>
      <c r="O48" s="392"/>
      <c r="P48" s="392"/>
      <c r="Q48" s="392"/>
      <c r="R48" s="392"/>
      <c r="S48" s="392"/>
      <c r="T48" s="392"/>
      <c r="U48" s="392"/>
      <c r="V48" s="392"/>
      <c r="W48" s="392"/>
      <c r="X48" s="392"/>
      <c r="Y48" s="392"/>
      <c r="Z48" s="393"/>
    </row>
    <row r="49" spans="2:26" ht="22.5" customHeight="1">
      <c r="B49" s="117"/>
      <c r="C49" s="66"/>
      <c r="D49" s="208"/>
      <c r="E49" s="208"/>
      <c r="F49" s="209"/>
      <c r="G49" s="209"/>
      <c r="H49" s="209"/>
      <c r="I49" s="209"/>
      <c r="J49" s="96"/>
      <c r="K49" s="106"/>
      <c r="M49" s="390"/>
      <c r="N49" s="392"/>
      <c r="O49" s="392"/>
      <c r="P49" s="392"/>
      <c r="Q49" s="392"/>
      <c r="R49" s="392"/>
      <c r="S49" s="392"/>
      <c r="T49" s="392"/>
      <c r="U49" s="392"/>
      <c r="V49" s="392"/>
      <c r="W49" s="392"/>
      <c r="X49" s="392"/>
      <c r="Y49" s="392"/>
      <c r="Z49" s="393"/>
    </row>
    <row r="50" spans="2:26" ht="22.5" customHeight="1">
      <c r="B50" s="117"/>
      <c r="C50" s="1299" t="s">
        <v>827</v>
      </c>
      <c r="D50" s="1300"/>
      <c r="E50" s="1365"/>
      <c r="F50" s="261" t="s">
        <v>854</v>
      </c>
      <c r="G50" s="209"/>
      <c r="H50" s="209"/>
      <c r="I50" s="209"/>
      <c r="J50" s="96"/>
      <c r="K50" s="106"/>
      <c r="M50" s="390"/>
      <c r="N50" s="392"/>
      <c r="O50" s="392"/>
      <c r="P50" s="392"/>
      <c r="Q50" s="392"/>
      <c r="R50" s="392"/>
      <c r="S50" s="392"/>
      <c r="T50" s="392"/>
      <c r="U50" s="392"/>
      <c r="V50" s="392"/>
      <c r="W50" s="392"/>
      <c r="X50" s="392"/>
      <c r="Y50" s="392"/>
      <c r="Z50" s="393"/>
    </row>
    <row r="51" spans="2:26" s="183" customFormat="1" ht="22.5" customHeight="1">
      <c r="B51" s="181"/>
      <c r="C51" s="263" t="s">
        <v>890</v>
      </c>
      <c r="D51" s="262"/>
      <c r="E51" s="262"/>
      <c r="F51" s="529">
        <v>296612.24520999996</v>
      </c>
      <c r="G51" s="209"/>
      <c r="H51" s="209"/>
      <c r="I51" s="209"/>
      <c r="J51" s="146"/>
      <c r="K51" s="182"/>
      <c r="M51" s="390"/>
      <c r="N51" s="392"/>
      <c r="O51" s="392"/>
      <c r="P51" s="392"/>
      <c r="Q51" s="392"/>
      <c r="R51" s="392"/>
      <c r="S51" s="392"/>
      <c r="T51" s="392"/>
      <c r="U51" s="392"/>
      <c r="V51" s="392"/>
      <c r="W51" s="392"/>
      <c r="X51" s="392"/>
      <c r="Y51" s="392"/>
      <c r="Z51" s="393"/>
    </row>
    <row r="52" spans="2:26" s="183" customFormat="1" ht="22.5" customHeight="1">
      <c r="B52" s="181"/>
      <c r="C52" s="263" t="s">
        <v>891</v>
      </c>
      <c r="D52" s="262"/>
      <c r="E52" s="262"/>
      <c r="F52" s="529">
        <v>1383698.56215</v>
      </c>
      <c r="G52" s="209"/>
      <c r="H52" s="209"/>
      <c r="I52" s="209"/>
      <c r="J52" s="146"/>
      <c r="K52" s="182"/>
      <c r="M52" s="390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3"/>
    </row>
    <row r="53" spans="2:26" ht="22.5" customHeight="1" thickBot="1">
      <c r="B53" s="117"/>
      <c r="C53" s="1363" t="s">
        <v>889</v>
      </c>
      <c r="D53" s="1366"/>
      <c r="E53" s="265"/>
      <c r="F53" s="264">
        <f>SUM(F51:F52)</f>
        <v>1680310.80736</v>
      </c>
      <c r="G53" s="209"/>
      <c r="H53" s="209"/>
      <c r="I53" s="209"/>
      <c r="J53" s="146"/>
      <c r="K53" s="106"/>
      <c r="M53" s="390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393"/>
    </row>
    <row r="54" spans="2:26" ht="22.5" customHeight="1">
      <c r="B54" s="117"/>
      <c r="C54" s="32"/>
      <c r="D54" s="208"/>
      <c r="E54" s="208"/>
      <c r="F54" s="209"/>
      <c r="G54" s="209"/>
      <c r="H54" s="209"/>
      <c r="I54" s="209"/>
      <c r="J54" s="146"/>
      <c r="K54" s="106"/>
      <c r="M54" s="390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3"/>
    </row>
    <row r="55" spans="2:26" ht="22.5" customHeight="1">
      <c r="B55" s="117"/>
      <c r="C55" s="32"/>
      <c r="D55" s="208"/>
      <c r="E55" s="208"/>
      <c r="F55" s="209"/>
      <c r="G55" s="209"/>
      <c r="H55" s="209"/>
      <c r="I55" s="209"/>
      <c r="J55" s="146"/>
      <c r="K55" s="106"/>
      <c r="M55" s="390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2"/>
      <c r="Y55" s="392"/>
      <c r="Z55" s="393"/>
    </row>
    <row r="56" spans="2:26" ht="22.5" customHeight="1">
      <c r="B56" s="117"/>
      <c r="C56" s="66" t="s">
        <v>892</v>
      </c>
      <c r="D56" s="208"/>
      <c r="E56" s="208"/>
      <c r="F56" s="209"/>
      <c r="G56" s="209"/>
      <c r="H56" s="209"/>
      <c r="I56" s="209"/>
      <c r="J56" s="96"/>
      <c r="K56" s="106"/>
      <c r="M56" s="390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3"/>
    </row>
    <row r="57" spans="2:26" ht="22.5" customHeight="1">
      <c r="B57" s="117"/>
      <c r="C57" s="530"/>
      <c r="D57" s="531"/>
      <c r="E57" s="531"/>
      <c r="F57" s="531"/>
      <c r="G57" s="531"/>
      <c r="H57" s="531"/>
      <c r="I57" s="531"/>
      <c r="J57" s="532"/>
      <c r="K57" s="106"/>
      <c r="M57" s="390"/>
      <c r="N57" s="392"/>
      <c r="O57" s="392"/>
      <c r="P57" s="392"/>
      <c r="Q57" s="392"/>
      <c r="R57" s="392"/>
      <c r="S57" s="392"/>
      <c r="T57" s="392"/>
      <c r="U57" s="392"/>
      <c r="V57" s="392"/>
      <c r="W57" s="392"/>
      <c r="X57" s="392"/>
      <c r="Y57" s="392"/>
      <c r="Z57" s="393"/>
    </row>
    <row r="58" spans="2:26" ht="22.5" customHeight="1">
      <c r="B58" s="117"/>
      <c r="C58" s="533"/>
      <c r="D58" s="534"/>
      <c r="E58" s="534"/>
      <c r="F58" s="534"/>
      <c r="G58" s="534"/>
      <c r="H58" s="534"/>
      <c r="I58" s="534"/>
      <c r="J58" s="535"/>
      <c r="K58" s="106"/>
      <c r="M58" s="390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392"/>
      <c r="Y58" s="392"/>
      <c r="Z58" s="393"/>
    </row>
    <row r="59" spans="2:26" ht="22.5" customHeight="1">
      <c r="B59" s="117"/>
      <c r="C59" s="533"/>
      <c r="D59" s="534"/>
      <c r="E59" s="534"/>
      <c r="F59" s="534"/>
      <c r="G59" s="534"/>
      <c r="H59" s="534"/>
      <c r="I59" s="534"/>
      <c r="J59" s="535"/>
      <c r="K59" s="106"/>
      <c r="M59" s="390"/>
      <c r="N59" s="392"/>
      <c r="O59" s="392"/>
      <c r="P59" s="392"/>
      <c r="Q59" s="392"/>
      <c r="R59" s="392"/>
      <c r="S59" s="392"/>
      <c r="T59" s="392"/>
      <c r="U59" s="392"/>
      <c r="V59" s="392"/>
      <c r="W59" s="392"/>
      <c r="X59" s="392"/>
      <c r="Y59" s="392"/>
      <c r="Z59" s="393"/>
    </row>
    <row r="60" spans="2:26" ht="22.5" customHeight="1">
      <c r="B60" s="117"/>
      <c r="C60" s="536"/>
      <c r="D60" s="537"/>
      <c r="E60" s="537"/>
      <c r="F60" s="537"/>
      <c r="G60" s="537"/>
      <c r="H60" s="537"/>
      <c r="I60" s="537"/>
      <c r="J60" s="538"/>
      <c r="K60" s="106"/>
      <c r="M60" s="390"/>
      <c r="N60" s="392"/>
      <c r="O60" s="392"/>
      <c r="P60" s="392"/>
      <c r="Q60" s="392"/>
      <c r="R60" s="392"/>
      <c r="S60" s="392"/>
      <c r="T60" s="392"/>
      <c r="U60" s="392"/>
      <c r="V60" s="392"/>
      <c r="W60" s="392"/>
      <c r="X60" s="392"/>
      <c r="Y60" s="392"/>
      <c r="Z60" s="393"/>
    </row>
    <row r="61" spans="2:26" ht="22.5" customHeight="1">
      <c r="B61" s="117"/>
      <c r="C61" s="851"/>
      <c r="D61" s="851"/>
      <c r="E61" s="851"/>
      <c r="F61" s="851"/>
      <c r="G61" s="851"/>
      <c r="H61" s="851"/>
      <c r="I61" s="851"/>
      <c r="J61" s="851"/>
      <c r="K61" s="106"/>
      <c r="M61" s="390"/>
      <c r="N61" s="392"/>
      <c r="O61" s="392"/>
      <c r="P61" s="392"/>
      <c r="Q61" s="392"/>
      <c r="R61" s="392"/>
      <c r="S61" s="392"/>
      <c r="T61" s="392"/>
      <c r="U61" s="392"/>
      <c r="V61" s="392"/>
      <c r="W61" s="392"/>
      <c r="X61" s="392"/>
      <c r="Y61" s="392"/>
      <c r="Z61" s="393"/>
    </row>
    <row r="62" spans="2:26" ht="22.5" customHeight="1">
      <c r="B62" s="117"/>
      <c r="C62" s="852" t="s">
        <v>1174</v>
      </c>
      <c r="D62" s="851"/>
      <c r="E62" s="851"/>
      <c r="F62" s="851"/>
      <c r="G62" s="851"/>
      <c r="H62" s="851"/>
      <c r="I62" s="851"/>
      <c r="J62" s="851"/>
      <c r="K62" s="106"/>
      <c r="M62" s="390"/>
      <c r="N62" s="392"/>
      <c r="O62" s="392"/>
      <c r="P62" s="392"/>
      <c r="Q62" s="392"/>
      <c r="R62" s="392"/>
      <c r="S62" s="392"/>
      <c r="T62" s="392"/>
      <c r="U62" s="392"/>
      <c r="V62" s="392"/>
      <c r="W62" s="392"/>
      <c r="X62" s="392"/>
      <c r="Y62" s="392"/>
      <c r="Z62" s="393"/>
    </row>
    <row r="63" spans="2:26" ht="22.5" customHeight="1">
      <c r="B63" s="117"/>
      <c r="C63" s="853" t="s">
        <v>23</v>
      </c>
      <c r="D63" s="851"/>
      <c r="E63" s="851"/>
      <c r="F63" s="851"/>
      <c r="G63" s="851"/>
      <c r="H63" s="851"/>
      <c r="I63" s="851"/>
      <c r="J63" s="851"/>
      <c r="K63" s="106"/>
      <c r="M63" s="390"/>
      <c r="N63" s="392"/>
      <c r="O63" s="392"/>
      <c r="P63" s="392"/>
      <c r="Q63" s="392"/>
      <c r="R63" s="392"/>
      <c r="S63" s="392"/>
      <c r="T63" s="392"/>
      <c r="U63" s="392"/>
      <c r="V63" s="392"/>
      <c r="W63" s="392"/>
      <c r="X63" s="392"/>
      <c r="Y63" s="392"/>
      <c r="Z63" s="393"/>
    </row>
    <row r="64" spans="2:26" ht="22.5" customHeight="1">
      <c r="B64" s="117"/>
      <c r="C64" s="851"/>
      <c r="D64" s="851"/>
      <c r="E64" s="851"/>
      <c r="F64" s="851"/>
      <c r="G64" s="851"/>
      <c r="H64" s="851"/>
      <c r="I64" s="851"/>
      <c r="J64" s="851"/>
      <c r="K64" s="106"/>
      <c r="M64" s="390"/>
      <c r="N64" s="392"/>
      <c r="O64" s="392"/>
      <c r="P64" s="392"/>
      <c r="Q64" s="392"/>
      <c r="R64" s="392"/>
      <c r="S64" s="392"/>
      <c r="T64" s="392"/>
      <c r="U64" s="392"/>
      <c r="V64" s="392"/>
      <c r="W64" s="392"/>
      <c r="X64" s="392"/>
      <c r="Y64" s="392"/>
      <c r="Z64" s="393"/>
    </row>
    <row r="65" spans="2:26" ht="22.5" customHeight="1" thickBot="1">
      <c r="B65" s="121"/>
      <c r="C65" s="53"/>
      <c r="D65" s="1239"/>
      <c r="E65" s="1239"/>
      <c r="F65" s="53"/>
      <c r="G65" s="53"/>
      <c r="H65" s="53"/>
      <c r="I65" s="53"/>
      <c r="J65" s="122"/>
      <c r="K65" s="123"/>
      <c r="M65" s="384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6"/>
    </row>
    <row r="66" spans="4:12" ht="22.5" customHeight="1">
      <c r="D66" s="104"/>
      <c r="E66" s="104"/>
      <c r="F66" s="105"/>
      <c r="G66" s="105"/>
      <c r="H66" s="105"/>
      <c r="I66" s="105"/>
      <c r="J66" s="105"/>
      <c r="L66" s="97" t="s">
        <v>154</v>
      </c>
    </row>
    <row r="67" spans="4:10" ht="12.75">
      <c r="D67" s="124" t="s">
        <v>451</v>
      </c>
      <c r="E67" s="104"/>
      <c r="F67" s="105"/>
      <c r="G67" s="105"/>
      <c r="H67" s="105"/>
      <c r="I67" s="105"/>
      <c r="J67" s="95" t="s">
        <v>440</v>
      </c>
    </row>
    <row r="68" spans="4:10" ht="12.75">
      <c r="D68" s="125" t="s">
        <v>452</v>
      </c>
      <c r="E68" s="104"/>
      <c r="F68" s="105"/>
      <c r="G68" s="105"/>
      <c r="H68" s="105"/>
      <c r="I68" s="105"/>
      <c r="J68" s="105"/>
    </row>
    <row r="69" spans="4:10" ht="12.75">
      <c r="D69" s="125" t="s">
        <v>453</v>
      </c>
      <c r="E69" s="104"/>
      <c r="F69" s="105"/>
      <c r="G69" s="105"/>
      <c r="H69" s="105"/>
      <c r="I69" s="105"/>
      <c r="J69" s="105"/>
    </row>
    <row r="70" spans="4:10" ht="12.75">
      <c r="D70" s="125" t="s">
        <v>454</v>
      </c>
      <c r="E70" s="104"/>
      <c r="F70" s="105"/>
      <c r="G70" s="105"/>
      <c r="H70" s="105"/>
      <c r="I70" s="105"/>
      <c r="J70" s="105"/>
    </row>
    <row r="71" spans="4:10" ht="12.75">
      <c r="D71" s="125" t="s">
        <v>455</v>
      </c>
      <c r="E71" s="104"/>
      <c r="F71" s="105"/>
      <c r="G71" s="105"/>
      <c r="H71" s="105"/>
      <c r="I71" s="105"/>
      <c r="J71" s="105"/>
    </row>
    <row r="72" spans="4:10" ht="22.5" customHeight="1">
      <c r="D72" s="104"/>
      <c r="E72" s="104"/>
      <c r="F72" s="105"/>
      <c r="G72" s="105"/>
      <c r="H72" s="105"/>
      <c r="I72" s="105"/>
      <c r="J72" s="105"/>
    </row>
    <row r="73" spans="4:10" ht="22.5" customHeight="1">
      <c r="D73" s="104"/>
      <c r="E73" s="104"/>
      <c r="F73" s="105"/>
      <c r="G73" s="105"/>
      <c r="H73" s="105"/>
      <c r="I73" s="105"/>
      <c r="J73" s="105"/>
    </row>
    <row r="74" spans="4:10" ht="22.5" customHeight="1">
      <c r="D74" s="104"/>
      <c r="E74" s="104"/>
      <c r="F74" s="105"/>
      <c r="G74" s="105"/>
      <c r="H74" s="105"/>
      <c r="I74" s="105"/>
      <c r="J74" s="105"/>
    </row>
    <row r="75" spans="4:10" ht="22.5" customHeight="1">
      <c r="D75" s="104"/>
      <c r="E75" s="104"/>
      <c r="F75" s="105"/>
      <c r="G75" s="105"/>
      <c r="H75" s="105"/>
      <c r="I75" s="105"/>
      <c r="J75" s="105"/>
    </row>
    <row r="76" spans="6:10" ht="22.5" customHeight="1">
      <c r="F76" s="105"/>
      <c r="G76" s="105"/>
      <c r="H76" s="105"/>
      <c r="I76" s="105"/>
      <c r="J76" s="105"/>
    </row>
  </sheetData>
  <sheetProtection password="C354"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rintOptions horizontalCentered="1" verticalCentered="1"/>
  <pageMargins left="0.35433070866141736" right="0.35433070866141736" top="0.5905511811023623" bottom="0.5905511811023623" header="0.5118110236220472" footer="0.5118110236220472"/>
  <pageSetup fitToHeight="1" fitToWidth="1" orientation="portrait" paperSize="9" scale="5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6"/>
  <sheetViews>
    <sheetView zoomScale="90" zoomScaleNormal="90" zoomScalePageLayoutView="0" workbookViewId="0" topLeftCell="A18">
      <selection activeCell="G17" sqref="G17"/>
    </sheetView>
  </sheetViews>
  <sheetFormatPr defaultColWidth="10.6640625" defaultRowHeight="22.5" customHeight="1"/>
  <cols>
    <col min="1" max="1" width="4.3359375" style="97" bestFit="1" customWidth="1"/>
    <col min="2" max="2" width="3.3359375" style="97" customWidth="1"/>
    <col min="3" max="3" width="13.5546875" style="97" customWidth="1"/>
    <col min="4" max="4" width="66.3359375" style="97" customWidth="1"/>
    <col min="5" max="5" width="14.3359375" style="98" customWidth="1"/>
    <col min="6" max="6" width="2.6640625" style="98" customWidth="1"/>
    <col min="7" max="7" width="79.3359375" style="98" customWidth="1"/>
    <col min="8" max="8" width="14.3359375" style="98" customWidth="1"/>
    <col min="9" max="9" width="3.3359375" style="97" customWidth="1"/>
    <col min="10" max="16384" width="10.6640625" style="97" customWidth="1"/>
  </cols>
  <sheetData>
    <row r="2" ht="22.5" customHeight="1">
      <c r="D2" s="208" t="s">
        <v>753</v>
      </c>
    </row>
    <row r="3" ht="22.5" customHeight="1">
      <c r="D3" s="208" t="s">
        <v>754</v>
      </c>
    </row>
    <row r="4" ht="22.5" customHeight="1" thickBot="1">
      <c r="A4" s="97" t="s">
        <v>153</v>
      </c>
    </row>
    <row r="5" spans="2:24" ht="9" customHeight="1">
      <c r="B5" s="99"/>
      <c r="C5" s="100"/>
      <c r="D5" s="100"/>
      <c r="E5" s="101"/>
      <c r="F5" s="101"/>
      <c r="G5" s="101"/>
      <c r="H5" s="101"/>
      <c r="I5" s="102"/>
      <c r="K5" s="387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9"/>
    </row>
    <row r="6" spans="2:24" ht="30" customHeight="1">
      <c r="B6" s="103"/>
      <c r="C6" s="67" t="s">
        <v>379</v>
      </c>
      <c r="D6" s="104"/>
      <c r="E6" s="105"/>
      <c r="F6" s="105"/>
      <c r="G6" s="105"/>
      <c r="H6" s="1226">
        <f>ejercicio</f>
        <v>2019</v>
      </c>
      <c r="I6" s="106"/>
      <c r="K6" s="390"/>
      <c r="L6" s="391" t="s">
        <v>1067</v>
      </c>
      <c r="M6" s="391"/>
      <c r="N6" s="391"/>
      <c r="O6" s="391"/>
      <c r="P6" s="392"/>
      <c r="Q6" s="392"/>
      <c r="R6" s="392"/>
      <c r="S6" s="392"/>
      <c r="T6" s="392"/>
      <c r="U6" s="392"/>
      <c r="V6" s="392"/>
      <c r="W6" s="392"/>
      <c r="X6" s="393"/>
    </row>
    <row r="7" spans="2:24" ht="30" customHeight="1">
      <c r="B7" s="103"/>
      <c r="C7" s="67" t="s">
        <v>380</v>
      </c>
      <c r="D7" s="104"/>
      <c r="E7" s="105"/>
      <c r="F7" s="105"/>
      <c r="G7" s="105"/>
      <c r="H7" s="1226"/>
      <c r="I7" s="106"/>
      <c r="K7" s="390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3"/>
    </row>
    <row r="8" spans="2:24" ht="30" customHeight="1">
      <c r="B8" s="103"/>
      <c r="C8" s="107"/>
      <c r="D8" s="104"/>
      <c r="E8" s="105"/>
      <c r="F8" s="105"/>
      <c r="G8" s="105"/>
      <c r="H8" s="108"/>
      <c r="I8" s="106"/>
      <c r="K8" s="390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3"/>
    </row>
    <row r="9" spans="2:24" s="183" customFormat="1" ht="30" customHeight="1">
      <c r="B9" s="181"/>
      <c r="C9" s="40" t="s">
        <v>381</v>
      </c>
      <c r="D9" s="1240" t="str">
        <f>Entidad</f>
        <v>INSTITUTO TECNOLOGICO Y DE ENERGIAS RENOVABLES S.A.</v>
      </c>
      <c r="E9" s="1240"/>
      <c r="F9" s="1240"/>
      <c r="G9" s="1240"/>
      <c r="H9" s="1240"/>
      <c r="I9" s="182"/>
      <c r="K9" s="390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3"/>
    </row>
    <row r="10" spans="2:24" ht="6.75" customHeight="1">
      <c r="B10" s="103"/>
      <c r="C10" s="104"/>
      <c r="D10" s="104"/>
      <c r="E10" s="105"/>
      <c r="F10" s="105"/>
      <c r="G10" s="105"/>
      <c r="H10" s="105"/>
      <c r="I10" s="106"/>
      <c r="K10" s="390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3"/>
    </row>
    <row r="11" spans="2:24" s="115" customFormat="1" ht="30" customHeight="1">
      <c r="B11" s="111"/>
      <c r="C11" s="112" t="s">
        <v>896</v>
      </c>
      <c r="D11" s="112"/>
      <c r="E11" s="113"/>
      <c r="F11" s="113"/>
      <c r="G11" s="113"/>
      <c r="H11" s="113"/>
      <c r="I11" s="114"/>
      <c r="K11" s="390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3"/>
    </row>
    <row r="12" spans="2:24" s="115" customFormat="1" ht="30" customHeight="1">
      <c r="B12" s="111"/>
      <c r="C12" s="1309"/>
      <c r="D12" s="1309"/>
      <c r="E12" s="96"/>
      <c r="F12" s="96"/>
      <c r="G12" s="96"/>
      <c r="H12" s="96"/>
      <c r="I12" s="114"/>
      <c r="K12" s="390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3"/>
    </row>
    <row r="13" spans="2:24" ht="28.5" customHeight="1">
      <c r="B13" s="117"/>
      <c r="C13" s="1367" t="s">
        <v>897</v>
      </c>
      <c r="D13" s="1368"/>
      <c r="E13" s="1368"/>
      <c r="F13" s="1368"/>
      <c r="G13" s="1368"/>
      <c r="H13" s="1369"/>
      <c r="I13" s="106"/>
      <c r="K13" s="390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3"/>
    </row>
    <row r="14" spans="2:24" ht="9" customHeight="1">
      <c r="B14" s="117"/>
      <c r="C14" s="150"/>
      <c r="D14" s="150"/>
      <c r="E14" s="96"/>
      <c r="F14" s="96"/>
      <c r="G14" s="96"/>
      <c r="H14" s="96"/>
      <c r="I14" s="106"/>
      <c r="K14" s="390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3"/>
    </row>
    <row r="15" spans="2:24" s="245" customFormat="1" ht="22.5" customHeight="1">
      <c r="B15" s="242"/>
      <c r="C15" s="1299" t="s">
        <v>900</v>
      </c>
      <c r="D15" s="1300"/>
      <c r="E15" s="1301"/>
      <c r="F15" s="146"/>
      <c r="G15" s="1299" t="s">
        <v>901</v>
      </c>
      <c r="H15" s="1301"/>
      <c r="I15" s="244"/>
      <c r="K15" s="390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3"/>
    </row>
    <row r="16" spans="2:24" s="245" customFormat="1" ht="24" customHeight="1">
      <c r="B16" s="242"/>
      <c r="C16" s="1299" t="s">
        <v>818</v>
      </c>
      <c r="D16" s="1301"/>
      <c r="E16" s="261" t="s">
        <v>854</v>
      </c>
      <c r="F16" s="146"/>
      <c r="G16" s="261" t="s">
        <v>818</v>
      </c>
      <c r="H16" s="246" t="s">
        <v>854</v>
      </c>
      <c r="I16" s="244"/>
      <c r="K16" s="390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3"/>
    </row>
    <row r="17" spans="2:24" s="120" customFormat="1" ht="22.5" customHeight="1">
      <c r="B17" s="117"/>
      <c r="C17" s="274" t="s">
        <v>902</v>
      </c>
      <c r="D17" s="275"/>
      <c r="E17" s="472">
        <v>879908.96</v>
      </c>
      <c r="F17" s="277"/>
      <c r="G17" s="276" t="str">
        <f>C17</f>
        <v>CABILDO INSULAR DE TENERIFE</v>
      </c>
      <c r="H17" s="472"/>
      <c r="I17" s="118"/>
      <c r="K17" s="390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3"/>
    </row>
    <row r="18" spans="2:24" s="120" customFormat="1" ht="22.5" customHeight="1">
      <c r="B18" s="117"/>
      <c r="C18" s="278" t="s">
        <v>903</v>
      </c>
      <c r="D18" s="279"/>
      <c r="E18" s="472"/>
      <c r="F18" s="277"/>
      <c r="G18" s="276" t="str">
        <f aca="true" t="shared" si="0" ref="G18:G55">C18</f>
        <v>O.A. DE MUSEOS Y CENTROS</v>
      </c>
      <c r="H18" s="472"/>
      <c r="I18" s="118"/>
      <c r="K18" s="390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3"/>
    </row>
    <row r="19" spans="2:24" s="120" customFormat="1" ht="22.5" customHeight="1">
      <c r="B19" s="117"/>
      <c r="C19" s="278" t="s">
        <v>904</v>
      </c>
      <c r="D19" s="279"/>
      <c r="E19" s="472"/>
      <c r="F19" s="277"/>
      <c r="G19" s="276" t="str">
        <f t="shared" si="0"/>
        <v>O.A. INST. INS. ATENCIÓN SOC. Y SOCIOSAN.</v>
      </c>
      <c r="H19" s="472"/>
      <c r="I19" s="118"/>
      <c r="K19" s="390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3"/>
    </row>
    <row r="20" spans="2:24" s="120" customFormat="1" ht="22.5" customHeight="1">
      <c r="B20" s="117"/>
      <c r="C20" s="278" t="s">
        <v>905</v>
      </c>
      <c r="D20" s="279"/>
      <c r="E20" s="472"/>
      <c r="F20" s="277"/>
      <c r="G20" s="276" t="str">
        <f t="shared" si="0"/>
        <v>O.A. PATRONATO INSULAR DE MUSICA</v>
      </c>
      <c r="H20" s="472"/>
      <c r="I20" s="118"/>
      <c r="K20" s="390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3"/>
    </row>
    <row r="21" spans="2:24" s="120" customFormat="1" ht="22.5" customHeight="1">
      <c r="B21" s="117"/>
      <c r="C21" s="278" t="s">
        <v>906</v>
      </c>
      <c r="D21" s="279"/>
      <c r="E21" s="472"/>
      <c r="F21" s="277"/>
      <c r="G21" s="276" t="str">
        <f t="shared" si="0"/>
        <v>O.A. CONSEJO INSULAR DE AGUAS</v>
      </c>
      <c r="H21" s="472"/>
      <c r="I21" s="118"/>
      <c r="K21" s="390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3"/>
    </row>
    <row r="22" spans="2:24" s="120" customFormat="1" ht="22.5" customHeight="1">
      <c r="B22" s="117"/>
      <c r="C22" s="278" t="s">
        <v>907</v>
      </c>
      <c r="D22" s="279"/>
      <c r="E22" s="472">
        <v>5468.49</v>
      </c>
      <c r="F22" s="277"/>
      <c r="G22" s="276" t="str">
        <f t="shared" si="0"/>
        <v>EPEL. BALSAS DE TENERIFE</v>
      </c>
      <c r="H22" s="472"/>
      <c r="I22" s="118"/>
      <c r="K22" s="390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3"/>
    </row>
    <row r="23" spans="2:24" s="120" customFormat="1" ht="22.5" customHeight="1">
      <c r="B23" s="117"/>
      <c r="C23" s="278" t="s">
        <v>1168</v>
      </c>
      <c r="D23" s="279"/>
      <c r="E23" s="472"/>
      <c r="F23" s="277"/>
      <c r="G23" s="276" t="str">
        <f t="shared" si="0"/>
        <v>EPEL TEA, TENERFE ESPACIO DE LAS ARTES</v>
      </c>
      <c r="H23" s="472"/>
      <c r="I23" s="118"/>
      <c r="K23" s="390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3"/>
    </row>
    <row r="24" spans="2:24" s="120" customFormat="1" ht="22.5" customHeight="1">
      <c r="B24" s="117"/>
      <c r="C24" s="278" t="s">
        <v>908</v>
      </c>
      <c r="D24" s="279"/>
      <c r="E24" s="472"/>
      <c r="F24" s="277"/>
      <c r="G24" s="276" t="str">
        <f t="shared" si="0"/>
        <v>EPEL AGROTEIDE ENTIDAD INSULAR DESARROLLO AGRICOLA Y GANADERO</v>
      </c>
      <c r="H24" s="472"/>
      <c r="I24" s="118"/>
      <c r="K24" s="390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2"/>
      <c r="W24" s="392"/>
      <c r="X24" s="393"/>
    </row>
    <row r="25" spans="2:24" s="120" customFormat="1" ht="22.5" customHeight="1">
      <c r="B25" s="117"/>
      <c r="C25" s="278" t="s">
        <v>909</v>
      </c>
      <c r="D25" s="279"/>
      <c r="E25" s="472"/>
      <c r="F25" s="277"/>
      <c r="G25" s="276" t="str">
        <f t="shared" si="0"/>
        <v>CASINO DE TAORO, SA</v>
      </c>
      <c r="H25" s="472"/>
      <c r="I25" s="118"/>
      <c r="K25" s="390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2"/>
      <c r="W25" s="392"/>
      <c r="X25" s="393"/>
    </row>
    <row r="26" spans="2:24" s="120" customFormat="1" ht="22.5" customHeight="1">
      <c r="B26" s="117"/>
      <c r="C26" s="278" t="s">
        <v>910</v>
      </c>
      <c r="D26" s="279"/>
      <c r="E26" s="472"/>
      <c r="F26" s="277"/>
      <c r="G26" s="276" t="str">
        <f t="shared" si="0"/>
        <v>CASINO DE PLAYA DE LAS AMÉRICAS, SA</v>
      </c>
      <c r="H26" s="472"/>
      <c r="I26" s="118"/>
      <c r="K26" s="390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3"/>
    </row>
    <row r="27" spans="2:24" s="120" customFormat="1" ht="22.5" customHeight="1">
      <c r="B27" s="117"/>
      <c r="C27" s="278" t="s">
        <v>911</v>
      </c>
      <c r="D27" s="279"/>
      <c r="E27" s="472"/>
      <c r="F27" s="277"/>
      <c r="G27" s="276" t="str">
        <f t="shared" si="0"/>
        <v>CASINO DE SANTA CRUZ, SA</v>
      </c>
      <c r="H27" s="472"/>
      <c r="I27" s="118"/>
      <c r="K27" s="390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  <c r="X27" s="393"/>
    </row>
    <row r="28" spans="2:24" s="120" customFormat="1" ht="22.5" customHeight="1">
      <c r="B28" s="117"/>
      <c r="C28" s="278" t="s">
        <v>912</v>
      </c>
      <c r="D28" s="279"/>
      <c r="E28" s="472"/>
      <c r="F28" s="277"/>
      <c r="G28" s="276" t="str">
        <f t="shared" si="0"/>
        <v>INSTIT.FERIAL DE TENERIFE, SA</v>
      </c>
      <c r="H28" s="472"/>
      <c r="I28" s="118"/>
      <c r="K28" s="390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3"/>
    </row>
    <row r="29" spans="2:24" s="120" customFormat="1" ht="22.5" customHeight="1">
      <c r="B29" s="117"/>
      <c r="C29" s="278" t="s">
        <v>913</v>
      </c>
      <c r="D29" s="279"/>
      <c r="E29" s="472"/>
      <c r="F29" s="277"/>
      <c r="G29" s="276" t="str">
        <f t="shared" si="0"/>
        <v>EMPRESA INSULAR DE ARTESANÍA, SA</v>
      </c>
      <c r="H29" s="472"/>
      <c r="I29" s="118"/>
      <c r="K29" s="390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3"/>
    </row>
    <row r="30" spans="2:24" s="120" customFormat="1" ht="22.5" customHeight="1">
      <c r="B30" s="117"/>
      <c r="C30" s="278" t="s">
        <v>914</v>
      </c>
      <c r="D30" s="279"/>
      <c r="E30" s="472"/>
      <c r="F30" s="277"/>
      <c r="G30" s="276" t="str">
        <f t="shared" si="0"/>
        <v>SINPROMI.S.L.</v>
      </c>
      <c r="H30" s="472"/>
      <c r="I30" s="118"/>
      <c r="K30" s="390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3"/>
    </row>
    <row r="31" spans="2:24" s="120" customFormat="1" ht="22.5" customHeight="1">
      <c r="B31" s="117"/>
      <c r="C31" s="278" t="s">
        <v>915</v>
      </c>
      <c r="D31" s="279"/>
      <c r="E31" s="472"/>
      <c r="F31" s="277"/>
      <c r="G31" s="276" t="str">
        <f t="shared" si="0"/>
        <v>AUDITORIO DE TENERIFE, SA</v>
      </c>
      <c r="H31" s="472"/>
      <c r="I31" s="118"/>
      <c r="K31" s="390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3"/>
    </row>
    <row r="32" spans="2:24" s="120" customFormat="1" ht="22.5" customHeight="1">
      <c r="B32" s="117"/>
      <c r="C32" s="278" t="s">
        <v>916</v>
      </c>
      <c r="D32" s="279"/>
      <c r="E32" s="472"/>
      <c r="F32" s="277"/>
      <c r="G32" s="276" t="str">
        <f t="shared" si="0"/>
        <v>GEST. INS. DEPORTE, CULT.Y OCIO, SA (IDECO)</v>
      </c>
      <c r="H32" s="472"/>
      <c r="I32" s="118"/>
      <c r="K32" s="390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3"/>
    </row>
    <row r="33" spans="2:24" s="120" customFormat="1" ht="22.5" customHeight="1">
      <c r="B33" s="117"/>
      <c r="C33" s="278" t="s">
        <v>917</v>
      </c>
      <c r="D33" s="279"/>
      <c r="E33" s="472"/>
      <c r="F33" s="277"/>
      <c r="G33" s="276" t="str">
        <f t="shared" si="0"/>
        <v>TITSA</v>
      </c>
      <c r="H33" s="472"/>
      <c r="I33" s="118"/>
      <c r="K33" s="390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3"/>
    </row>
    <row r="34" spans="2:24" s="120" customFormat="1" ht="22.5" customHeight="1">
      <c r="B34" s="117"/>
      <c r="C34" s="278" t="s">
        <v>918</v>
      </c>
      <c r="D34" s="279"/>
      <c r="E34" s="472"/>
      <c r="F34" s="277"/>
      <c r="G34" s="276" t="str">
        <f t="shared" si="0"/>
        <v>SPET, TURISMO DE TENERIFE, S.A.</v>
      </c>
      <c r="H34" s="472"/>
      <c r="I34" s="118"/>
      <c r="K34" s="390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2"/>
      <c r="W34" s="392"/>
      <c r="X34" s="393"/>
    </row>
    <row r="35" spans="2:24" s="120" customFormat="1" ht="22.5" customHeight="1">
      <c r="B35" s="117"/>
      <c r="C35" s="278" t="s">
        <v>919</v>
      </c>
      <c r="D35" s="279"/>
      <c r="E35" s="472"/>
      <c r="F35" s="277"/>
      <c r="G35" s="276" t="str">
        <f t="shared" si="0"/>
        <v>INSTITUTO MEDICO TINERFEÑO, S.A. (IMETISA)</v>
      </c>
      <c r="H35" s="472"/>
      <c r="I35" s="118"/>
      <c r="K35" s="390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3"/>
    </row>
    <row r="36" spans="2:24" s="120" customFormat="1" ht="22.5" customHeight="1">
      <c r="B36" s="117"/>
      <c r="C36" s="278" t="s">
        <v>920</v>
      </c>
      <c r="D36" s="279"/>
      <c r="E36" s="472"/>
      <c r="F36" s="277"/>
      <c r="G36" s="276" t="str">
        <f t="shared" si="0"/>
        <v>METROPOLITANO DE TENERIFE, S.A.</v>
      </c>
      <c r="H36" s="472"/>
      <c r="I36" s="118"/>
      <c r="K36" s="390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3"/>
    </row>
    <row r="37" spans="2:24" s="120" customFormat="1" ht="22.5" customHeight="1">
      <c r="B37" s="117"/>
      <c r="C37" s="278" t="s">
        <v>921</v>
      </c>
      <c r="D37" s="279"/>
      <c r="E37" s="472"/>
      <c r="F37" s="277"/>
      <c r="G37" s="276" t="str">
        <f t="shared" si="0"/>
        <v>INST. TECNOL. Y DE ENERGIAS RENOVABLES, S.A. (ITER)</v>
      </c>
      <c r="H37" s="472"/>
      <c r="I37" s="118"/>
      <c r="K37" s="390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3"/>
    </row>
    <row r="38" spans="2:24" s="120" customFormat="1" ht="22.5" customHeight="1">
      <c r="B38" s="117"/>
      <c r="C38" s="278" t="s">
        <v>922</v>
      </c>
      <c r="D38" s="279"/>
      <c r="E38" s="472"/>
      <c r="F38" s="277"/>
      <c r="G38" s="276" t="str">
        <f t="shared" si="0"/>
        <v>CULTIVOS Y TECNOLOGÍAS AGRARIAS DE TENERIFE, S.A (CULTESA)</v>
      </c>
      <c r="H38" s="472"/>
      <c r="I38" s="118"/>
      <c r="K38" s="390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3"/>
    </row>
    <row r="39" spans="2:24" s="120" customFormat="1" ht="22.5" customHeight="1">
      <c r="B39" s="117"/>
      <c r="C39" s="278" t="s">
        <v>923</v>
      </c>
      <c r="D39" s="279"/>
      <c r="E39" s="472"/>
      <c r="F39" s="277"/>
      <c r="G39" s="276" t="str">
        <f t="shared" si="0"/>
        <v>BUENAVISTA GOLF, S.A.</v>
      </c>
      <c r="H39" s="472"/>
      <c r="I39" s="118"/>
      <c r="K39" s="390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3"/>
    </row>
    <row r="40" spans="2:24" s="120" customFormat="1" ht="22.5" customHeight="1">
      <c r="B40" s="117"/>
      <c r="C40" s="278" t="s">
        <v>924</v>
      </c>
      <c r="D40" s="279"/>
      <c r="E40" s="472"/>
      <c r="F40" s="277"/>
      <c r="G40" s="276" t="str">
        <f t="shared" si="0"/>
        <v>PARQUE CIENTÍFICO Y TECNOLÓGICO DE TENERIFE, S.A.</v>
      </c>
      <c r="H40" s="472"/>
      <c r="I40" s="118"/>
      <c r="K40" s="390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3"/>
    </row>
    <row r="41" spans="2:24" s="120" customFormat="1" ht="22.5" customHeight="1">
      <c r="B41" s="117"/>
      <c r="C41" s="278" t="s">
        <v>925</v>
      </c>
      <c r="D41" s="279"/>
      <c r="E41" s="472">
        <v>12475.67</v>
      </c>
      <c r="F41" s="277"/>
      <c r="G41" s="276" t="str">
        <f t="shared" si="0"/>
        <v>INSTITUTO TECNOLÓGICO Y DE COMUNICACIONES DE TENERIFE, S.L. (IT3)</v>
      </c>
      <c r="H41" s="472"/>
      <c r="I41" s="118"/>
      <c r="K41" s="390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3"/>
    </row>
    <row r="42" spans="2:24" s="120" customFormat="1" ht="22.5" customHeight="1">
      <c r="B42" s="117"/>
      <c r="C42" s="278" t="s">
        <v>926</v>
      </c>
      <c r="D42" s="279"/>
      <c r="E42" s="472"/>
      <c r="F42" s="277"/>
      <c r="G42" s="276" t="str">
        <f t="shared" si="0"/>
        <v>INSTITUTO VULCANOLÓGICO DE CANARIAS S.A.</v>
      </c>
      <c r="H42" s="472"/>
      <c r="I42" s="118"/>
      <c r="K42" s="390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3"/>
    </row>
    <row r="43" spans="2:24" s="120" customFormat="1" ht="22.5" customHeight="1">
      <c r="B43" s="117"/>
      <c r="C43" s="278" t="s">
        <v>927</v>
      </c>
      <c r="D43" s="279"/>
      <c r="E43" s="472">
        <v>1216302.41</v>
      </c>
      <c r="F43" s="277"/>
      <c r="G43" s="276" t="str">
        <f t="shared" si="0"/>
        <v>CANARIAS SUBMARINE LINK, S.L. (Canalink)</v>
      </c>
      <c r="H43" s="472"/>
      <c r="I43" s="118"/>
      <c r="K43" s="390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3"/>
    </row>
    <row r="44" spans="2:24" s="120" customFormat="1" ht="22.5" customHeight="1">
      <c r="B44" s="117"/>
      <c r="C44" s="278" t="s">
        <v>928</v>
      </c>
      <c r="D44" s="279"/>
      <c r="E44" s="472">
        <v>202117.9603</v>
      </c>
      <c r="F44" s="277"/>
      <c r="G44" s="276" t="str">
        <f t="shared" si="0"/>
        <v>CANALINK AFRICA, S.L.</v>
      </c>
      <c r="H44" s="472"/>
      <c r="I44" s="118"/>
      <c r="K44" s="390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2"/>
      <c r="W44" s="392"/>
      <c r="X44" s="393"/>
    </row>
    <row r="45" spans="2:24" s="120" customFormat="1" ht="22.5" customHeight="1">
      <c r="B45" s="117"/>
      <c r="C45" s="278" t="s">
        <v>929</v>
      </c>
      <c r="D45" s="279"/>
      <c r="E45" s="472"/>
      <c r="F45" s="277"/>
      <c r="G45" s="276" t="str">
        <f t="shared" si="0"/>
        <v>CANALINK BAHARICOM, S.L.</v>
      </c>
      <c r="H45" s="472"/>
      <c r="I45" s="118"/>
      <c r="K45" s="390"/>
      <c r="L45" s="392"/>
      <c r="M45" s="392"/>
      <c r="N45" s="392"/>
      <c r="O45" s="392"/>
      <c r="P45" s="392"/>
      <c r="Q45" s="392"/>
      <c r="R45" s="392"/>
      <c r="S45" s="392"/>
      <c r="T45" s="392"/>
      <c r="U45" s="392"/>
      <c r="V45" s="392"/>
      <c r="W45" s="392"/>
      <c r="X45" s="393"/>
    </row>
    <row r="46" spans="2:24" s="120" customFormat="1" ht="22.5" customHeight="1">
      <c r="B46" s="117"/>
      <c r="C46" s="278" t="s">
        <v>930</v>
      </c>
      <c r="D46" s="279"/>
      <c r="E46" s="472"/>
      <c r="F46" s="277"/>
      <c r="G46" s="276" t="str">
        <f t="shared" si="0"/>
        <v>GESTIÓN INSULAR DE AGUAS DE TENERIFE, S.A. (GESTA)</v>
      </c>
      <c r="H46" s="472"/>
      <c r="I46" s="118"/>
      <c r="K46" s="390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3"/>
    </row>
    <row r="47" spans="2:24" s="120" customFormat="1" ht="22.5" customHeight="1">
      <c r="B47" s="117"/>
      <c r="C47" s="278" t="s">
        <v>931</v>
      </c>
      <c r="D47" s="279"/>
      <c r="E47" s="472"/>
      <c r="F47" s="277"/>
      <c r="G47" s="276" t="str">
        <f t="shared" si="0"/>
        <v>FUNDACION TENERIFE RURAL</v>
      </c>
      <c r="H47" s="472"/>
      <c r="I47" s="118"/>
      <c r="K47" s="390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3"/>
    </row>
    <row r="48" spans="2:24" s="120" customFormat="1" ht="22.5" customHeight="1">
      <c r="B48" s="117"/>
      <c r="C48" s="278" t="s">
        <v>932</v>
      </c>
      <c r="D48" s="279"/>
      <c r="E48" s="472"/>
      <c r="F48" s="277"/>
      <c r="G48" s="276" t="str">
        <f t="shared" si="0"/>
        <v>FUNDACIÓN  ITB</v>
      </c>
      <c r="H48" s="472"/>
      <c r="I48" s="118"/>
      <c r="K48" s="390"/>
      <c r="L48" s="392"/>
      <c r="M48" s="392"/>
      <c r="N48" s="392"/>
      <c r="O48" s="392"/>
      <c r="P48" s="392"/>
      <c r="Q48" s="392"/>
      <c r="R48" s="392"/>
      <c r="S48" s="392"/>
      <c r="T48" s="392"/>
      <c r="U48" s="392"/>
      <c r="V48" s="392"/>
      <c r="W48" s="392"/>
      <c r="X48" s="393"/>
    </row>
    <row r="49" spans="2:24" s="120" customFormat="1" ht="22.5" customHeight="1">
      <c r="B49" s="117"/>
      <c r="C49" s="278" t="s">
        <v>933</v>
      </c>
      <c r="D49" s="279"/>
      <c r="E49" s="472"/>
      <c r="F49" s="277"/>
      <c r="G49" s="276" t="str">
        <f t="shared" si="0"/>
        <v>FIFEDE</v>
      </c>
      <c r="H49" s="472"/>
      <c r="I49" s="118"/>
      <c r="K49" s="390"/>
      <c r="L49" s="392"/>
      <c r="M49" s="392"/>
      <c r="N49" s="392"/>
      <c r="O49" s="392"/>
      <c r="P49" s="392"/>
      <c r="Q49" s="392"/>
      <c r="R49" s="392"/>
      <c r="S49" s="392"/>
      <c r="T49" s="392"/>
      <c r="U49" s="392"/>
      <c r="V49" s="392"/>
      <c r="W49" s="392"/>
      <c r="X49" s="393"/>
    </row>
    <row r="50" spans="2:24" s="120" customFormat="1" ht="22.5" customHeight="1">
      <c r="B50" s="117"/>
      <c r="C50" s="278" t="s">
        <v>934</v>
      </c>
      <c r="D50" s="279"/>
      <c r="E50" s="472">
        <v>13753.25</v>
      </c>
      <c r="F50" s="277"/>
      <c r="G50" s="276" t="str">
        <f t="shared" si="0"/>
        <v>AGENCIA INSULAR DE LA ENERGIA</v>
      </c>
      <c r="H50" s="472">
        <v>167401.07</v>
      </c>
      <c r="I50" s="118"/>
      <c r="K50" s="390"/>
      <c r="L50" s="392"/>
      <c r="M50" s="392"/>
      <c r="N50" s="392"/>
      <c r="O50" s="392"/>
      <c r="P50" s="392"/>
      <c r="Q50" s="392"/>
      <c r="R50" s="392"/>
      <c r="S50" s="392"/>
      <c r="T50" s="392"/>
      <c r="U50" s="392"/>
      <c r="V50" s="392"/>
      <c r="W50" s="392"/>
      <c r="X50" s="393"/>
    </row>
    <row r="51" spans="2:24" s="120" customFormat="1" ht="22.5" customHeight="1">
      <c r="B51" s="117"/>
      <c r="C51" s="278" t="s">
        <v>935</v>
      </c>
      <c r="D51" s="279"/>
      <c r="E51" s="472"/>
      <c r="F51" s="277"/>
      <c r="G51" s="276" t="str">
        <f t="shared" si="0"/>
        <v>FUNDACIÓN CANARIAS FACTORÍA DE LA INNOVACIÓN TURÍSTICA</v>
      </c>
      <c r="H51" s="472"/>
      <c r="I51" s="118"/>
      <c r="K51" s="390"/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392"/>
      <c r="W51" s="392"/>
      <c r="X51" s="393"/>
    </row>
    <row r="52" spans="2:24" s="120" customFormat="1" ht="22.5" customHeight="1">
      <c r="B52" s="117"/>
      <c r="C52" s="278" t="s">
        <v>936</v>
      </c>
      <c r="D52" s="279"/>
      <c r="E52" s="472"/>
      <c r="F52" s="277"/>
      <c r="G52" s="276" t="str">
        <f t="shared" si="0"/>
        <v>CONSORCIO PREVENSIÓN, EXTINCIÓN INCENDIOS Y SALVAMENTO DE LA ISLA DE TENERIFE</v>
      </c>
      <c r="H52" s="472"/>
      <c r="I52" s="118"/>
      <c r="K52" s="390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3"/>
    </row>
    <row r="53" spans="2:24" s="120" customFormat="1" ht="22.5" customHeight="1">
      <c r="B53" s="117"/>
      <c r="C53" s="278" t="s">
        <v>937</v>
      </c>
      <c r="D53" s="279"/>
      <c r="E53" s="472"/>
      <c r="F53" s="277"/>
      <c r="G53" s="276" t="str">
        <f t="shared" si="0"/>
        <v>CONSORCIO DE TRIBUTOS DE LA ISLA DE TENERIFE</v>
      </c>
      <c r="H53" s="472"/>
      <c r="I53" s="118"/>
      <c r="K53" s="390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3"/>
    </row>
    <row r="54" spans="2:24" s="120" customFormat="1" ht="22.5" customHeight="1">
      <c r="B54" s="117"/>
      <c r="C54" s="278" t="s">
        <v>938</v>
      </c>
      <c r="D54" s="279"/>
      <c r="E54" s="472"/>
      <c r="F54" s="277"/>
      <c r="G54" s="276" t="str">
        <f t="shared" si="0"/>
        <v>CONSORCIO ISLA BAJA</v>
      </c>
      <c r="H54" s="472"/>
      <c r="I54" s="118"/>
      <c r="K54" s="390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3"/>
    </row>
    <row r="55" spans="2:24" s="120" customFormat="1" ht="22.5" customHeight="1">
      <c r="B55" s="117"/>
      <c r="C55" s="280" t="s">
        <v>939</v>
      </c>
      <c r="D55" s="281"/>
      <c r="E55" s="473"/>
      <c r="F55" s="277"/>
      <c r="G55" s="276" t="str">
        <f t="shared" si="0"/>
        <v>CONSORCIO URBANÍSTICO PARA LA REHABILITACIÓN DEL PTO. DE LA CRUZ</v>
      </c>
      <c r="H55" s="473"/>
      <c r="I55" s="118"/>
      <c r="K55" s="390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3"/>
    </row>
    <row r="56" spans="2:24" s="183" customFormat="1" ht="22.5" customHeight="1" thickBot="1">
      <c r="B56" s="181"/>
      <c r="C56" s="1293" t="s">
        <v>855</v>
      </c>
      <c r="D56" s="1294"/>
      <c r="E56" s="127">
        <f>SUM(E17:E55)</f>
        <v>2330026.7402999997</v>
      </c>
      <c r="F56" s="146"/>
      <c r="G56" s="212" t="s">
        <v>855</v>
      </c>
      <c r="H56" s="127">
        <f>SUM(H17:H55)</f>
        <v>167401.07</v>
      </c>
      <c r="I56" s="182"/>
      <c r="K56" s="390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3"/>
    </row>
    <row r="57" spans="2:24" ht="22.5" customHeight="1">
      <c r="B57" s="117"/>
      <c r="C57" s="208"/>
      <c r="D57" s="208"/>
      <c r="E57" s="209"/>
      <c r="F57" s="96"/>
      <c r="G57" s="209"/>
      <c r="H57" s="96"/>
      <c r="I57" s="106"/>
      <c r="K57" s="390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2"/>
      <c r="X57" s="393"/>
    </row>
    <row r="58" spans="2:24" ht="22.5" customHeight="1">
      <c r="B58" s="117"/>
      <c r="C58" s="1367" t="s">
        <v>1169</v>
      </c>
      <c r="D58" s="1368"/>
      <c r="E58" s="1368"/>
      <c r="F58" s="1368"/>
      <c r="G58" s="1368"/>
      <c r="H58" s="1369"/>
      <c r="I58" s="106"/>
      <c r="K58" s="390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393"/>
    </row>
    <row r="59" spans="2:24" s="104" customFormat="1" ht="9" customHeight="1">
      <c r="B59" s="117"/>
      <c r="C59" s="32"/>
      <c r="D59" s="32"/>
      <c r="E59" s="32"/>
      <c r="F59" s="32"/>
      <c r="G59" s="32"/>
      <c r="H59" s="32"/>
      <c r="I59" s="106"/>
      <c r="K59" s="390"/>
      <c r="L59" s="392"/>
      <c r="M59" s="392"/>
      <c r="N59" s="392"/>
      <c r="O59" s="392"/>
      <c r="P59" s="392"/>
      <c r="Q59" s="392"/>
      <c r="R59" s="392"/>
      <c r="S59" s="392"/>
      <c r="T59" s="392"/>
      <c r="U59" s="392"/>
      <c r="V59" s="392"/>
      <c r="W59" s="392"/>
      <c r="X59" s="393"/>
    </row>
    <row r="60" spans="2:24" ht="22.5" customHeight="1">
      <c r="B60" s="117"/>
      <c r="C60" s="1367" t="s">
        <v>897</v>
      </c>
      <c r="D60" s="1368"/>
      <c r="E60" s="1368"/>
      <c r="F60" s="1368"/>
      <c r="G60" s="1368"/>
      <c r="H60" s="1369"/>
      <c r="I60" s="106"/>
      <c r="K60" s="390"/>
      <c r="L60" s="392"/>
      <c r="M60" s="392"/>
      <c r="N60" s="392"/>
      <c r="O60" s="392"/>
      <c r="P60" s="392"/>
      <c r="Q60" s="392"/>
      <c r="R60" s="392"/>
      <c r="S60" s="392"/>
      <c r="T60" s="392"/>
      <c r="U60" s="392"/>
      <c r="V60" s="392"/>
      <c r="W60" s="392"/>
      <c r="X60" s="393"/>
    </row>
    <row r="61" spans="2:24" s="104" customFormat="1" ht="9" customHeight="1">
      <c r="B61" s="117"/>
      <c r="C61" s="32"/>
      <c r="D61" s="32"/>
      <c r="E61" s="32"/>
      <c r="F61" s="32"/>
      <c r="G61" s="32"/>
      <c r="H61" s="32"/>
      <c r="I61" s="106"/>
      <c r="K61" s="390"/>
      <c r="L61" s="392"/>
      <c r="M61" s="392"/>
      <c r="N61" s="392"/>
      <c r="O61" s="392"/>
      <c r="P61" s="392"/>
      <c r="Q61" s="392"/>
      <c r="R61" s="392"/>
      <c r="S61" s="392"/>
      <c r="T61" s="392"/>
      <c r="U61" s="392"/>
      <c r="V61" s="392"/>
      <c r="W61" s="392"/>
      <c r="X61" s="393"/>
    </row>
    <row r="62" spans="2:24" ht="22.5" customHeight="1">
      <c r="B62" s="117"/>
      <c r="C62" s="1299" t="s">
        <v>900</v>
      </c>
      <c r="D62" s="1300"/>
      <c r="E62" s="1301"/>
      <c r="F62" s="146"/>
      <c r="G62" s="1299" t="s">
        <v>901</v>
      </c>
      <c r="H62" s="1301"/>
      <c r="I62" s="106"/>
      <c r="K62" s="390"/>
      <c r="L62" s="392"/>
      <c r="M62" s="392"/>
      <c r="N62" s="392"/>
      <c r="O62" s="392"/>
      <c r="P62" s="392"/>
      <c r="Q62" s="392"/>
      <c r="R62" s="392"/>
      <c r="S62" s="392"/>
      <c r="T62" s="392"/>
      <c r="U62" s="392"/>
      <c r="V62" s="392"/>
      <c r="W62" s="392"/>
      <c r="X62" s="393"/>
    </row>
    <row r="63" spans="2:24" ht="22.5" customHeight="1">
      <c r="B63" s="117"/>
      <c r="C63" s="1299" t="s">
        <v>818</v>
      </c>
      <c r="D63" s="1301"/>
      <c r="E63" s="261" t="s">
        <v>854</v>
      </c>
      <c r="F63" s="146"/>
      <c r="G63" s="261" t="s">
        <v>818</v>
      </c>
      <c r="H63" s="246" t="s">
        <v>854</v>
      </c>
      <c r="I63" s="106"/>
      <c r="K63" s="390"/>
      <c r="L63" s="392"/>
      <c r="M63" s="392"/>
      <c r="N63" s="392"/>
      <c r="O63" s="392"/>
      <c r="P63" s="392"/>
      <c r="Q63" s="392"/>
      <c r="R63" s="392"/>
      <c r="S63" s="392"/>
      <c r="T63" s="392"/>
      <c r="U63" s="392"/>
      <c r="V63" s="392"/>
      <c r="W63" s="392"/>
      <c r="X63" s="393"/>
    </row>
    <row r="64" spans="2:24" ht="22.5" customHeight="1">
      <c r="B64" s="117"/>
      <c r="C64" s="274" t="s">
        <v>940</v>
      </c>
      <c r="D64" s="275"/>
      <c r="E64" s="472"/>
      <c r="F64" s="277"/>
      <c r="G64" s="276" t="str">
        <f>C64</f>
        <v>A.M.C. POLÍGONO INDUSTRIAL DE GÜIMAR</v>
      </c>
      <c r="H64" s="472"/>
      <c r="I64" s="106"/>
      <c r="K64" s="390"/>
      <c r="L64" s="392"/>
      <c r="M64" s="392"/>
      <c r="N64" s="392"/>
      <c r="O64" s="392"/>
      <c r="P64" s="392"/>
      <c r="Q64" s="392"/>
      <c r="R64" s="392"/>
      <c r="S64" s="392"/>
      <c r="T64" s="392"/>
      <c r="U64" s="392"/>
      <c r="V64" s="392"/>
      <c r="W64" s="392"/>
      <c r="X64" s="393"/>
    </row>
    <row r="65" spans="2:24" ht="22.5" customHeight="1">
      <c r="B65" s="117"/>
      <c r="C65" s="278" t="s">
        <v>941</v>
      </c>
      <c r="D65" s="279"/>
      <c r="E65" s="472"/>
      <c r="F65" s="277"/>
      <c r="G65" s="276" t="str">
        <f>C65</f>
        <v>MERCATENERIFE, S.A.</v>
      </c>
      <c r="H65" s="472"/>
      <c r="I65" s="106"/>
      <c r="K65" s="390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3"/>
    </row>
    <row r="66" spans="2:24" ht="22.5" customHeight="1">
      <c r="B66" s="117"/>
      <c r="C66" s="278" t="s">
        <v>942</v>
      </c>
      <c r="D66" s="279"/>
      <c r="E66" s="472">
        <v>10474.975887850467</v>
      </c>
      <c r="F66" s="277"/>
      <c r="G66" s="276" t="str">
        <f>C66</f>
        <v>POLÍGONO INDUSTRIAL DE GRANADILLA-PARQUE TECNOLÓGICO DE TENERIFE, S.A.</v>
      </c>
      <c r="H66" s="472">
        <v>406899.6</v>
      </c>
      <c r="I66" s="106"/>
      <c r="K66" s="390"/>
      <c r="L66" s="392"/>
      <c r="M66" s="392"/>
      <c r="N66" s="392"/>
      <c r="O66" s="392"/>
      <c r="P66" s="392"/>
      <c r="Q66" s="392"/>
      <c r="R66" s="392"/>
      <c r="S66" s="392"/>
      <c r="T66" s="392"/>
      <c r="U66" s="392"/>
      <c r="V66" s="392"/>
      <c r="W66" s="392"/>
      <c r="X66" s="393"/>
    </row>
    <row r="67" spans="2:24" ht="22.5" customHeight="1">
      <c r="B67" s="117"/>
      <c r="C67" s="278" t="s">
        <v>943</v>
      </c>
      <c r="D67" s="279"/>
      <c r="E67" s="472"/>
      <c r="F67" s="277"/>
      <c r="G67" s="276" t="str">
        <f>C67</f>
        <v>PARQUES EÓLICOS DE GRANADILLA, A.I.E.</v>
      </c>
      <c r="H67" s="472"/>
      <c r="I67" s="106"/>
      <c r="K67" s="390"/>
      <c r="L67" s="392"/>
      <c r="M67" s="392"/>
      <c r="N67" s="392"/>
      <c r="O67" s="392"/>
      <c r="P67" s="392"/>
      <c r="Q67" s="392"/>
      <c r="R67" s="392"/>
      <c r="S67" s="392"/>
      <c r="T67" s="392"/>
      <c r="U67" s="392"/>
      <c r="V67" s="392"/>
      <c r="W67" s="392"/>
      <c r="X67" s="393"/>
    </row>
    <row r="68" spans="2:24" ht="22.5" customHeight="1">
      <c r="B68" s="117"/>
      <c r="C68" s="278" t="s">
        <v>944</v>
      </c>
      <c r="D68" s="279"/>
      <c r="E68" s="472">
        <v>212537.31</v>
      </c>
      <c r="F68" s="277"/>
      <c r="G68" s="276" t="str">
        <f>C68</f>
        <v>EÓLICAS DE TENERIFE, A.I.E.</v>
      </c>
      <c r="H68" s="472"/>
      <c r="I68" s="106"/>
      <c r="K68" s="390"/>
      <c r="L68" s="392"/>
      <c r="M68" s="392"/>
      <c r="N68" s="392"/>
      <c r="O68" s="392"/>
      <c r="P68" s="392"/>
      <c r="Q68" s="392"/>
      <c r="R68" s="392"/>
      <c r="S68" s="392"/>
      <c r="T68" s="392"/>
      <c r="U68" s="392"/>
      <c r="V68" s="392"/>
      <c r="W68" s="392"/>
      <c r="X68" s="393"/>
    </row>
    <row r="69" spans="2:24" s="183" customFormat="1" ht="22.5" customHeight="1" thickBot="1">
      <c r="B69" s="181"/>
      <c r="C69" s="1293" t="s">
        <v>855</v>
      </c>
      <c r="D69" s="1294"/>
      <c r="E69" s="127">
        <f>SUM(E64:E68)</f>
        <v>223012.28588785048</v>
      </c>
      <c r="F69" s="146"/>
      <c r="G69" s="212" t="s">
        <v>855</v>
      </c>
      <c r="H69" s="127">
        <f>SUM(H64:H68)</f>
        <v>406899.6</v>
      </c>
      <c r="I69" s="182"/>
      <c r="K69" s="390"/>
      <c r="L69" s="392"/>
      <c r="M69" s="392"/>
      <c r="N69" s="392"/>
      <c r="O69" s="392"/>
      <c r="P69" s="392"/>
      <c r="Q69" s="392"/>
      <c r="R69" s="392"/>
      <c r="S69" s="392"/>
      <c r="T69" s="392"/>
      <c r="U69" s="392"/>
      <c r="V69" s="392"/>
      <c r="W69" s="392"/>
      <c r="X69" s="393"/>
    </row>
    <row r="70" spans="2:24" ht="22.5" customHeight="1">
      <c r="B70" s="117"/>
      <c r="C70" s="208"/>
      <c r="D70" s="208"/>
      <c r="E70" s="209"/>
      <c r="F70" s="96"/>
      <c r="G70" s="209"/>
      <c r="H70" s="96"/>
      <c r="I70" s="106"/>
      <c r="K70" s="390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3"/>
    </row>
    <row r="71" spans="2:24" ht="22.5" customHeight="1">
      <c r="B71" s="117"/>
      <c r="C71" s="166" t="s">
        <v>788</v>
      </c>
      <c r="D71" s="208"/>
      <c r="E71" s="209"/>
      <c r="F71" s="96"/>
      <c r="G71" s="209"/>
      <c r="H71" s="96"/>
      <c r="I71" s="106"/>
      <c r="K71" s="390"/>
      <c r="L71" s="392"/>
      <c r="M71" s="392"/>
      <c r="N71" s="392"/>
      <c r="O71" s="392"/>
      <c r="P71" s="392"/>
      <c r="Q71" s="392"/>
      <c r="R71" s="392"/>
      <c r="S71" s="392"/>
      <c r="T71" s="392"/>
      <c r="U71" s="392"/>
      <c r="V71" s="392"/>
      <c r="W71" s="392"/>
      <c r="X71" s="393"/>
    </row>
    <row r="72" spans="2:24" ht="15.75" customHeight="1">
      <c r="B72" s="117"/>
      <c r="C72" s="164" t="s">
        <v>945</v>
      </c>
      <c r="D72" s="208"/>
      <c r="E72" s="209"/>
      <c r="F72" s="96"/>
      <c r="G72" s="209"/>
      <c r="H72" s="96"/>
      <c r="I72" s="106"/>
      <c r="K72" s="390"/>
      <c r="L72" s="392"/>
      <c r="M72" s="392"/>
      <c r="N72" s="392"/>
      <c r="O72" s="392"/>
      <c r="P72" s="392"/>
      <c r="Q72" s="392"/>
      <c r="R72" s="392"/>
      <c r="S72" s="392"/>
      <c r="T72" s="392"/>
      <c r="U72" s="392"/>
      <c r="V72" s="392"/>
      <c r="W72" s="392"/>
      <c r="X72" s="393"/>
    </row>
    <row r="73" spans="2:24" ht="15.75" customHeight="1">
      <c r="B73" s="117"/>
      <c r="C73" s="163"/>
      <c r="D73" s="208"/>
      <c r="E73" s="209"/>
      <c r="F73" s="209"/>
      <c r="G73" s="209"/>
      <c r="H73" s="96"/>
      <c r="I73" s="106"/>
      <c r="K73" s="390"/>
      <c r="L73" s="392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</row>
    <row r="74" spans="2:24" ht="15.75" customHeight="1">
      <c r="B74" s="117"/>
      <c r="C74" s="247"/>
      <c r="D74" s="164"/>
      <c r="E74" s="165"/>
      <c r="F74" s="165"/>
      <c r="G74" s="165"/>
      <c r="H74" s="96"/>
      <c r="I74" s="106"/>
      <c r="K74" s="390"/>
      <c r="L74" s="392"/>
      <c r="M74" s="392"/>
      <c r="N74" s="392"/>
      <c r="O74" s="392"/>
      <c r="P74" s="392"/>
      <c r="Q74" s="392"/>
      <c r="R74" s="392"/>
      <c r="S74" s="392"/>
      <c r="T74" s="392"/>
      <c r="U74" s="392"/>
      <c r="V74" s="392"/>
      <c r="W74" s="392"/>
      <c r="X74" s="393"/>
    </row>
    <row r="75" spans="2:24" ht="22.5" customHeight="1" thickBot="1">
      <c r="B75" s="121"/>
      <c r="C75" s="1239"/>
      <c r="D75" s="1239"/>
      <c r="E75" s="53"/>
      <c r="F75" s="53"/>
      <c r="G75" s="53"/>
      <c r="H75" s="122"/>
      <c r="I75" s="123"/>
      <c r="K75" s="384"/>
      <c r="L75" s="385"/>
      <c r="M75" s="385"/>
      <c r="N75" s="385"/>
      <c r="O75" s="385"/>
      <c r="P75" s="385"/>
      <c r="Q75" s="385"/>
      <c r="R75" s="385"/>
      <c r="S75" s="385"/>
      <c r="T75" s="385"/>
      <c r="U75" s="385"/>
      <c r="V75" s="385"/>
      <c r="W75" s="385"/>
      <c r="X75" s="386"/>
    </row>
    <row r="76" spans="3:10" ht="22.5" customHeight="1">
      <c r="C76" s="104"/>
      <c r="D76" s="104"/>
      <c r="E76" s="105"/>
      <c r="F76" s="105"/>
      <c r="G76" s="105"/>
      <c r="H76" s="105"/>
      <c r="J76" s="97" t="s">
        <v>154</v>
      </c>
    </row>
    <row r="77" spans="3:8" ht="12.75">
      <c r="C77" s="124" t="s">
        <v>451</v>
      </c>
      <c r="D77" s="104"/>
      <c r="E77" s="105"/>
      <c r="F77" s="105"/>
      <c r="G77" s="105"/>
      <c r="H77" s="95" t="s">
        <v>894</v>
      </c>
    </row>
    <row r="78" spans="3:8" ht="12.75">
      <c r="C78" s="125" t="s">
        <v>452</v>
      </c>
      <c r="D78" s="104"/>
      <c r="E78" s="105"/>
      <c r="F78" s="105"/>
      <c r="G78" s="105"/>
      <c r="H78" s="105"/>
    </row>
    <row r="79" spans="3:8" ht="12.75">
      <c r="C79" s="125" t="s">
        <v>453</v>
      </c>
      <c r="D79" s="104"/>
      <c r="E79" s="105"/>
      <c r="F79" s="105"/>
      <c r="G79" s="105"/>
      <c r="H79" s="105"/>
    </row>
    <row r="80" spans="3:8" ht="12.75">
      <c r="C80" s="125" t="s">
        <v>454</v>
      </c>
      <c r="D80" s="104"/>
      <c r="E80" s="105"/>
      <c r="F80" s="105"/>
      <c r="G80" s="105"/>
      <c r="H80" s="105"/>
    </row>
    <row r="81" spans="3:8" ht="12.75">
      <c r="C81" s="125" t="s">
        <v>455</v>
      </c>
      <c r="D81" s="104"/>
      <c r="E81" s="105"/>
      <c r="F81" s="105"/>
      <c r="G81" s="105"/>
      <c r="H81" s="105"/>
    </row>
    <row r="82" spans="3:8" ht="22.5" customHeight="1">
      <c r="C82" s="104"/>
      <c r="D82" s="104"/>
      <c r="E82" s="105"/>
      <c r="F82" s="105"/>
      <c r="G82" s="105"/>
      <c r="H82" s="105"/>
    </row>
    <row r="83" spans="3:8" ht="22.5" customHeight="1">
      <c r="C83" s="104"/>
      <c r="D83" s="104"/>
      <c r="E83" s="105"/>
      <c r="F83" s="105"/>
      <c r="G83" s="105"/>
      <c r="H83" s="105"/>
    </row>
    <row r="84" spans="3:8" ht="22.5" customHeight="1">
      <c r="C84" s="104"/>
      <c r="D84" s="104"/>
      <c r="E84" s="105"/>
      <c r="F84" s="105"/>
      <c r="G84" s="105"/>
      <c r="H84" s="105"/>
    </row>
    <row r="85" spans="3:8" ht="22.5" customHeight="1">
      <c r="C85" s="104"/>
      <c r="D85" s="104"/>
      <c r="E85" s="105"/>
      <c r="F85" s="105"/>
      <c r="G85" s="105"/>
      <c r="H85" s="105"/>
    </row>
    <row r="86" spans="5:8" ht="22.5" customHeight="1">
      <c r="E86" s="105"/>
      <c r="F86" s="105"/>
      <c r="G86" s="105"/>
      <c r="H86" s="105"/>
    </row>
  </sheetData>
  <sheetProtection password="C354" sheet="1" objects="1" scenarios="1"/>
  <mergeCells count="15">
    <mergeCell ref="G62:H62"/>
    <mergeCell ref="C63:D63"/>
    <mergeCell ref="H6:H7"/>
    <mergeCell ref="D9:H9"/>
    <mergeCell ref="C12:D12"/>
    <mergeCell ref="C69:D69"/>
    <mergeCell ref="C58:H58"/>
    <mergeCell ref="C75:D75"/>
    <mergeCell ref="C13:H13"/>
    <mergeCell ref="C15:E15"/>
    <mergeCell ref="G15:H15"/>
    <mergeCell ref="C16:D16"/>
    <mergeCell ref="C56:D56"/>
    <mergeCell ref="C60:H60"/>
    <mergeCell ref="C62:E62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2"/>
  <sheetViews>
    <sheetView zoomScale="75" zoomScaleNormal="75" zoomScalePageLayoutView="0" workbookViewId="0" topLeftCell="A1">
      <pane ySplit="14" topLeftCell="A15" activePane="bottomLeft" state="frozen"/>
      <selection pane="topLeft" activeCell="A1" sqref="A1"/>
      <selection pane="bottomLeft" activeCell="G40" sqref="G40"/>
    </sheetView>
  </sheetViews>
  <sheetFormatPr defaultColWidth="10.6640625" defaultRowHeight="22.5" customHeight="1"/>
  <cols>
    <col min="1" max="1" width="2.99609375" style="271" customWidth="1"/>
    <col min="2" max="2" width="3.3359375" style="271" customWidth="1"/>
    <col min="3" max="3" width="12.3359375" style="271" customWidth="1"/>
    <col min="4" max="4" width="73.6640625" style="271" customWidth="1"/>
    <col min="5" max="7" width="39.3359375" style="271" customWidth="1"/>
    <col min="8" max="8" width="3.5546875" style="271" customWidth="1"/>
    <col min="9" max="9" width="10.6640625" style="271" customWidth="1"/>
    <col min="10" max="12" width="4.3359375" style="271" customWidth="1"/>
    <col min="13" max="13" width="11.5546875" style="271" bestFit="1" customWidth="1"/>
    <col min="14" max="16384" width="10.6640625" style="271" customWidth="1"/>
  </cols>
  <sheetData>
    <row r="2" ht="22.5" customHeight="1">
      <c r="D2" s="302" t="s">
        <v>410</v>
      </c>
    </row>
    <row r="3" ht="22.5" customHeight="1">
      <c r="D3" s="302" t="s">
        <v>411</v>
      </c>
    </row>
    <row r="4" ht="22.5" customHeight="1" thickBot="1"/>
    <row r="5" spans="2:8" ht="9" customHeight="1">
      <c r="B5" s="814" t="s">
        <v>1167</v>
      </c>
      <c r="C5" s="325"/>
      <c r="D5" s="325"/>
      <c r="E5" s="325"/>
      <c r="F5" s="325"/>
      <c r="G5" s="325"/>
      <c r="H5" s="326"/>
    </row>
    <row r="6" spans="2:8" ht="30" customHeight="1">
      <c r="B6" s="327"/>
      <c r="C6" s="1" t="s">
        <v>379</v>
      </c>
      <c r="D6" s="23"/>
      <c r="E6" s="23"/>
      <c r="F6" s="324"/>
      <c r="G6" s="1226">
        <f>ejercicio</f>
        <v>2019</v>
      </c>
      <c r="H6" s="328"/>
    </row>
    <row r="7" spans="2:8" ht="30" customHeight="1">
      <c r="B7" s="327"/>
      <c r="C7" s="1" t="s">
        <v>380</v>
      </c>
      <c r="D7" s="324"/>
      <c r="E7" s="324"/>
      <c r="F7" s="324"/>
      <c r="G7" s="1226">
        <v>2018</v>
      </c>
      <c r="H7" s="328"/>
    </row>
    <row r="8" spans="2:10" ht="30" customHeight="1">
      <c r="B8" s="327"/>
      <c r="C8" s="324"/>
      <c r="D8" s="324"/>
      <c r="E8" s="324"/>
      <c r="F8" s="324"/>
      <c r="G8" s="16"/>
      <c r="H8" s="328"/>
      <c r="J8" s="329"/>
    </row>
    <row r="9" spans="2:8" ht="30" customHeight="1">
      <c r="B9" s="327"/>
      <c r="C9" s="39" t="s">
        <v>381</v>
      </c>
      <c r="D9" s="1231" t="str">
        <f>Entidad</f>
        <v>INSTITUTO TECNOLOGICO Y DE ENERGIAS RENOVABLES S.A.</v>
      </c>
      <c r="E9" s="1231"/>
      <c r="F9" s="1231"/>
      <c r="G9" s="1231"/>
      <c r="H9" s="328"/>
    </row>
    <row r="10" spans="2:8" ht="6.75" customHeight="1">
      <c r="B10" s="327"/>
      <c r="C10" s="324"/>
      <c r="D10" s="324"/>
      <c r="E10" s="324"/>
      <c r="F10" s="324"/>
      <c r="G10" s="330"/>
      <c r="H10" s="328"/>
    </row>
    <row r="11" spans="2:8" s="12" customFormat="1" ht="30" customHeight="1">
      <c r="B11" s="24"/>
      <c r="C11" s="812" t="s">
        <v>1166</v>
      </c>
      <c r="D11" s="813"/>
      <c r="E11" s="813"/>
      <c r="F11" s="813"/>
      <c r="G11" s="813"/>
      <c r="H11" s="25"/>
    </row>
    <row r="12" spans="2:8" ht="22.5" customHeight="1">
      <c r="B12" s="327"/>
      <c r="C12" s="324"/>
      <c r="D12" s="324"/>
      <c r="E12" s="324"/>
      <c r="F12" s="324"/>
      <c r="G12" s="324"/>
      <c r="H12" s="328"/>
    </row>
    <row r="13" spans="2:8" ht="22.5" customHeight="1">
      <c r="B13" s="327"/>
      <c r="C13" s="324"/>
      <c r="D13" s="324"/>
      <c r="E13" s="204" t="s">
        <v>1134</v>
      </c>
      <c r="F13" s="204" t="s">
        <v>1133</v>
      </c>
      <c r="G13" s="204" t="s">
        <v>1135</v>
      </c>
      <c r="H13" s="328"/>
    </row>
    <row r="14" spans="2:8" ht="22.5" customHeight="1">
      <c r="B14" s="327"/>
      <c r="D14" s="324"/>
      <c r="E14" s="789">
        <f>ejercicio-2</f>
        <v>2017</v>
      </c>
      <c r="F14" s="789">
        <f>ejercicio-1</f>
        <v>2018</v>
      </c>
      <c r="G14" s="789">
        <f>ejercicio</f>
        <v>2019</v>
      </c>
      <c r="H14" s="328"/>
    </row>
    <row r="15" spans="2:13" s="794" customFormat="1" ht="30" customHeight="1">
      <c r="B15" s="790"/>
      <c r="C15" s="791" t="s">
        <v>1038</v>
      </c>
      <c r="D15" s="791"/>
      <c r="E15" s="792" t="str">
        <f>IF(ROUND('FC-4_ACTIVO'!E94-'FC-4_PASIVO'!E86,2)=0,"Ok","Mal, revisa FC-4")</f>
        <v>Ok</v>
      </c>
      <c r="F15" s="792" t="str">
        <f>IF(ROUND('FC-4_ACTIVO'!F94-'FC-4_PASIVO'!F86,2)=0,"Ok","Mal, revisa FC-4")</f>
        <v>Ok</v>
      </c>
      <c r="G15" s="792" t="str">
        <f>IF(ROUND('FC-4_ACTIVO'!G94-'FC-4_PASIVO'!G86,2)=0,"Ok","Mal, revisa FC-4")</f>
        <v>Ok</v>
      </c>
      <c r="H15" s="793"/>
      <c r="J15" s="795">
        <f>IF(E15="Ok",0,1)</f>
        <v>0</v>
      </c>
      <c r="K15" s="795">
        <f>IF(F15="Ok",0,1)</f>
        <v>0</v>
      </c>
      <c r="L15" s="795">
        <f>IF(G15="Ok",0,1)</f>
        <v>0</v>
      </c>
      <c r="M15" s="795">
        <f aca="true" t="shared" si="0" ref="M15:M21">SUM(J15:L15)</f>
        <v>0</v>
      </c>
    </row>
    <row r="16" spans="2:13" s="794" customFormat="1" ht="30" customHeight="1">
      <c r="B16" s="790"/>
      <c r="C16" s="796" t="s">
        <v>1040</v>
      </c>
      <c r="D16" s="796"/>
      <c r="E16" s="797" t="str">
        <f>IF(ROUND(('FC-3_CPyG'!E84-'FC-4_PASIVO'!E32),2)=0,"Ok","Mal, revisa FC-3 y FC-4")</f>
        <v>Ok</v>
      </c>
      <c r="F16" s="797" t="str">
        <f>IF(ROUND(('FC-3_CPyG'!F84-'FC-4_PASIVO'!F32),2)=0,"Ok","Mal, revisa FC-3 y FC-4")</f>
        <v>Ok</v>
      </c>
      <c r="G16" s="797" t="str">
        <f>IF(ROUND(('FC-3_CPyG'!G84-'FC-4_PASIVO'!G32),2)=0,"Ok","Mal, revisa FC-3 y FC-4")</f>
        <v>Ok</v>
      </c>
      <c r="H16" s="793"/>
      <c r="J16" s="795">
        <f aca="true" t="shared" si="1" ref="J16:J21">IF(E16="Ok",0,1)</f>
        <v>0</v>
      </c>
      <c r="K16" s="795">
        <f aca="true" t="shared" si="2" ref="K16:K21">IF(F16="Ok",0,1)</f>
        <v>0</v>
      </c>
      <c r="L16" s="795">
        <f aca="true" t="shared" si="3" ref="L16:L21">IF(G16="Ok",0,1)</f>
        <v>0</v>
      </c>
      <c r="M16" s="795">
        <f t="shared" si="0"/>
        <v>0</v>
      </c>
    </row>
    <row r="17" spans="2:13" s="794" customFormat="1" ht="30" customHeight="1">
      <c r="B17" s="790"/>
      <c r="C17" s="796" t="s">
        <v>1041</v>
      </c>
      <c r="D17" s="796"/>
      <c r="E17" s="797" t="str">
        <f>IF(_GENERAL!D14="Normal",IF(ROUND('FC-5_EFE'!F92,2)=ROUND(('FC-5_EFE'!F95-'FC-5_EFE'!F94),2),"Ok","Mal, revisa FC-5"),"No aplica")</f>
        <v>Ok</v>
      </c>
      <c r="F17" s="797" t="str">
        <f>IF(_GENERAL!D14="Normal",IF(ROUND('FC-5_EFE'!G92,2)=ROUND(('FC-5_EFE'!G95-'FC-5_EFE'!G94),2),"Ok","Mal, revisa FC-5"),"No aplica")</f>
        <v>Ok</v>
      </c>
      <c r="G17" s="797" t="str">
        <f>IF(_GENERAL!D14="Normal",IF(ROUND('FC-5_EFE'!H92,2)=ROUND(('FC-5_EFE'!H95-'FC-5_EFE'!H94),2),"Ok","Mal, revisa FC-5"),"No aplica")</f>
        <v>Ok</v>
      </c>
      <c r="H17" s="793"/>
      <c r="J17" s="795">
        <f t="shared" si="1"/>
        <v>0</v>
      </c>
      <c r="K17" s="795">
        <f t="shared" si="2"/>
        <v>0</v>
      </c>
      <c r="L17" s="795">
        <f t="shared" si="3"/>
        <v>0</v>
      </c>
      <c r="M17" s="795">
        <f t="shared" si="0"/>
        <v>0</v>
      </c>
    </row>
    <row r="18" spans="2:13" s="794" customFormat="1" ht="30" customHeight="1">
      <c r="B18" s="790"/>
      <c r="C18" s="798" t="s">
        <v>1100</v>
      </c>
      <c r="D18" s="796"/>
      <c r="E18" s="797" t="str">
        <f>IF(ROUND('FC-3_CPyG'!E16-'FC-3_1_INF_ADIC_CPyG'!E50,2)=0,"Ok","Mal, revisa datos en FC-3 PyG y FC3.1")</f>
        <v>Ok</v>
      </c>
      <c r="F18" s="797" t="str">
        <f>IF(ROUND('FC-3_CPyG'!F16-'FC-3_1_INF_ADIC_CPyG'!H50,2)=0,"Ok","Mal, revisa datos en FC-3 PyG y FC3.1")</f>
        <v>Ok</v>
      </c>
      <c r="G18" s="797" t="str">
        <f>IF(ROUND('FC-3_CPyG'!G16-'FC-3_1_INF_ADIC_CPyG'!K50,2)=0,"Ok","Mal, revisa datos en FC-3 PyG y FC3.1")</f>
        <v>Ok</v>
      </c>
      <c r="H18" s="793"/>
      <c r="J18" s="795">
        <f t="shared" si="1"/>
        <v>0</v>
      </c>
      <c r="K18" s="795">
        <f t="shared" si="2"/>
        <v>0</v>
      </c>
      <c r="L18" s="795">
        <f t="shared" si="3"/>
        <v>0</v>
      </c>
      <c r="M18" s="795">
        <f t="shared" si="0"/>
        <v>0</v>
      </c>
    </row>
    <row r="19" spans="2:13" s="794" customFormat="1" ht="30" customHeight="1">
      <c r="B19" s="790"/>
      <c r="C19" s="798" t="s">
        <v>1103</v>
      </c>
      <c r="D19" s="796"/>
      <c r="E19" s="797" t="str">
        <f>IF(ROUND('FC-3_CPyG'!E48-'FC-3_1_INF_ADIC_CPyG'!E54-'FC-3_1_INF_ADIC_CPyG'!E62,2)=0,"Ok","Mal, revisa datos en FC-3 CPYG y FC-3.1")</f>
        <v>Ok</v>
      </c>
      <c r="F19" s="797" t="str">
        <f>IF(ROUND('FC-3_CPyG'!F48-'FC-3_1_INF_ADIC_CPyG'!F54-'FC-3_1_INF_ADIC_CPyG'!F62,2)=0,"Ok","Mal, revisa datos en FC-3 CPYG y FC-3.1")</f>
        <v>Ok</v>
      </c>
      <c r="G19" s="797" t="str">
        <f>IF(ROUND('FC-3_CPyG'!G48-'FC-3_1_INF_ADIC_CPyG'!G54-'FC-3_1_INF_ADIC_CPyG'!G62,2)=0,"Ok","Mal, revisa datos en FC-3 CPYG y FC-3.1")</f>
        <v>Ok</v>
      </c>
      <c r="H19" s="793"/>
      <c r="J19" s="795">
        <f t="shared" si="1"/>
        <v>0</v>
      </c>
      <c r="K19" s="795">
        <f t="shared" si="2"/>
        <v>0</v>
      </c>
      <c r="L19" s="795">
        <f t="shared" si="3"/>
        <v>0</v>
      </c>
      <c r="M19" s="795">
        <f t="shared" si="0"/>
        <v>0</v>
      </c>
    </row>
    <row r="20" spans="2:13" s="794" customFormat="1" ht="30" customHeight="1">
      <c r="B20" s="790"/>
      <c r="C20" s="798" t="s">
        <v>1104</v>
      </c>
      <c r="D20" s="796"/>
      <c r="E20" s="797" t="str">
        <f>IF(ROUND('FC-3_CPyG'!E28-'FC-3_1_INF_ADIC_CPyG'!E78,2)=0,"Ok","Mal, revísa datos en FC-3 y FC-3.1")</f>
        <v>Ok</v>
      </c>
      <c r="F20" s="797" t="str">
        <f>IF(ROUND('FC-3_CPyG'!F28-'FC-3_1_INF_ADIC_CPyG'!F78,2)=0,"Ok","Mal, revísa datos en FC-3 y FC-3.1")</f>
        <v>Ok</v>
      </c>
      <c r="G20" s="797" t="str">
        <f>IF(ROUND('FC-3_CPyG'!G28-'FC-3_1_INF_ADIC_CPyG'!G78,2)=0,"Ok","Mal, revísa datos en FC-3 y FC-3.1")</f>
        <v>Ok</v>
      </c>
      <c r="H20" s="793"/>
      <c r="J20" s="795">
        <f t="shared" si="1"/>
        <v>0</v>
      </c>
      <c r="K20" s="795">
        <f t="shared" si="2"/>
        <v>0</v>
      </c>
      <c r="L20" s="795">
        <f t="shared" si="3"/>
        <v>0</v>
      </c>
      <c r="M20" s="795">
        <f t="shared" si="0"/>
        <v>0</v>
      </c>
    </row>
    <row r="21" spans="2:13" s="794" customFormat="1" ht="30" customHeight="1">
      <c r="B21" s="790"/>
      <c r="C21" s="798" t="s">
        <v>1105</v>
      </c>
      <c r="D21" s="796"/>
      <c r="E21" s="797" t="str">
        <f>IF(ROUND('FC-3_CPyG'!E29-'FC-3_1_INF_ADIC_CPyG'!E82,2)=0,"Ok","Mal, revisa datos en FC-3 CPyG y FC-3.1")</f>
        <v>Ok</v>
      </c>
      <c r="F21" s="797" t="str">
        <f>IF(ROUND('FC-3_CPyG'!F29-'FC-3_1_INF_ADIC_CPyG'!F82,2)=0,"Ok","Mal, revisa datos en FC-3 CPyG y FC-3.1")</f>
        <v>Ok</v>
      </c>
      <c r="G21" s="797" t="str">
        <f>IF(ROUND('FC-3_CPyG'!G29-'FC-3_1_INF_ADIC_CPyG'!G82,2)=0,"Ok","Mal, revisa datos en FC-3 CPyG y FC-3.1")</f>
        <v>Ok</v>
      </c>
      <c r="H21" s="793"/>
      <c r="J21" s="795">
        <f t="shared" si="1"/>
        <v>0</v>
      </c>
      <c r="K21" s="795">
        <f t="shared" si="2"/>
        <v>0</v>
      </c>
      <c r="L21" s="795">
        <f t="shared" si="3"/>
        <v>0</v>
      </c>
      <c r="M21" s="795">
        <f t="shared" si="0"/>
        <v>0</v>
      </c>
    </row>
    <row r="22" spans="2:13" s="794" customFormat="1" ht="30" customHeight="1">
      <c r="B22" s="790"/>
      <c r="C22" s="856" t="s">
        <v>189</v>
      </c>
      <c r="D22" s="796"/>
      <c r="E22" s="799"/>
      <c r="F22" s="797" t="str">
        <f>IF(ROUND('FC-4_PASIVO'!F18-'FC-4_1_MOV_FP'!L17,2)=0,"Ok","Mal, revisa FC-4 y FC-4.1 MOV. F.P.")</f>
        <v>Ok</v>
      </c>
      <c r="G22" s="797" t="str">
        <f>IF(ROUND('FC-4_PASIVO'!G18-'FC-4_1_MOV_FP'!L39,2)=0,"Ok","Mal, revisa FC-4 y FC-4.1 MOV. F.P.")</f>
        <v>Ok</v>
      </c>
      <c r="H22" s="793"/>
      <c r="J22" s="795"/>
      <c r="K22" s="795"/>
      <c r="L22" s="795"/>
      <c r="M22" s="795"/>
    </row>
    <row r="23" spans="2:13" s="794" customFormat="1" ht="30" customHeight="1">
      <c r="B23" s="790"/>
      <c r="C23" s="856" t="s">
        <v>190</v>
      </c>
      <c r="D23" s="796"/>
      <c r="E23" s="799"/>
      <c r="F23" s="797" t="str">
        <f>IF(ROUND('FC-4_PASIVO'!F21-'FC-4_1_MOV_FP'!L20,2)=0,"Ok","Mal, revisa FC-4 y FC-4.1 MOV. F.P.")</f>
        <v>Ok</v>
      </c>
      <c r="G23" s="797" t="str">
        <f>IF(ROUND('FC-4_PASIVO'!G21-'FC-4_1_MOV_FP'!L42,2)=0,"Ok","Mal, revisa FC-4 y FC-4.1 MOV. F.P.")</f>
        <v>Ok</v>
      </c>
      <c r="H23" s="793"/>
      <c r="J23" s="795"/>
      <c r="K23" s="795"/>
      <c r="L23" s="795"/>
      <c r="M23" s="795"/>
    </row>
    <row r="24" spans="2:13" s="794" customFormat="1" ht="30" customHeight="1">
      <c r="B24" s="790"/>
      <c r="C24" s="856" t="s">
        <v>191</v>
      </c>
      <c r="D24" s="796"/>
      <c r="E24" s="799"/>
      <c r="F24" s="797" t="str">
        <f>IF(ROUND('FC-4_PASIVO'!F22-'FC-4_1_MOV_FP'!L21,2)=0,"Ok","Mal, revisa FC-4 y FC-4.1 MOV. F.P.")</f>
        <v>Ok</v>
      </c>
      <c r="G24" s="797" t="str">
        <f>IF(ROUND('FC-4_PASIVO'!G22-'FC-4_1_MOV_FP'!L43,2)=0,"Ok","Mal, revisa FC-4 y FC-4.1 MOV. F.P.")</f>
        <v>Ok</v>
      </c>
      <c r="H24" s="793"/>
      <c r="J24" s="795"/>
      <c r="K24" s="795"/>
      <c r="L24" s="795"/>
      <c r="M24" s="795"/>
    </row>
    <row r="25" spans="2:13" s="794" customFormat="1" ht="30" customHeight="1">
      <c r="B25" s="790"/>
      <c r="C25" s="856" t="s">
        <v>192</v>
      </c>
      <c r="D25" s="796"/>
      <c r="E25" s="799"/>
      <c r="F25" s="797" t="str">
        <f>IF(ROUND('FC-4_PASIVO'!F27-'FC-4_1_MOV_FP'!L26,2)=0,"Ok","Mal, revisa FC-4 y FC-4.1 MOV. F.P.")</f>
        <v>Ok</v>
      </c>
      <c r="G25" s="797" t="str">
        <f>IF(ROUND('FC-4_PASIVO'!G27-'FC-4_1_MOV_FP'!L48,2)=0,"Ok","Mal, revisa FC-4 y FC-4.1 MOV. F.P.")</f>
        <v>Ok</v>
      </c>
      <c r="H25" s="793"/>
      <c r="J25" s="795"/>
      <c r="K25" s="795"/>
      <c r="L25" s="795"/>
      <c r="M25" s="795"/>
    </row>
    <row r="26" spans="2:13" s="794" customFormat="1" ht="30" customHeight="1">
      <c r="B26" s="790"/>
      <c r="C26" s="856" t="s">
        <v>193</v>
      </c>
      <c r="D26" s="796"/>
      <c r="E26" s="799"/>
      <c r="F26" s="797" t="str">
        <f>IF(ROUND('FC-4_PASIVO'!F28-'FC-4_1_MOV_FP'!L27,2)=0,"Ok","Mal, revisa FC-4 y FC-4.1 MOV. F.P.")</f>
        <v>Ok</v>
      </c>
      <c r="G26" s="797" t="str">
        <f>IF(ROUND('FC-4_PASIVO'!G28-'FC-4_1_MOV_FP'!L49,2)=0,"Ok","Mal, revisa FC-4 y FC-4.1 MOV. F.P.")</f>
        <v>Ok</v>
      </c>
      <c r="H26" s="793"/>
      <c r="J26" s="795"/>
      <c r="K26" s="795"/>
      <c r="L26" s="795"/>
      <c r="M26" s="795"/>
    </row>
    <row r="27" spans="2:13" s="794" customFormat="1" ht="30" customHeight="1">
      <c r="B27" s="790"/>
      <c r="C27" s="856" t="s">
        <v>194</v>
      </c>
      <c r="D27" s="796"/>
      <c r="E27" s="799"/>
      <c r="F27" s="797" t="str">
        <f>IF(ROUND('FC-4_PASIVO'!F31-'FC-4_1_MOV_FP'!L30,2)=0,"Ok","Mal, revisa FC-4 y FC-4.1 MOV. F.P.")</f>
        <v>Ok</v>
      </c>
      <c r="G27" s="797" t="str">
        <f>IF(ROUND('FC-4_PASIVO'!G31-'FC-4_1_MOV_FP'!L52,2)=0,"Ok","Mal, revisa FC-4 y FC-4.1 MOV. F.P.")</f>
        <v>Ok</v>
      </c>
      <c r="H27" s="793"/>
      <c r="J27" s="795"/>
      <c r="K27" s="795"/>
      <c r="L27" s="795"/>
      <c r="M27" s="795"/>
    </row>
    <row r="28" spans="2:13" s="794" customFormat="1" ht="30" customHeight="1">
      <c r="B28" s="790"/>
      <c r="C28" s="856" t="s">
        <v>195</v>
      </c>
      <c r="D28" s="796"/>
      <c r="E28" s="799"/>
      <c r="F28" s="797" t="str">
        <f>IF(ROUND('FC-4_PASIVO'!F32-'FC-4_1_MOV_FP'!L31,2)=0,"Ok","Mal, revisa FC-4 y FC-4.1 MOV. F.P.")</f>
        <v>Ok</v>
      </c>
      <c r="G28" s="797" t="str">
        <f>IF(ROUND('FC-4_PASIVO'!G32-'FC-4_1_MOV_FP'!L53,2)=0,"Ok","Mal, revisa FC-4 y FC-4.1 MOV. F.P.")</f>
        <v>Ok</v>
      </c>
      <c r="H28" s="793"/>
      <c r="J28" s="795"/>
      <c r="K28" s="795"/>
      <c r="L28" s="795"/>
      <c r="M28" s="795"/>
    </row>
    <row r="29" spans="2:13" s="794" customFormat="1" ht="30" customHeight="1">
      <c r="B29" s="790"/>
      <c r="C29" s="856" t="s">
        <v>196</v>
      </c>
      <c r="D29" s="796"/>
      <c r="E29" s="799"/>
      <c r="F29" s="797" t="str">
        <f>IF(ROUND('FC-4_PASIVO'!F33-'FC-4_1_MOV_FP'!L32,2)=0,"Ok","Mal, revisa FC-4 y FC-4.1 MOV. F.P.")</f>
        <v>Ok</v>
      </c>
      <c r="G29" s="797" t="str">
        <f>IF(ROUND('FC-4_PASIVO'!G33-'FC-4_1_MOV_FP'!L54,2)=0,"Ok","Mal, revisa FC-4 y FC-4.1 MOV. F.P.")</f>
        <v>Ok</v>
      </c>
      <c r="H29" s="793"/>
      <c r="J29" s="795"/>
      <c r="K29" s="795"/>
      <c r="L29" s="795"/>
      <c r="M29" s="795"/>
    </row>
    <row r="30" spans="2:13" s="794" customFormat="1" ht="30" customHeight="1">
      <c r="B30" s="790"/>
      <c r="C30" s="856" t="s">
        <v>197</v>
      </c>
      <c r="D30" s="796"/>
      <c r="E30" s="799"/>
      <c r="F30" s="797" t="str">
        <f>IF(ROUND('FC-4_PASIVO'!F34-'FC-4_1_MOV_FP'!L33,2)=0,"Ok","Mal, revisa FC-4 y FC-4.1 MOV. F.P.")</f>
        <v>Ok</v>
      </c>
      <c r="G30" s="797" t="str">
        <f>IF(ROUND('FC-4_PASIVO'!G34-'FC-4_1_MOV_FP'!L55,2)=0,"Ok","Mal, revisa FC-4 y FC-4.1 MOV. F.P.")</f>
        <v>Ok</v>
      </c>
      <c r="H30" s="793"/>
      <c r="J30" s="795"/>
      <c r="K30" s="795"/>
      <c r="L30" s="795"/>
      <c r="M30" s="795"/>
    </row>
    <row r="31" spans="2:13" s="794" customFormat="1" ht="30" customHeight="1">
      <c r="B31" s="790"/>
      <c r="C31" s="856" t="s">
        <v>198</v>
      </c>
      <c r="D31" s="796"/>
      <c r="E31" s="799"/>
      <c r="F31" s="797" t="str">
        <f>IF(ROUND('FC-4_1_MOV_FP'!H30-'FC-9_TRANS_SUBV'!G89,2)=0,"Ok","Mal, revísa FC-4 PASIVO y FC-9")</f>
        <v>Ok</v>
      </c>
      <c r="G31" s="797" t="str">
        <f>IF(ROUND('FC-4_1_MOV_FP'!H52-'FC-9_TRANS_SUBV'!H89,2)=0,"Ok","Mal, revísa FC-4 PASIVO y FC-9")</f>
        <v>Ok</v>
      </c>
      <c r="H31" s="793"/>
      <c r="J31" s="795"/>
      <c r="K31" s="795">
        <f>IF(F31="Ok",0,1)</f>
        <v>0</v>
      </c>
      <c r="L31" s="795">
        <f>IF(G31="Ok",0,1)</f>
        <v>0</v>
      </c>
      <c r="M31" s="795">
        <f aca="true" t="shared" si="4" ref="M31:M37">SUM(J31:L31)</f>
        <v>0</v>
      </c>
    </row>
    <row r="32" spans="2:13" s="794" customFormat="1" ht="30" customHeight="1">
      <c r="B32" s="790"/>
      <c r="C32" s="798" t="s">
        <v>1099</v>
      </c>
      <c r="D32" s="796"/>
      <c r="E32" s="799"/>
      <c r="F32" s="799"/>
      <c r="G32" s="797" t="str">
        <f>IF(ROUND('FC-6_Inversiones'!G46-SUM('FC-6_Inversiones'!H46:M46),2)=0,"Ok","Mal, revisa totales FC-6")</f>
        <v>Ok</v>
      </c>
      <c r="H32" s="793"/>
      <c r="J32" s="795"/>
      <c r="K32" s="795"/>
      <c r="L32" s="795">
        <f aca="true" t="shared" si="5" ref="L32:L37">IF(G32="Ok",0,1)</f>
        <v>0</v>
      </c>
      <c r="M32" s="795">
        <f t="shared" si="4"/>
        <v>0</v>
      </c>
    </row>
    <row r="33" spans="2:13" s="794" customFormat="1" ht="30" customHeight="1">
      <c r="B33" s="790"/>
      <c r="C33" s="796" t="s">
        <v>1043</v>
      </c>
      <c r="D33" s="796"/>
      <c r="E33" s="799"/>
      <c r="F33" s="797" t="str">
        <f>IF(ROUND('FC-4_ACTIVO'!F17-'FC-7_INF'!M15,2)=0,"Ok","Mal, revisa FC-4 ACTIVO y FC-7")</f>
        <v>Ok</v>
      </c>
      <c r="G33" s="797" t="str">
        <f>IF(ROUND('FC-4_ACTIVO'!G17-'FC-7_INF'!M26,2)=0,"Ok","Mal, revisa FC-4 ACTIVO y FC-7")</f>
        <v>Ok</v>
      </c>
      <c r="H33" s="793"/>
      <c r="J33" s="795"/>
      <c r="K33" s="795">
        <f>IF(F33="Ok",0,1)</f>
        <v>0</v>
      </c>
      <c r="L33" s="795">
        <f t="shared" si="5"/>
        <v>0</v>
      </c>
      <c r="M33" s="795">
        <f t="shared" si="4"/>
        <v>0</v>
      </c>
    </row>
    <row r="34" spans="2:13" s="794" customFormat="1" ht="30" customHeight="1">
      <c r="B34" s="790"/>
      <c r="C34" s="796" t="s">
        <v>1042</v>
      </c>
      <c r="D34" s="796"/>
      <c r="E34" s="799"/>
      <c r="F34" s="797" t="str">
        <f>IF(ROUND('FC-4_ACTIVO'!F26-'FC-7_INF'!M16-'FC-7_INF'!M17,2)=0,"Ok","Mal, revisa FC-4 ACTIVO y FC-7")</f>
        <v>Ok</v>
      </c>
      <c r="G34" s="797" t="str">
        <f>IF(ROUND('FC-4_ACTIVO'!G26-'FC-7_INF'!M27-'FC-7_INF'!M28,2)=0,"Ok","Mal, revisa FC-4 ACTIVO y FC-7")</f>
        <v>Ok</v>
      </c>
      <c r="H34" s="793"/>
      <c r="J34" s="795"/>
      <c r="K34" s="795">
        <f>IF(F34="Ok",0,1)</f>
        <v>0</v>
      </c>
      <c r="L34" s="795">
        <f t="shared" si="5"/>
        <v>0</v>
      </c>
      <c r="M34" s="795">
        <f t="shared" si="4"/>
        <v>0</v>
      </c>
    </row>
    <row r="35" spans="2:13" s="794" customFormat="1" ht="30" customHeight="1">
      <c r="B35" s="790"/>
      <c r="C35" s="796" t="s">
        <v>1044</v>
      </c>
      <c r="D35" s="796"/>
      <c r="E35" s="799"/>
      <c r="F35" s="797" t="str">
        <f>IF(ROUND(('FC-4_ACTIVO'!F30-'FC-7_INF'!M18-'FC-7_INF'!M19),2)=0,"Ok","Mal, revisa FC-4 ACTIVO y FC-7")</f>
        <v>Ok</v>
      </c>
      <c r="G35" s="797" t="str">
        <f>IF(ROUND(('FC-4_ACTIVO'!G30-'FC-7_INF'!M29-'FC-7_INF'!M30),2)=0,"Ok","Mal, revisa FC-4 ACTIVO y FC-7")</f>
        <v>Ok</v>
      </c>
      <c r="H35" s="793"/>
      <c r="J35" s="795"/>
      <c r="K35" s="795">
        <f>IF(F35="Ok",0,1)</f>
        <v>0</v>
      </c>
      <c r="L35" s="795">
        <f t="shared" si="5"/>
        <v>0</v>
      </c>
      <c r="M35" s="795">
        <f t="shared" si="4"/>
        <v>0</v>
      </c>
    </row>
    <row r="36" spans="2:13" s="794" customFormat="1" ht="30" customHeight="1">
      <c r="B36" s="790"/>
      <c r="C36" s="798" t="s">
        <v>1086</v>
      </c>
      <c r="D36" s="796"/>
      <c r="E36" s="799"/>
      <c r="F36" s="800" t="str">
        <f>IF(ROUND('FC-7_INF'!M22-'FC-4_ACTIVO'!F52,2)=0,"Ok","Mal, revisa FC-4 ACTIVO y FC-7")</f>
        <v>Ok</v>
      </c>
      <c r="G36" s="800" t="str">
        <f>IF(ROUND('FC-7_INF'!M33-'FC-4_ACTIVO'!G52,2)=0,"Ok","Mal, revisa FC-4 ACTIVO y FC-7")</f>
        <v>Ok</v>
      </c>
      <c r="H36" s="793"/>
      <c r="J36" s="795"/>
      <c r="K36" s="795">
        <f>IF(F36="Ok",0,1)</f>
        <v>0</v>
      </c>
      <c r="L36" s="795">
        <f t="shared" si="5"/>
        <v>0</v>
      </c>
      <c r="M36" s="795">
        <f t="shared" si="4"/>
        <v>0</v>
      </c>
    </row>
    <row r="37" spans="2:13" s="794" customFormat="1" ht="30" customHeight="1">
      <c r="B37" s="790"/>
      <c r="C37" s="798" t="s">
        <v>1087</v>
      </c>
      <c r="D37" s="796"/>
      <c r="E37" s="799"/>
      <c r="F37" s="797" t="str">
        <f>IF(ROUND('FC-3_CPyG'!F40-'FC-7_INF'!I20,2)=0,"Ok","Mal, revisa datos en FC-3 y FC-7")</f>
        <v>Ok</v>
      </c>
      <c r="G37" s="797" t="str">
        <f>IF(ROUND('FC-3_CPyG'!G40-'FC-7_INF'!I31,2)=0,"Ok","Mal, revisa datos en FC-3 y FC-7")</f>
        <v>Ok</v>
      </c>
      <c r="H37" s="793"/>
      <c r="J37" s="795"/>
      <c r="K37" s="795">
        <f>IF(F37="Ok",0,1)</f>
        <v>0</v>
      </c>
      <c r="L37" s="795">
        <f t="shared" si="5"/>
        <v>0</v>
      </c>
      <c r="M37" s="795">
        <f t="shared" si="4"/>
        <v>0</v>
      </c>
    </row>
    <row r="38" spans="2:13" s="794" customFormat="1" ht="30" customHeight="1">
      <c r="B38" s="790"/>
      <c r="C38" s="801" t="s">
        <v>1132</v>
      </c>
      <c r="D38" s="796"/>
      <c r="E38" s="799"/>
      <c r="F38" s="799"/>
      <c r="G38" s="797" t="str">
        <f>IF(ROUND('FC-6_Inversiones'!I46-'FC-7_INF'!F31,2)=0,"Ok","Mal, revisa I46 en FC-6 y F31 en FC-7")</f>
        <v>Ok</v>
      </c>
      <c r="H38" s="793"/>
      <c r="J38" s="795"/>
      <c r="K38" s="795"/>
      <c r="L38" s="795"/>
      <c r="M38" s="795"/>
    </row>
    <row r="39" spans="2:13" s="794" customFormat="1" ht="30" customHeight="1">
      <c r="B39" s="790"/>
      <c r="C39" s="802" t="s">
        <v>1161</v>
      </c>
      <c r="D39" s="802"/>
      <c r="E39" s="803"/>
      <c r="F39" s="803"/>
      <c r="G39" s="804" t="str">
        <f>IF(ROUND(('FC-4_ACTIVO'!G34+'FC-4_ACTIVO'!G76)-'FC-8_INV_FINANCIERAS'!J25,2)=0,"Ok","Mal, revisa datos en FC-4 Activo y FC-8")</f>
        <v>Ok</v>
      </c>
      <c r="H39" s="793"/>
      <c r="J39" s="795"/>
      <c r="K39" s="795"/>
      <c r="L39" s="795"/>
      <c r="M39" s="795"/>
    </row>
    <row r="40" spans="2:13" s="794" customFormat="1" ht="30" customHeight="1">
      <c r="B40" s="790"/>
      <c r="C40" s="802" t="s">
        <v>1163</v>
      </c>
      <c r="D40" s="802"/>
      <c r="E40" s="803"/>
      <c r="F40" s="803"/>
      <c r="G40" s="804" t="str">
        <f>IF(ROUND((SUM('FC-4_ACTIVO'!G35:G39)+SUM('FC-4_ACTIVO'!G77:G81))-('FC-8_INV_FINANCIERAS'!J42),2)=0,"Ok","Mal, revisa datos en FC-4 Activo y FC-8")</f>
        <v>Ok</v>
      </c>
      <c r="H40" s="793"/>
      <c r="J40" s="795"/>
      <c r="K40" s="795"/>
      <c r="L40" s="795"/>
      <c r="M40" s="795"/>
    </row>
    <row r="41" spans="2:13" s="794" customFormat="1" ht="30" customHeight="1">
      <c r="B41" s="790"/>
      <c r="C41" s="802" t="s">
        <v>1162</v>
      </c>
      <c r="D41" s="802"/>
      <c r="E41" s="803"/>
      <c r="F41" s="803"/>
      <c r="G41" s="804" t="str">
        <f>IF(ROUND(('FC-4_ACTIVO'!G41+'FC-4_ACTIVO'!G83)-'FC-8_INV_FINANCIERAS'!J57,2)=0,"Ok","Mal, revisa datos en FC-4 ACTIVO y FC-8")</f>
        <v>Ok</v>
      </c>
      <c r="H41" s="793"/>
      <c r="J41" s="795"/>
      <c r="K41" s="795"/>
      <c r="L41" s="795"/>
      <c r="M41" s="795"/>
    </row>
    <row r="42" spans="2:13" s="794" customFormat="1" ht="30" customHeight="1">
      <c r="B42" s="790"/>
      <c r="C42" s="802" t="s">
        <v>1164</v>
      </c>
      <c r="D42" s="802"/>
      <c r="E42" s="803"/>
      <c r="F42" s="803"/>
      <c r="G42" s="804" t="str">
        <f>IF(ROUND((SUM('FC-4_ACTIVO'!G42:G46)+SUM('FC-4_ACTIVO'!G84:G88))-'FC-8_INV_FINANCIERAS'!J66,2)=0,"Ok","Mal, revisa datos en FC-4 Activo y en FC-8")</f>
        <v>Ok</v>
      </c>
      <c r="H42" s="793"/>
      <c r="J42" s="795"/>
      <c r="K42" s="795"/>
      <c r="L42" s="795"/>
      <c r="M42" s="795"/>
    </row>
    <row r="43" spans="2:13" s="794" customFormat="1" ht="30" customHeight="1">
      <c r="B43" s="790"/>
      <c r="C43" s="856" t="s">
        <v>163</v>
      </c>
      <c r="D43" s="796"/>
      <c r="E43" s="803"/>
      <c r="F43" s="925" t="str">
        <f>IF(ROUND('FC-9_TRANS_SUBV'!F31-'FC-9_TRANS_SUBV'!G31-'FC-9_TRANS_SUBV'!H31,2)=0,"Ok","Mal, revisa en FC-9 línea original 31")</f>
        <v>Ok</v>
      </c>
      <c r="G43" s="925" t="str">
        <f>IF(ROUND('FC-9_TRANS_SUBV'!I31-'FC-9_TRANS_SUBV'!J31-'FC-9_TRANS_SUBV'!K31,2)=0,"Ok","Mal, revisa en FC-9 línea original 31")</f>
        <v>Ok</v>
      </c>
      <c r="H43" s="793"/>
      <c r="J43" s="795"/>
      <c r="K43" s="795"/>
      <c r="L43" s="795"/>
      <c r="M43" s="795"/>
    </row>
    <row r="44" spans="2:13" s="794" customFormat="1" ht="30" customHeight="1">
      <c r="B44" s="790"/>
      <c r="C44" s="798" t="s">
        <v>1089</v>
      </c>
      <c r="D44" s="796"/>
      <c r="E44" s="799"/>
      <c r="F44" s="797" t="str">
        <f>IF(ROUND('FC-4_PASIVO'!F41-'FC-9_TRANS_SUBV'!G34,2)=0,"Ok","Mal, revisa FC-4 PASIVO y FC-9")</f>
        <v>Ok</v>
      </c>
      <c r="G44" s="797" t="str">
        <f>IF(ROUND('FC-4_PASIVO'!G41-'FC-9_TRANS_SUBV'!J34,2)=0,"Ok","Mal, revisa FC-4 PASIVO y FC-9")</f>
        <v>Ok</v>
      </c>
      <c r="H44" s="793"/>
      <c r="J44" s="795"/>
      <c r="K44" s="795">
        <f>IF(F44="Ok",0,1)</f>
        <v>0</v>
      </c>
      <c r="L44" s="795">
        <f>IF(G44="Ok",0,1)</f>
        <v>0</v>
      </c>
      <c r="M44" s="795">
        <f>SUM(J44:L44)</f>
        <v>0</v>
      </c>
    </row>
    <row r="45" spans="2:13" s="854" customFormat="1" ht="30" customHeight="1">
      <c r="B45" s="855"/>
      <c r="C45" s="856" t="s">
        <v>27</v>
      </c>
      <c r="D45" s="856"/>
      <c r="E45" s="857"/>
      <c r="F45" s="858" t="str">
        <f>IF(ROUND('FC-3_CPyG'!F41+('FC-9_TRANS_SUBV'!F33),2)=0,"Ok","Mal, revisa datos FC-3 epígr. A) 9. y FC-9 celda F33")</f>
        <v>Ok</v>
      </c>
      <c r="G45" s="858" t="str">
        <f>IF(ROUND('FC-3_CPyG'!G41+('FC-9_TRANS_SUBV'!I33),2)=0,"Ok","Mal, revisa datos FC-3 epígr. A) 9. y FC-9 celda G33")</f>
        <v>Ok</v>
      </c>
      <c r="H45" s="859"/>
      <c r="J45" s="795"/>
      <c r="K45" s="795"/>
      <c r="L45" s="795"/>
      <c r="M45" s="795"/>
    </row>
    <row r="46" spans="2:13" s="794" customFormat="1" ht="30" customHeight="1">
      <c r="B46" s="790"/>
      <c r="C46" s="798" t="s">
        <v>1090</v>
      </c>
      <c r="D46" s="796"/>
      <c r="E46" s="799"/>
      <c r="F46" s="797" t="str">
        <f>IF(ROUND('FC-3_CPyG'!F29-'FC-9_TRANS_SUBV'!G74,2)=0,"Ok","Mal, revisa dato en FC-3 y FC-9")</f>
        <v>Ok</v>
      </c>
      <c r="G46" s="797" t="str">
        <f>IF(ROUND('FC-3_CPyG'!G29-'FC-9_TRANS_SUBV'!H74,2)=0,"Ok","Mal, revisa dato en FC-3 y FC-9")</f>
        <v>Ok</v>
      </c>
      <c r="H46" s="793"/>
      <c r="J46" s="795"/>
      <c r="K46" s="795">
        <f>IF(F46="Ok",0,1)</f>
        <v>0</v>
      </c>
      <c r="L46" s="795">
        <f>IF(G46="Ok",0,1)</f>
        <v>0</v>
      </c>
      <c r="M46" s="795">
        <f>SUM(J46:L46)</f>
        <v>0</v>
      </c>
    </row>
    <row r="47" spans="2:13" s="794" customFormat="1" ht="30" customHeight="1">
      <c r="B47" s="790"/>
      <c r="C47" s="856" t="s">
        <v>145</v>
      </c>
      <c r="D47" s="796"/>
      <c r="E47" s="799"/>
      <c r="F47" s="799"/>
      <c r="G47" s="797" t="str">
        <f>IF(ROUND(('FC-4_PASIVO'!G51+'FC-4_PASIVO'!G52)-('FC-10_DEUDAS'!S43),2)=0,"Ok","Mal, revisa datos en FC-4 PASIVO y FC-10")</f>
        <v>Ok</v>
      </c>
      <c r="H47" s="793"/>
      <c r="J47" s="795"/>
      <c r="K47" s="795">
        <f>IF(F47="Ok",0,1)</f>
        <v>1</v>
      </c>
      <c r="L47" s="795">
        <f>IF(G47="Ok",0,1)</f>
        <v>0</v>
      </c>
      <c r="M47" s="795">
        <f>SUM(J47:L47)</f>
        <v>1</v>
      </c>
    </row>
    <row r="48" spans="2:13" s="794" customFormat="1" ht="30" customHeight="1">
      <c r="B48" s="790"/>
      <c r="C48" s="856" t="s">
        <v>146</v>
      </c>
      <c r="D48" s="796"/>
      <c r="E48" s="799"/>
      <c r="F48" s="799"/>
      <c r="G48" s="797" t="str">
        <f>IF(ROUND(('FC-4_PASIVO'!G68+'FC-4_PASIVO'!G69)-('FC-10_DEUDAS'!R43),2)=0,"Ok","Mal, revisa datos en FC-4 PASIVO y FC-10")</f>
        <v>Ok</v>
      </c>
      <c r="H48" s="793"/>
      <c r="J48" s="795"/>
      <c r="K48" s="795"/>
      <c r="L48" s="795"/>
      <c r="M48" s="795"/>
    </row>
    <row r="49" spans="2:13" s="794" customFormat="1" ht="30" customHeight="1">
      <c r="B49" s="790"/>
      <c r="C49" s="856" t="s">
        <v>167</v>
      </c>
      <c r="D49" s="796"/>
      <c r="E49" s="799"/>
      <c r="F49" s="799"/>
      <c r="G49" s="797" t="str">
        <f>IF(ROUND('FC-4_PASIVO'!G54-'FC-10_DEUDAS'!S75,2)=0,"Ok","Mal, revisa datos en FC-4 Pasivo y FC-10")</f>
        <v>Ok</v>
      </c>
      <c r="H49" s="793"/>
      <c r="J49" s="795"/>
      <c r="K49" s="795"/>
      <c r="L49" s="795"/>
      <c r="M49" s="795"/>
    </row>
    <row r="50" spans="2:13" s="794" customFormat="1" ht="30" customHeight="1">
      <c r="B50" s="790"/>
      <c r="C50" s="856" t="s">
        <v>166</v>
      </c>
      <c r="D50" s="796"/>
      <c r="E50" s="799"/>
      <c r="F50" s="799"/>
      <c r="G50" s="797" t="str">
        <f>IF(ROUND('FC-4_PASIVO'!G71-'FC-10_DEUDAS'!R75,2)=0,"Ok","Mal, revisa datos en FC-4 Pasivo y FC-10")</f>
        <v>Ok</v>
      </c>
      <c r="H50" s="793"/>
      <c r="J50" s="795"/>
      <c r="K50" s="795"/>
      <c r="L50" s="795"/>
      <c r="M50" s="795"/>
    </row>
    <row r="51" spans="2:13" s="794" customFormat="1" ht="30" customHeight="1">
      <c r="B51" s="790"/>
      <c r="C51" s="856" t="s">
        <v>168</v>
      </c>
      <c r="D51" s="796"/>
      <c r="E51" s="799"/>
      <c r="F51" s="799"/>
      <c r="G51" s="797" t="str">
        <f>IF(ROUND('FC-4_PASIVO'!G55-'FC-10_DEUDAS'!S107,2)=0,"Ok","Mal, revisa datos en FC-4 Pasivo y FC-10")</f>
        <v>Ok</v>
      </c>
      <c r="H51" s="793"/>
      <c r="J51" s="795"/>
      <c r="K51" s="795"/>
      <c r="L51" s="795"/>
      <c r="M51" s="795"/>
    </row>
    <row r="52" spans="2:13" s="794" customFormat="1" ht="30" customHeight="1">
      <c r="B52" s="790"/>
      <c r="C52" s="856" t="s">
        <v>169</v>
      </c>
      <c r="D52" s="796"/>
      <c r="E52" s="799"/>
      <c r="F52" s="799"/>
      <c r="G52" s="797" t="str">
        <f>IF(ROUND('FC-4_PASIVO'!G72-'FC-10_DEUDAS'!R107,2)=0,"Ok","Mal, revisa datos en FC-4 Pasivo y FC-10")</f>
        <v>Ok</v>
      </c>
      <c r="H52" s="793"/>
      <c r="J52" s="795"/>
      <c r="K52" s="795"/>
      <c r="L52" s="795"/>
      <c r="M52" s="795"/>
    </row>
    <row r="53" spans="2:13" s="794" customFormat="1" ht="30" customHeight="1">
      <c r="B53" s="790"/>
      <c r="C53" s="856" t="s">
        <v>175</v>
      </c>
      <c r="D53" s="796"/>
      <c r="E53" s="799"/>
      <c r="F53" s="799"/>
      <c r="G53" s="797" t="str">
        <f>IF(ROUND('FC-10_DEUDAS'!Q43-'FC-10_DEUDAS'!R43-'FC-10_DEUDAS'!S43,2)=0,"Ok","Mal, revisa datos, fila inicial 43 en FC-10")</f>
        <v>Ok</v>
      </c>
      <c r="H53" s="793"/>
      <c r="J53" s="795"/>
      <c r="K53" s="795"/>
      <c r="L53" s="795">
        <f>IF(G53="Ok",0,1)</f>
        <v>0</v>
      </c>
      <c r="M53" s="795">
        <f>SUM(J53:L53)</f>
        <v>0</v>
      </c>
    </row>
    <row r="54" spans="2:13" s="794" customFormat="1" ht="30" customHeight="1">
      <c r="B54" s="790"/>
      <c r="C54" s="856" t="s">
        <v>176</v>
      </c>
      <c r="D54" s="1131"/>
      <c r="E54" s="1132"/>
      <c r="F54" s="1132"/>
      <c r="G54" s="797" t="str">
        <f>IF(ROUND('FC-10_DEUDAS'!Q75-'FC-10_DEUDAS'!R75-'FC-10_DEUDAS'!S75,2)=0,"Ok","Mal, revisa datos, fila inicial 75 en FC-10")</f>
        <v>Ok</v>
      </c>
      <c r="H54" s="793"/>
      <c r="J54" s="795"/>
      <c r="K54" s="795"/>
      <c r="L54" s="795"/>
      <c r="M54" s="795"/>
    </row>
    <row r="55" spans="2:13" s="794" customFormat="1" ht="30" customHeight="1">
      <c r="B55" s="790"/>
      <c r="C55" s="856" t="s">
        <v>177</v>
      </c>
      <c r="D55" s="1131"/>
      <c r="E55" s="1132"/>
      <c r="F55" s="1132"/>
      <c r="G55" s="797" t="str">
        <f>IF(ROUND('FC-10_DEUDAS'!Q107-'FC-10_DEUDAS'!R107-'FC-10_DEUDAS'!S107,2)=0,"Ok","Mal, revisa datos, fila inicial 107 en FC-10")</f>
        <v>Ok</v>
      </c>
      <c r="H55" s="793"/>
      <c r="J55" s="795"/>
      <c r="K55" s="795"/>
      <c r="L55" s="795"/>
      <c r="M55" s="795"/>
    </row>
    <row r="56" spans="2:13" s="794" customFormat="1" ht="30" customHeight="1">
      <c r="B56" s="790"/>
      <c r="C56" s="805" t="s">
        <v>1094</v>
      </c>
      <c r="D56" s="806"/>
      <c r="E56" s="807"/>
      <c r="F56" s="807"/>
      <c r="G56" s="808" t="str">
        <f>IF(ROUND(-'FC-3_CPyG'!G30-'FC-13_PERSONAL'!F31,2)=0,"Ok","Mal, revísa dato en FC-3 CPyG y FC-13")</f>
        <v>Ok</v>
      </c>
      <c r="H56" s="793"/>
      <c r="J56" s="795"/>
      <c r="K56" s="795"/>
      <c r="L56" s="795">
        <f>IF(G56="Ok",0,1)</f>
        <v>0</v>
      </c>
      <c r="M56" s="795">
        <f>SUM(J56:L56)</f>
        <v>0</v>
      </c>
    </row>
    <row r="57" spans="2:13" ht="30" customHeight="1">
      <c r="B57" s="327"/>
      <c r="C57" s="324"/>
      <c r="D57" s="324"/>
      <c r="E57" s="324"/>
      <c r="F57" s="324"/>
      <c r="G57" s="324"/>
      <c r="H57" s="328"/>
      <c r="J57" s="724"/>
      <c r="K57" s="724"/>
      <c r="L57" s="724"/>
      <c r="M57" s="724"/>
    </row>
    <row r="58" spans="2:13" ht="30" customHeight="1">
      <c r="B58" s="327"/>
      <c r="C58" s="899" t="s">
        <v>152</v>
      </c>
      <c r="D58" s="809"/>
      <c r="E58" s="810"/>
      <c r="F58" s="810"/>
      <c r="G58" s="811" t="str">
        <f>IF(ROUND('FC-3_CPyG'!G84-'_FC-90_DETALLE'!E166,2)=0,"Ok","Mal, revisa resultado en F-3 y FC-92")</f>
        <v>Ok</v>
      </c>
      <c r="H58" s="328"/>
      <c r="J58" s="724"/>
      <c r="K58" s="724"/>
      <c r="L58" s="724">
        <f>IF(G58="Ok",0,1)</f>
        <v>0</v>
      </c>
      <c r="M58" s="724">
        <f>SUM(J58:L58)</f>
        <v>0</v>
      </c>
    </row>
    <row r="59" spans="2:8" ht="22.5" customHeight="1" thickBot="1">
      <c r="B59" s="331"/>
      <c r="C59" s="332"/>
      <c r="D59" s="332"/>
      <c r="E59" s="332"/>
      <c r="F59" s="333"/>
      <c r="G59" s="332"/>
      <c r="H59" s="334"/>
    </row>
    <row r="60" ht="22.5" customHeight="1">
      <c r="F60" s="335"/>
    </row>
    <row r="61" spans="3:7" s="42" customFormat="1" ht="12.75">
      <c r="C61" s="37" t="s">
        <v>451</v>
      </c>
      <c r="F61" s="43"/>
      <c r="G61" s="41"/>
    </row>
    <row r="62" spans="3:6" s="42" customFormat="1" ht="12.75">
      <c r="C62" s="38" t="s">
        <v>452</v>
      </c>
      <c r="F62" s="43"/>
    </row>
    <row r="63" spans="3:6" s="42" customFormat="1" ht="12.75">
      <c r="C63" s="38" t="s">
        <v>453</v>
      </c>
      <c r="F63" s="43"/>
    </row>
    <row r="64" spans="3:6" s="42" customFormat="1" ht="12.75">
      <c r="C64" s="38" t="s">
        <v>454</v>
      </c>
      <c r="F64" s="43"/>
    </row>
    <row r="65" spans="3:6" s="42" customFormat="1" ht="12.75">
      <c r="C65" s="38" t="s">
        <v>455</v>
      </c>
      <c r="F65" s="43"/>
    </row>
    <row r="66" ht="22.5" customHeight="1">
      <c r="F66" s="335"/>
    </row>
    <row r="67" ht="22.5" customHeight="1">
      <c r="F67" s="335"/>
    </row>
    <row r="68" ht="22.5" customHeight="1">
      <c r="F68" s="335"/>
    </row>
    <row r="69" ht="22.5" customHeight="1">
      <c r="F69" s="335"/>
    </row>
    <row r="70" ht="22.5" customHeight="1">
      <c r="F70" s="335"/>
    </row>
    <row r="71" ht="22.5" customHeight="1">
      <c r="F71" s="335"/>
    </row>
    <row r="72" ht="22.5" customHeight="1">
      <c r="F72" s="335"/>
    </row>
  </sheetData>
  <sheetProtection password="C494" sheet="1" objects="1" scenarios="1"/>
  <mergeCells count="2">
    <mergeCell ref="G6:G7"/>
    <mergeCell ref="D9:G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landscape" paperSize="9" scale="3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6"/>
  <sheetViews>
    <sheetView zoomScalePageLayoutView="0" workbookViewId="0" topLeftCell="A1">
      <selection activeCell="I37" sqref="I37"/>
    </sheetView>
  </sheetViews>
  <sheetFormatPr defaultColWidth="10.6640625" defaultRowHeight="22.5" customHeight="1"/>
  <cols>
    <col min="1" max="1" width="4.3359375" style="97" bestFit="1" customWidth="1"/>
    <col min="2" max="2" width="3.3359375" style="97" customWidth="1"/>
    <col min="3" max="3" width="13.5546875" style="97" customWidth="1"/>
    <col min="4" max="4" width="99.5546875" style="97" customWidth="1"/>
    <col min="5" max="7" width="17.6640625" style="98" customWidth="1"/>
    <col min="8" max="8" width="3.3359375" style="97" customWidth="1"/>
    <col min="9" max="16384" width="10.6640625" style="97" customWidth="1"/>
  </cols>
  <sheetData>
    <row r="2" ht="22.5" customHeight="1">
      <c r="D2" s="208" t="s">
        <v>753</v>
      </c>
    </row>
    <row r="3" ht="22.5" customHeight="1">
      <c r="D3" s="208" t="s">
        <v>754</v>
      </c>
    </row>
    <row r="4" ht="22.5" customHeight="1" thickBot="1">
      <c r="A4" s="97" t="s">
        <v>153</v>
      </c>
    </row>
    <row r="5" spans="2:23" ht="9" customHeight="1">
      <c r="B5" s="99"/>
      <c r="C5" s="100"/>
      <c r="D5" s="100"/>
      <c r="E5" s="101"/>
      <c r="F5" s="101"/>
      <c r="G5" s="101"/>
      <c r="H5" s="102"/>
      <c r="J5" s="387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9"/>
    </row>
    <row r="6" spans="2:23" ht="30" customHeight="1">
      <c r="B6" s="103"/>
      <c r="C6" s="67" t="s">
        <v>379</v>
      </c>
      <c r="D6" s="104"/>
      <c r="E6" s="105"/>
      <c r="F6" s="105"/>
      <c r="G6" s="1226">
        <f>ejercicio</f>
        <v>2019</v>
      </c>
      <c r="H6" s="106"/>
      <c r="J6" s="390"/>
      <c r="K6" s="391" t="s">
        <v>1067</v>
      </c>
      <c r="L6" s="391"/>
      <c r="M6" s="391"/>
      <c r="N6" s="391"/>
      <c r="O6" s="392"/>
      <c r="P6" s="392"/>
      <c r="Q6" s="392"/>
      <c r="R6" s="392"/>
      <c r="S6" s="392"/>
      <c r="T6" s="392"/>
      <c r="U6" s="392"/>
      <c r="V6" s="392"/>
      <c r="W6" s="393"/>
    </row>
    <row r="7" spans="2:23" ht="30" customHeight="1">
      <c r="B7" s="103"/>
      <c r="C7" s="67" t="s">
        <v>380</v>
      </c>
      <c r="D7" s="104"/>
      <c r="E7" s="105"/>
      <c r="F7" s="105"/>
      <c r="G7" s="1226"/>
      <c r="H7" s="106"/>
      <c r="J7" s="390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</row>
    <row r="8" spans="2:23" ht="30" customHeight="1">
      <c r="B8" s="103"/>
      <c r="C8" s="107"/>
      <c r="D8" s="104"/>
      <c r="E8" s="105"/>
      <c r="F8" s="105"/>
      <c r="G8" s="108"/>
      <c r="H8" s="106"/>
      <c r="J8" s="390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3"/>
    </row>
    <row r="9" spans="2:23" s="183" customFormat="1" ht="30" customHeight="1">
      <c r="B9" s="181"/>
      <c r="C9" s="40" t="s">
        <v>381</v>
      </c>
      <c r="D9" s="1240" t="str">
        <f>Entidad</f>
        <v>INSTITUTO TECNOLOGICO Y DE ENERGIAS RENOVABLES S.A.</v>
      </c>
      <c r="E9" s="1240"/>
      <c r="F9" s="1240"/>
      <c r="G9" s="1240"/>
      <c r="H9" s="182"/>
      <c r="J9" s="390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3"/>
    </row>
    <row r="10" spans="2:23" ht="6.75" customHeight="1">
      <c r="B10" s="103"/>
      <c r="C10" s="104"/>
      <c r="D10" s="104"/>
      <c r="E10" s="105"/>
      <c r="F10" s="105"/>
      <c r="G10" s="105"/>
      <c r="H10" s="106"/>
      <c r="J10" s="390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3"/>
    </row>
    <row r="11" spans="2:23" s="115" customFormat="1" ht="30" customHeight="1">
      <c r="B11" s="111"/>
      <c r="C11" s="112" t="s">
        <v>946</v>
      </c>
      <c r="D11" s="112"/>
      <c r="E11" s="113"/>
      <c r="F11" s="113"/>
      <c r="G11" s="113"/>
      <c r="H11" s="114"/>
      <c r="J11" s="390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3"/>
    </row>
    <row r="12" spans="2:23" s="115" customFormat="1" ht="30" customHeight="1">
      <c r="B12" s="111"/>
      <c r="C12" s="1309"/>
      <c r="D12" s="1309"/>
      <c r="E12" s="96"/>
      <c r="F12" s="96"/>
      <c r="G12" s="96"/>
      <c r="H12" s="114"/>
      <c r="J12" s="390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3"/>
    </row>
    <row r="13" spans="2:23" ht="28.5" customHeight="1">
      <c r="B13" s="117"/>
      <c r="C13" s="66" t="s">
        <v>947</v>
      </c>
      <c r="D13" s="150"/>
      <c r="E13" s="96"/>
      <c r="F13" s="96"/>
      <c r="G13" s="249"/>
      <c r="H13" s="106"/>
      <c r="J13" s="390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3"/>
    </row>
    <row r="14" spans="2:23" ht="9" customHeight="1">
      <c r="B14" s="117"/>
      <c r="C14" s="150"/>
      <c r="D14" s="150"/>
      <c r="E14" s="96"/>
      <c r="F14" s="96"/>
      <c r="G14" s="96"/>
      <c r="H14" s="106"/>
      <c r="J14" s="390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3"/>
    </row>
    <row r="15" spans="2:23" s="234" customFormat="1" ht="22.5" customHeight="1">
      <c r="B15" s="235"/>
      <c r="C15" s="191"/>
      <c r="D15" s="236"/>
      <c r="E15" s="191" t="s">
        <v>854</v>
      </c>
      <c r="F15" s="191" t="s">
        <v>949</v>
      </c>
      <c r="G15" s="191"/>
      <c r="H15" s="237"/>
      <c r="J15" s="390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3"/>
    </row>
    <row r="16" spans="2:23" s="234" customFormat="1" ht="24" customHeight="1">
      <c r="B16" s="235"/>
      <c r="C16" s="240" t="s">
        <v>819</v>
      </c>
      <c r="D16" s="241" t="s">
        <v>827</v>
      </c>
      <c r="E16" s="240" t="s">
        <v>948</v>
      </c>
      <c r="F16" s="240">
        <f>ejercicio</f>
        <v>2019</v>
      </c>
      <c r="G16" s="240" t="s">
        <v>950</v>
      </c>
      <c r="H16" s="237"/>
      <c r="J16" s="390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3"/>
    </row>
    <row r="17" spans="2:23" ht="22.5" customHeight="1">
      <c r="B17" s="117"/>
      <c r="C17" s="459"/>
      <c r="D17" s="456"/>
      <c r="E17" s="452"/>
      <c r="F17" s="452"/>
      <c r="G17" s="539"/>
      <c r="H17" s="106"/>
      <c r="J17" s="390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3"/>
    </row>
    <row r="18" spans="2:23" ht="22.5" customHeight="1">
      <c r="B18" s="117"/>
      <c r="C18" s="459"/>
      <c r="D18" s="456"/>
      <c r="E18" s="452"/>
      <c r="F18" s="452"/>
      <c r="G18" s="540"/>
      <c r="H18" s="106"/>
      <c r="J18" s="390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3"/>
    </row>
    <row r="19" spans="2:23" ht="22.5" customHeight="1">
      <c r="B19" s="117"/>
      <c r="C19" s="459"/>
      <c r="D19" s="456"/>
      <c r="E19" s="452"/>
      <c r="F19" s="452"/>
      <c r="G19" s="540"/>
      <c r="H19" s="106"/>
      <c r="J19" s="390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3"/>
    </row>
    <row r="20" spans="2:23" ht="22.5" customHeight="1">
      <c r="B20" s="117"/>
      <c r="C20" s="459"/>
      <c r="D20" s="456"/>
      <c r="E20" s="452"/>
      <c r="F20" s="452"/>
      <c r="G20" s="540"/>
      <c r="H20" s="106"/>
      <c r="J20" s="390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3"/>
    </row>
    <row r="21" spans="2:23" ht="22.5" customHeight="1">
      <c r="B21" s="117"/>
      <c r="C21" s="459"/>
      <c r="D21" s="456"/>
      <c r="E21" s="452"/>
      <c r="F21" s="452"/>
      <c r="G21" s="540"/>
      <c r="H21" s="106"/>
      <c r="J21" s="390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3"/>
    </row>
    <row r="22" spans="2:23" ht="22.5" customHeight="1">
      <c r="B22" s="117"/>
      <c r="C22" s="459"/>
      <c r="D22" s="456"/>
      <c r="E22" s="452"/>
      <c r="F22" s="452"/>
      <c r="G22" s="540"/>
      <c r="H22" s="106"/>
      <c r="J22" s="390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3"/>
    </row>
    <row r="23" spans="2:23" ht="22.5" customHeight="1">
      <c r="B23" s="117"/>
      <c r="C23" s="459"/>
      <c r="D23" s="456"/>
      <c r="E23" s="452"/>
      <c r="F23" s="452"/>
      <c r="G23" s="540"/>
      <c r="H23" s="106"/>
      <c r="J23" s="390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3"/>
    </row>
    <row r="24" spans="2:23" ht="22.5" customHeight="1">
      <c r="B24" s="117"/>
      <c r="C24" s="459"/>
      <c r="D24" s="456"/>
      <c r="E24" s="452"/>
      <c r="F24" s="452"/>
      <c r="G24" s="540"/>
      <c r="H24" s="106"/>
      <c r="J24" s="390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2"/>
      <c r="W24" s="393"/>
    </row>
    <row r="25" spans="2:23" ht="22.5" customHeight="1">
      <c r="B25" s="117"/>
      <c r="C25" s="459"/>
      <c r="D25" s="456"/>
      <c r="E25" s="452"/>
      <c r="F25" s="452"/>
      <c r="G25" s="540"/>
      <c r="H25" s="106"/>
      <c r="J25" s="390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2"/>
      <c r="W25" s="393"/>
    </row>
    <row r="26" spans="2:23" ht="22.5" customHeight="1">
      <c r="B26" s="117"/>
      <c r="C26" s="459"/>
      <c r="D26" s="456"/>
      <c r="E26" s="452"/>
      <c r="F26" s="452"/>
      <c r="G26" s="540"/>
      <c r="H26" s="106"/>
      <c r="J26" s="390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3"/>
    </row>
    <row r="27" spans="2:23" ht="22.5" customHeight="1">
      <c r="B27" s="117"/>
      <c r="C27" s="459"/>
      <c r="D27" s="456"/>
      <c r="E27" s="452"/>
      <c r="F27" s="452"/>
      <c r="G27" s="540"/>
      <c r="H27" s="106"/>
      <c r="J27" s="390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3"/>
    </row>
    <row r="28" spans="2:23" ht="22.5" customHeight="1">
      <c r="B28" s="117"/>
      <c r="C28" s="459"/>
      <c r="D28" s="456"/>
      <c r="E28" s="452"/>
      <c r="F28" s="452"/>
      <c r="G28" s="540"/>
      <c r="H28" s="106"/>
      <c r="J28" s="390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3"/>
    </row>
    <row r="29" spans="2:23" ht="22.5" customHeight="1">
      <c r="B29" s="117"/>
      <c r="C29" s="459"/>
      <c r="D29" s="456"/>
      <c r="E29" s="452"/>
      <c r="F29" s="452"/>
      <c r="G29" s="540"/>
      <c r="H29" s="106"/>
      <c r="J29" s="390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3"/>
    </row>
    <row r="30" spans="2:23" ht="22.5" customHeight="1">
      <c r="B30" s="117"/>
      <c r="C30" s="459"/>
      <c r="D30" s="456"/>
      <c r="E30" s="452"/>
      <c r="F30" s="452"/>
      <c r="G30" s="540"/>
      <c r="H30" s="106"/>
      <c r="J30" s="390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3"/>
    </row>
    <row r="31" spans="2:23" ht="22.5" customHeight="1">
      <c r="B31" s="117"/>
      <c r="C31" s="460"/>
      <c r="D31" s="457"/>
      <c r="E31" s="453"/>
      <c r="F31" s="453"/>
      <c r="G31" s="541"/>
      <c r="H31" s="106"/>
      <c r="J31" s="390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3"/>
    </row>
    <row r="32" spans="2:23" ht="22.5" customHeight="1">
      <c r="B32" s="117"/>
      <c r="C32" s="461"/>
      <c r="D32" s="458"/>
      <c r="E32" s="455"/>
      <c r="F32" s="455"/>
      <c r="G32" s="542"/>
      <c r="H32" s="106"/>
      <c r="J32" s="390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3"/>
    </row>
    <row r="33" spans="2:23" ht="22.5" customHeight="1" thickBot="1">
      <c r="B33" s="117"/>
      <c r="C33" s="208"/>
      <c r="D33" s="212" t="s">
        <v>777</v>
      </c>
      <c r="E33" s="127">
        <f>SUM(E17:E32)</f>
        <v>0</v>
      </c>
      <c r="F33" s="127">
        <f>SUM(F17:F32)</f>
        <v>0</v>
      </c>
      <c r="G33" s="96"/>
      <c r="H33" s="106"/>
      <c r="J33" s="390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3"/>
    </row>
    <row r="34" spans="2:23" ht="22.5" customHeight="1">
      <c r="B34" s="117"/>
      <c r="C34" s="208"/>
      <c r="D34" s="208"/>
      <c r="E34" s="209"/>
      <c r="F34" s="209"/>
      <c r="G34" s="96"/>
      <c r="H34" s="106"/>
      <c r="J34" s="390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2"/>
      <c r="W34" s="393"/>
    </row>
    <row r="35" spans="2:23" ht="22.5" customHeight="1" thickBot="1">
      <c r="B35" s="121"/>
      <c r="C35" s="1239"/>
      <c r="D35" s="1239"/>
      <c r="E35" s="53"/>
      <c r="F35" s="53"/>
      <c r="G35" s="122"/>
      <c r="H35" s="123"/>
      <c r="J35" s="384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6"/>
    </row>
    <row r="36" spans="3:9" ht="22.5" customHeight="1">
      <c r="C36" s="104"/>
      <c r="D36" s="104"/>
      <c r="E36" s="105"/>
      <c r="F36" s="105"/>
      <c r="G36" s="105"/>
      <c r="I36" s="97" t="s">
        <v>154</v>
      </c>
    </row>
    <row r="37" spans="3:7" ht="12.75">
      <c r="C37" s="124" t="s">
        <v>451</v>
      </c>
      <c r="D37" s="104"/>
      <c r="E37" s="105"/>
      <c r="F37" s="105"/>
      <c r="G37" s="95" t="s">
        <v>895</v>
      </c>
    </row>
    <row r="38" spans="3:7" ht="12.75">
      <c r="C38" s="125" t="s">
        <v>452</v>
      </c>
      <c r="D38" s="104"/>
      <c r="E38" s="105"/>
      <c r="F38" s="105"/>
      <c r="G38" s="105"/>
    </row>
    <row r="39" spans="3:7" ht="12.75">
      <c r="C39" s="125" t="s">
        <v>453</v>
      </c>
      <c r="D39" s="104"/>
      <c r="E39" s="105"/>
      <c r="F39" s="105"/>
      <c r="G39" s="105"/>
    </row>
    <row r="40" spans="3:7" ht="12.75">
      <c r="C40" s="125" t="s">
        <v>454</v>
      </c>
      <c r="D40" s="104"/>
      <c r="E40" s="105"/>
      <c r="F40" s="105"/>
      <c r="G40" s="105"/>
    </row>
    <row r="41" spans="3:7" ht="12.75">
      <c r="C41" s="125" t="s">
        <v>455</v>
      </c>
      <c r="D41" s="104"/>
      <c r="E41" s="105"/>
      <c r="F41" s="105"/>
      <c r="G41" s="105"/>
    </row>
    <row r="42" spans="3:7" ht="22.5" customHeight="1">
      <c r="C42" s="104"/>
      <c r="D42" s="104"/>
      <c r="E42" s="105"/>
      <c r="F42" s="105"/>
      <c r="G42" s="105"/>
    </row>
    <row r="43" spans="3:7" ht="22.5" customHeight="1">
      <c r="C43" s="104"/>
      <c r="D43" s="104"/>
      <c r="E43" s="105"/>
      <c r="F43" s="105"/>
      <c r="G43" s="105"/>
    </row>
    <row r="44" spans="3:7" ht="22.5" customHeight="1">
      <c r="C44" s="104"/>
      <c r="D44" s="104"/>
      <c r="E44" s="105"/>
      <c r="F44" s="105"/>
      <c r="G44" s="105"/>
    </row>
    <row r="45" spans="3:7" ht="22.5" customHeight="1">
      <c r="C45" s="104"/>
      <c r="D45" s="104"/>
      <c r="E45" s="105"/>
      <c r="F45" s="105"/>
      <c r="G45" s="105"/>
    </row>
    <row r="46" spans="5:7" ht="22.5" customHeight="1">
      <c r="E46" s="105"/>
      <c r="F46" s="105"/>
      <c r="G46" s="105"/>
    </row>
  </sheetData>
  <sheetProtection password="C354" sheet="1" objects="1" scenarios="1" insertRows="0"/>
  <mergeCells count="4">
    <mergeCell ref="C35:D35"/>
    <mergeCell ref="G6:G7"/>
    <mergeCell ref="D9:G9"/>
    <mergeCell ref="C12:D12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1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0"/>
  <sheetViews>
    <sheetView zoomScalePageLayoutView="0" workbookViewId="0" topLeftCell="A1">
      <selection activeCell="E36" sqref="E36"/>
    </sheetView>
  </sheetViews>
  <sheetFormatPr defaultColWidth="10.6640625" defaultRowHeight="22.5" customHeight="1"/>
  <cols>
    <col min="1" max="1" width="4.3359375" style="97" bestFit="1" customWidth="1"/>
    <col min="2" max="2" width="3.3359375" style="97" customWidth="1"/>
    <col min="3" max="3" width="13.3359375" style="97" customWidth="1"/>
    <col min="4" max="4" width="67.99609375" style="97" customWidth="1"/>
    <col min="5" max="5" width="17.6640625" style="98" customWidth="1"/>
    <col min="6" max="6" width="44.6640625" style="98" customWidth="1"/>
    <col min="7" max="7" width="10.6640625" style="98" customWidth="1"/>
    <col min="8" max="8" width="3.3359375" style="97" customWidth="1"/>
    <col min="9" max="16384" width="10.6640625" style="97" customWidth="1"/>
  </cols>
  <sheetData>
    <row r="2" ht="22.5" customHeight="1">
      <c r="D2" s="208" t="s">
        <v>753</v>
      </c>
    </row>
    <row r="3" ht="22.5" customHeight="1">
      <c r="D3" s="208" t="s">
        <v>754</v>
      </c>
    </row>
    <row r="4" ht="22.5" customHeight="1" thickBot="1">
      <c r="A4" s="97" t="s">
        <v>153</v>
      </c>
    </row>
    <row r="5" spans="2:23" ht="9" customHeight="1">
      <c r="B5" s="99"/>
      <c r="C5" s="100"/>
      <c r="D5" s="100"/>
      <c r="E5" s="101"/>
      <c r="F5" s="101"/>
      <c r="G5" s="101"/>
      <c r="H5" s="102"/>
      <c r="J5" s="387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9"/>
    </row>
    <row r="6" spans="2:23" ht="30" customHeight="1">
      <c r="B6" s="103"/>
      <c r="C6" s="67" t="s">
        <v>379</v>
      </c>
      <c r="D6" s="104"/>
      <c r="E6" s="105"/>
      <c r="F6" s="105"/>
      <c r="G6" s="1226">
        <f>ejercicio</f>
        <v>2019</v>
      </c>
      <c r="H6" s="106"/>
      <c r="J6" s="390"/>
      <c r="K6" s="391" t="s">
        <v>1067</v>
      </c>
      <c r="L6" s="391"/>
      <c r="M6" s="391"/>
      <c r="N6" s="391"/>
      <c r="O6" s="392"/>
      <c r="P6" s="392"/>
      <c r="Q6" s="392"/>
      <c r="R6" s="392"/>
      <c r="S6" s="392"/>
      <c r="T6" s="392"/>
      <c r="U6" s="392"/>
      <c r="V6" s="392"/>
      <c r="W6" s="393"/>
    </row>
    <row r="7" spans="2:23" ht="30" customHeight="1">
      <c r="B7" s="103"/>
      <c r="C7" s="67" t="s">
        <v>380</v>
      </c>
      <c r="D7" s="104"/>
      <c r="E7" s="105"/>
      <c r="F7" s="105"/>
      <c r="G7" s="1226"/>
      <c r="H7" s="106"/>
      <c r="J7" s="390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</row>
    <row r="8" spans="2:23" ht="30" customHeight="1">
      <c r="B8" s="103"/>
      <c r="C8" s="107"/>
      <c r="D8" s="104"/>
      <c r="E8" s="105"/>
      <c r="F8" s="105"/>
      <c r="G8" s="108"/>
      <c r="H8" s="106"/>
      <c r="J8" s="390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3"/>
    </row>
    <row r="9" spans="2:23" s="183" customFormat="1" ht="30" customHeight="1">
      <c r="B9" s="181"/>
      <c r="C9" s="40" t="s">
        <v>381</v>
      </c>
      <c r="D9" s="1240" t="str">
        <f>Entidad</f>
        <v>INSTITUTO TECNOLOGICO Y DE ENERGIAS RENOVABLES S.A.</v>
      </c>
      <c r="E9" s="1240"/>
      <c r="F9" s="1240"/>
      <c r="G9" s="1240"/>
      <c r="H9" s="182"/>
      <c r="J9" s="390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3"/>
    </row>
    <row r="10" spans="2:23" ht="6.75" customHeight="1">
      <c r="B10" s="103"/>
      <c r="C10" s="104"/>
      <c r="D10" s="104"/>
      <c r="E10" s="105"/>
      <c r="F10" s="105"/>
      <c r="G10" s="105"/>
      <c r="H10" s="106"/>
      <c r="J10" s="390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3"/>
    </row>
    <row r="11" spans="2:23" s="115" customFormat="1" ht="30" customHeight="1">
      <c r="B11" s="111"/>
      <c r="C11" s="112" t="s">
        <v>955</v>
      </c>
      <c r="D11" s="112"/>
      <c r="E11" s="113"/>
      <c r="F11" s="113"/>
      <c r="G11" s="113"/>
      <c r="H11" s="114"/>
      <c r="J11" s="390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3"/>
    </row>
    <row r="12" spans="2:23" s="115" customFormat="1" ht="30" customHeight="1">
      <c r="B12" s="111"/>
      <c r="C12" s="1309"/>
      <c r="D12" s="1309"/>
      <c r="E12" s="96"/>
      <c r="F12" s="96"/>
      <c r="G12" s="96"/>
      <c r="H12" s="114"/>
      <c r="J12" s="390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3"/>
    </row>
    <row r="13" spans="2:23" ht="28.5" customHeight="1">
      <c r="B13" s="117"/>
      <c r="C13" s="66"/>
      <c r="D13" s="150"/>
      <c r="E13" s="96"/>
      <c r="F13" s="96"/>
      <c r="G13" s="249"/>
      <c r="H13" s="106"/>
      <c r="J13" s="390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3"/>
    </row>
    <row r="14" spans="2:23" ht="9" customHeight="1">
      <c r="B14" s="117"/>
      <c r="C14" s="150"/>
      <c r="D14" s="150"/>
      <c r="E14" s="96"/>
      <c r="F14" s="96"/>
      <c r="G14" s="96"/>
      <c r="H14" s="106"/>
      <c r="J14" s="390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3"/>
    </row>
    <row r="15" spans="2:23" s="234" customFormat="1" ht="22.5" customHeight="1">
      <c r="B15" s="235"/>
      <c r="C15" s="252"/>
      <c r="D15" s="255"/>
      <c r="E15" s="191" t="s">
        <v>951</v>
      </c>
      <c r="F15" s="252"/>
      <c r="G15" s="255"/>
      <c r="H15" s="237"/>
      <c r="J15" s="390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3"/>
    </row>
    <row r="16" spans="2:23" s="234" customFormat="1" ht="22.5" customHeight="1">
      <c r="B16" s="235"/>
      <c r="C16" s="253"/>
      <c r="D16" s="256"/>
      <c r="E16" s="238" t="s">
        <v>952</v>
      </c>
      <c r="F16" s="253"/>
      <c r="G16" s="256"/>
      <c r="H16" s="237"/>
      <c r="J16" s="390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3"/>
    </row>
    <row r="17" spans="2:23" s="234" customFormat="1" ht="22.5" customHeight="1">
      <c r="B17" s="235"/>
      <c r="C17" s="253"/>
      <c r="D17" s="256"/>
      <c r="E17" s="238" t="s">
        <v>953</v>
      </c>
      <c r="F17" s="253"/>
      <c r="G17" s="256"/>
      <c r="H17" s="237"/>
      <c r="J17" s="390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3"/>
    </row>
    <row r="18" spans="2:23" s="234" customFormat="1" ht="24" customHeight="1">
      <c r="B18" s="235"/>
      <c r="C18" s="1319" t="s">
        <v>827</v>
      </c>
      <c r="D18" s="1320"/>
      <c r="E18" s="282">
        <f>ejercicio</f>
        <v>2019</v>
      </c>
      <c r="F18" s="254" t="s">
        <v>954</v>
      </c>
      <c r="G18" s="257"/>
      <c r="H18" s="237"/>
      <c r="J18" s="390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3"/>
    </row>
    <row r="19" spans="2:23" ht="9" customHeight="1">
      <c r="B19" s="117"/>
      <c r="C19" s="66"/>
      <c r="D19" s="150"/>
      <c r="E19" s="96"/>
      <c r="F19" s="96"/>
      <c r="G19" s="249"/>
      <c r="H19" s="106"/>
      <c r="J19" s="390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3"/>
    </row>
    <row r="20" spans="2:23" s="129" customFormat="1" ht="22.5" customHeight="1" thickBot="1">
      <c r="B20" s="160"/>
      <c r="C20" s="1363" t="s">
        <v>956</v>
      </c>
      <c r="D20" s="1364"/>
      <c r="E20" s="264">
        <f>SUM(E21:E29)</f>
        <v>23069420.45</v>
      </c>
      <c r="F20" s="1374"/>
      <c r="G20" s="1375"/>
      <c r="H20" s="128"/>
      <c r="J20" s="390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3"/>
    </row>
    <row r="21" spans="2:23" ht="22.5" customHeight="1">
      <c r="B21" s="117"/>
      <c r="C21" s="176" t="s">
        <v>957</v>
      </c>
      <c r="D21" s="258"/>
      <c r="E21" s="545">
        <f>+'FC-3_CPyG'!G16</f>
        <v>16436900.91</v>
      </c>
      <c r="F21" s="1376"/>
      <c r="G21" s="1377"/>
      <c r="H21" s="106"/>
      <c r="J21" s="390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3"/>
    </row>
    <row r="22" spans="2:23" ht="22.5" customHeight="1">
      <c r="B22" s="117"/>
      <c r="C22" s="176" t="s">
        <v>958</v>
      </c>
      <c r="D22" s="258"/>
      <c r="E22" s="545">
        <f>+'FC-3_CPyG'!G21</f>
        <v>410140.11</v>
      </c>
      <c r="F22" s="1370"/>
      <c r="G22" s="1371"/>
      <c r="H22" s="106"/>
      <c r="J22" s="390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3"/>
    </row>
    <row r="23" spans="2:23" ht="22.5" customHeight="1">
      <c r="B23" s="117"/>
      <c r="C23" s="176" t="s">
        <v>959</v>
      </c>
      <c r="D23" s="258"/>
      <c r="E23" s="545">
        <f>+'FC-3_CPyG'!G28</f>
        <v>0</v>
      </c>
      <c r="F23" s="1370"/>
      <c r="G23" s="1371"/>
      <c r="H23" s="106"/>
      <c r="J23" s="390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3"/>
    </row>
    <row r="24" spans="2:23" ht="22.5" customHeight="1">
      <c r="B24" s="117"/>
      <c r="C24" s="176" t="s">
        <v>960</v>
      </c>
      <c r="D24" s="258"/>
      <c r="E24" s="545">
        <f>+'FC-3_CPyG'!G29</f>
        <v>3960321.48</v>
      </c>
      <c r="F24" s="1370"/>
      <c r="G24" s="1371"/>
      <c r="H24" s="106"/>
      <c r="J24" s="390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2"/>
      <c r="W24" s="393"/>
    </row>
    <row r="25" spans="2:23" ht="22.5" customHeight="1">
      <c r="B25" s="117"/>
      <c r="C25" s="176" t="s">
        <v>961</v>
      </c>
      <c r="D25" s="258"/>
      <c r="E25" s="545">
        <f>+'FC-3_CPyG'!G55+'FC-3_CPyG'!G70</f>
        <v>463388.19999999995</v>
      </c>
      <c r="F25" s="1370"/>
      <c r="G25" s="1371"/>
      <c r="H25" s="106"/>
      <c r="J25" s="390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2"/>
      <c r="W25" s="393"/>
    </row>
    <row r="26" spans="2:23" ht="22.5" customHeight="1">
      <c r="B26" s="117"/>
      <c r="C26" s="176" t="s">
        <v>962</v>
      </c>
      <c r="D26" s="258"/>
      <c r="E26" s="545">
        <f>+'FC-3_CPyG'!G52</f>
        <v>1230950</v>
      </c>
      <c r="F26" s="1370"/>
      <c r="G26" s="1371"/>
      <c r="H26" s="106"/>
      <c r="J26" s="390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3"/>
    </row>
    <row r="27" spans="2:23" ht="22.5" customHeight="1">
      <c r="B27" s="117"/>
      <c r="C27" s="176" t="s">
        <v>963</v>
      </c>
      <c r="D27" s="258"/>
      <c r="E27" s="545">
        <f>+'FC-3_1_INF_ADIC_CPyG'!G54</f>
        <v>0</v>
      </c>
      <c r="F27" s="1370"/>
      <c r="G27" s="1371"/>
      <c r="H27" s="106"/>
      <c r="J27" s="390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3"/>
    </row>
    <row r="28" spans="2:23" ht="22.5" customHeight="1">
      <c r="B28" s="117"/>
      <c r="C28" s="781" t="s">
        <v>1165</v>
      </c>
      <c r="D28" s="258"/>
      <c r="E28" s="545">
        <f>+'FC-9_TRANS_SUBV'!H89+'FC-9_TRANS_SUBV'!H103</f>
        <v>0</v>
      </c>
      <c r="F28" s="1370"/>
      <c r="G28" s="1371"/>
      <c r="H28" s="106"/>
      <c r="J28" s="390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3"/>
    </row>
    <row r="29" spans="2:23" ht="22.5" customHeight="1">
      <c r="B29" s="117"/>
      <c r="C29" s="155" t="s">
        <v>964</v>
      </c>
      <c r="D29" s="259"/>
      <c r="E29" s="546">
        <f>+'FC-9_TRANS_SUBV'!I31</f>
        <v>567719.75</v>
      </c>
      <c r="F29" s="1372"/>
      <c r="G29" s="1373"/>
      <c r="H29" s="106"/>
      <c r="J29" s="390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3"/>
    </row>
    <row r="30" spans="2:23" ht="9" customHeight="1">
      <c r="B30" s="117"/>
      <c r="C30" s="66"/>
      <c r="D30" s="150"/>
      <c r="E30" s="96"/>
      <c r="F30" s="96"/>
      <c r="G30" s="249"/>
      <c r="H30" s="106"/>
      <c r="J30" s="390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3"/>
    </row>
    <row r="31" spans="2:23" ht="22.5" customHeight="1" thickBot="1">
      <c r="B31" s="117"/>
      <c r="C31" s="1363" t="s">
        <v>965</v>
      </c>
      <c r="D31" s="1364"/>
      <c r="E31" s="264">
        <f>SUM(E32:E43)</f>
        <v>-18776126.86</v>
      </c>
      <c r="F31" s="1374"/>
      <c r="G31" s="1375"/>
      <c r="H31" s="106"/>
      <c r="J31" s="390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3"/>
    </row>
    <row r="32" spans="2:23" ht="22.5" customHeight="1">
      <c r="B32" s="117"/>
      <c r="C32" s="176" t="s">
        <v>474</v>
      </c>
      <c r="D32" s="258"/>
      <c r="E32" s="545">
        <f>+'FC-3_CPyG'!G22</f>
        <v>-466449.6</v>
      </c>
      <c r="F32" s="1370"/>
      <c r="G32" s="1371"/>
      <c r="H32" s="106"/>
      <c r="J32" s="390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3"/>
    </row>
    <row r="33" spans="2:23" ht="22.5" customHeight="1">
      <c r="B33" s="117"/>
      <c r="C33" s="176" t="s">
        <v>966</v>
      </c>
      <c r="D33" s="258"/>
      <c r="E33" s="545">
        <f>+'FC-3_CPyG'!G30</f>
        <v>-6625812.960000001</v>
      </c>
      <c r="F33" s="478"/>
      <c r="G33" s="438"/>
      <c r="H33" s="106"/>
      <c r="J33" s="390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3"/>
    </row>
    <row r="34" spans="2:23" ht="22.5" customHeight="1">
      <c r="B34" s="117"/>
      <c r="C34" s="176" t="s">
        <v>489</v>
      </c>
      <c r="D34" s="258"/>
      <c r="E34" s="545">
        <f>+'FC-3_CPyG'!G34-'FC-3_CPyG'!G36</f>
        <v>-6539423.35</v>
      </c>
      <c r="F34" s="478"/>
      <c r="G34" s="438"/>
      <c r="H34" s="106"/>
      <c r="J34" s="390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2"/>
      <c r="W34" s="393"/>
    </row>
    <row r="35" spans="2:23" ht="22.5" customHeight="1">
      <c r="B35" s="117"/>
      <c r="C35" s="176" t="s">
        <v>967</v>
      </c>
      <c r="D35" s="258"/>
      <c r="E35" s="545">
        <f>+'FC-3_CPyG'!G59+'FC-3_CPyG'!G63+'FC-3_CPyG'!G66+'FC-3_CPyG'!G67</f>
        <v>-357117.96</v>
      </c>
      <c r="F35" s="478"/>
      <c r="G35" s="438"/>
      <c r="H35" s="106"/>
      <c r="J35" s="390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3"/>
    </row>
    <row r="36" spans="2:23" ht="22.5" customHeight="1">
      <c r="B36" s="117"/>
      <c r="C36" s="176" t="s">
        <v>968</v>
      </c>
      <c r="D36" s="258"/>
      <c r="E36" s="545">
        <f>+'FC-3_CPyG'!G77</f>
        <v>610310.89</v>
      </c>
      <c r="F36" s="478"/>
      <c r="G36" s="438"/>
      <c r="H36" s="106"/>
      <c r="J36" s="390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3"/>
    </row>
    <row r="37" spans="2:23" ht="22.5" customHeight="1">
      <c r="B37" s="117"/>
      <c r="C37" s="176" t="s">
        <v>969</v>
      </c>
      <c r="D37" s="258"/>
      <c r="E37" s="545">
        <f>+'FC-3_CPyG'!G36</f>
        <v>-715255.39</v>
      </c>
      <c r="F37" s="478"/>
      <c r="G37" s="438"/>
      <c r="H37" s="106"/>
      <c r="J37" s="390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3"/>
    </row>
    <row r="38" spans="2:23" ht="22.5" customHeight="1">
      <c r="B38" s="117"/>
      <c r="C38" s="176" t="s">
        <v>970</v>
      </c>
      <c r="D38" s="258"/>
      <c r="E38" s="545">
        <f>+'FC-3_1_INF_ADIC_CPyG'!G62</f>
        <v>0</v>
      </c>
      <c r="F38" s="478"/>
      <c r="G38" s="438"/>
      <c r="H38" s="106"/>
      <c r="J38" s="390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3"/>
    </row>
    <row r="39" spans="2:23" ht="22.5" customHeight="1">
      <c r="B39" s="117"/>
      <c r="C39" s="176" t="s">
        <v>971</v>
      </c>
      <c r="D39" s="258"/>
      <c r="E39" s="545">
        <f>-'FC-7_INF'!F31-'FC-7_INF'!H31-'FC-7_INF'!K31-'FC-7_INF'!F33-'FC-7_INF'!H33-'FC-7_INF'!K33</f>
        <v>-4681478.49</v>
      </c>
      <c r="F39" s="478"/>
      <c r="G39" s="438"/>
      <c r="H39" s="106"/>
      <c r="J39" s="390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3"/>
    </row>
    <row r="40" spans="2:23" ht="22.5" customHeight="1">
      <c r="B40" s="117"/>
      <c r="C40" s="544" t="s">
        <v>972</v>
      </c>
      <c r="D40" s="258"/>
      <c r="E40" s="545">
        <f>+'FC-3_CPyG'!G20</f>
        <v>-900</v>
      </c>
      <c r="F40" s="478"/>
      <c r="G40" s="438"/>
      <c r="H40" s="106"/>
      <c r="J40" s="390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3"/>
    </row>
    <row r="41" spans="2:23" ht="22.5" customHeight="1">
      <c r="B41" s="117"/>
      <c r="C41" s="176" t="s">
        <v>973</v>
      </c>
      <c r="D41" s="258"/>
      <c r="E41" s="452"/>
      <c r="F41" s="1185" t="s">
        <v>223</v>
      </c>
      <c r="G41" s="438"/>
      <c r="H41" s="106"/>
      <c r="J41" s="390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3"/>
    </row>
    <row r="42" spans="2:23" ht="22.5" customHeight="1">
      <c r="B42" s="117"/>
      <c r="C42" s="176" t="s">
        <v>974</v>
      </c>
      <c r="D42" s="258"/>
      <c r="E42" s="452"/>
      <c r="F42" s="1370" t="s">
        <v>223</v>
      </c>
      <c r="G42" s="1371" t="s">
        <v>223</v>
      </c>
      <c r="H42" s="106"/>
      <c r="J42" s="390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3"/>
    </row>
    <row r="43" spans="2:23" ht="22.5" customHeight="1">
      <c r="B43" s="117"/>
      <c r="C43" s="155" t="s">
        <v>975</v>
      </c>
      <c r="D43" s="259"/>
      <c r="E43" s="455"/>
      <c r="F43" s="1372" t="s">
        <v>223</v>
      </c>
      <c r="G43" s="1373" t="s">
        <v>223</v>
      </c>
      <c r="H43" s="106"/>
      <c r="J43" s="390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3"/>
    </row>
    <row r="44" spans="2:23" ht="9" customHeight="1">
      <c r="B44" s="117"/>
      <c r="C44" s="66"/>
      <c r="D44" s="150"/>
      <c r="E44" s="96"/>
      <c r="F44" s="96"/>
      <c r="G44" s="249"/>
      <c r="H44" s="106"/>
      <c r="J44" s="390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2"/>
      <c r="W44" s="393"/>
    </row>
    <row r="45" spans="2:23" ht="22.5" customHeight="1" thickBot="1">
      <c r="B45" s="117"/>
      <c r="C45" s="157" t="s">
        <v>976</v>
      </c>
      <c r="D45" s="284"/>
      <c r="E45" s="127">
        <f>+E20+E31</f>
        <v>4293293.59</v>
      </c>
      <c r="F45" s="96"/>
      <c r="G45" s="96"/>
      <c r="H45" s="106"/>
      <c r="J45" s="390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2"/>
      <c r="V45" s="392"/>
      <c r="W45" s="393"/>
    </row>
    <row r="46" spans="2:23" ht="22.5" customHeight="1">
      <c r="B46" s="117"/>
      <c r="C46" s="208"/>
      <c r="D46" s="208"/>
      <c r="E46" s="209"/>
      <c r="F46" s="209"/>
      <c r="G46" s="96"/>
      <c r="H46" s="106"/>
      <c r="J46" s="390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3"/>
    </row>
    <row r="47" spans="2:23" ht="22.5" customHeight="1">
      <c r="B47" s="117"/>
      <c r="C47" s="166" t="s">
        <v>788</v>
      </c>
      <c r="D47" s="208"/>
      <c r="E47" s="209"/>
      <c r="F47" s="209"/>
      <c r="G47" s="96"/>
      <c r="H47" s="106"/>
      <c r="J47" s="390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3"/>
    </row>
    <row r="48" spans="2:23" ht="22.5" customHeight="1">
      <c r="B48" s="117"/>
      <c r="C48" s="164" t="s">
        <v>1097</v>
      </c>
      <c r="D48" s="208"/>
      <c r="E48" s="209"/>
      <c r="F48" s="209"/>
      <c r="G48" s="96"/>
      <c r="H48" s="106"/>
      <c r="J48" s="390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92"/>
      <c r="V48" s="392"/>
      <c r="W48" s="393"/>
    </row>
    <row r="49" spans="2:23" ht="22.5" customHeight="1" thickBot="1">
      <c r="B49" s="121"/>
      <c r="C49" s="1239"/>
      <c r="D49" s="1239"/>
      <c r="E49" s="53"/>
      <c r="F49" s="53"/>
      <c r="G49" s="122"/>
      <c r="H49" s="123"/>
      <c r="J49" s="384"/>
      <c r="K49" s="385"/>
      <c r="L49" s="385"/>
      <c r="M49" s="385"/>
      <c r="N49" s="385"/>
      <c r="O49" s="385"/>
      <c r="P49" s="385"/>
      <c r="Q49" s="385"/>
      <c r="R49" s="385"/>
      <c r="S49" s="385"/>
      <c r="T49" s="385"/>
      <c r="U49" s="385"/>
      <c r="V49" s="385"/>
      <c r="W49" s="386"/>
    </row>
    <row r="50" spans="3:9" ht="22.5" customHeight="1">
      <c r="C50" s="104"/>
      <c r="D50" s="104"/>
      <c r="E50" s="105"/>
      <c r="F50" s="105"/>
      <c r="G50" s="105"/>
      <c r="I50" s="97" t="s">
        <v>154</v>
      </c>
    </row>
    <row r="51" spans="3:7" ht="12.75">
      <c r="C51" s="124" t="s">
        <v>451</v>
      </c>
      <c r="D51" s="104"/>
      <c r="E51" s="105"/>
      <c r="F51" s="105"/>
      <c r="G51" s="95" t="s">
        <v>442</v>
      </c>
    </row>
    <row r="52" spans="3:7" ht="12.75">
      <c r="C52" s="125" t="s">
        <v>452</v>
      </c>
      <c r="D52" s="104"/>
      <c r="E52" s="105"/>
      <c r="F52" s="105"/>
      <c r="G52" s="105"/>
    </row>
    <row r="53" spans="3:7" ht="12.75">
      <c r="C53" s="125" t="s">
        <v>453</v>
      </c>
      <c r="D53" s="104"/>
      <c r="E53" s="105"/>
      <c r="F53" s="105"/>
      <c r="G53" s="105"/>
    </row>
    <row r="54" spans="3:7" ht="12.75">
      <c r="C54" s="125" t="s">
        <v>454</v>
      </c>
      <c r="D54" s="104"/>
      <c r="E54" s="105"/>
      <c r="F54" s="105"/>
      <c r="G54" s="105"/>
    </row>
    <row r="55" spans="3:7" ht="12.75">
      <c r="C55" s="125" t="s">
        <v>455</v>
      </c>
      <c r="D55" s="104"/>
      <c r="E55" s="105"/>
      <c r="F55" s="105"/>
      <c r="G55" s="105"/>
    </row>
    <row r="56" spans="3:7" ht="22.5" customHeight="1">
      <c r="C56" s="104"/>
      <c r="D56" s="104"/>
      <c r="E56" s="105"/>
      <c r="F56" s="105"/>
      <c r="G56" s="105"/>
    </row>
    <row r="57" spans="3:7" ht="22.5" customHeight="1">
      <c r="C57" s="104"/>
      <c r="D57" s="104"/>
      <c r="E57" s="105"/>
      <c r="F57" s="105"/>
      <c r="G57" s="105"/>
    </row>
    <row r="58" spans="3:7" ht="22.5" customHeight="1">
      <c r="C58" s="104"/>
      <c r="D58" s="104"/>
      <c r="E58" s="105"/>
      <c r="F58" s="105"/>
      <c r="G58" s="105"/>
    </row>
    <row r="59" spans="3:7" ht="22.5" customHeight="1">
      <c r="C59" s="104"/>
      <c r="D59" s="104"/>
      <c r="E59" s="105"/>
      <c r="F59" s="105"/>
      <c r="G59" s="105"/>
    </row>
    <row r="60" spans="5:7" ht="22.5" customHeight="1">
      <c r="E60" s="105"/>
      <c r="F60" s="105"/>
      <c r="G60" s="105"/>
    </row>
  </sheetData>
  <sheetProtection password="C494" sheet="1" objects="1" scenarios="1"/>
  <mergeCells count="21">
    <mergeCell ref="F42:G42"/>
    <mergeCell ref="F27:G27"/>
    <mergeCell ref="C20:D20"/>
    <mergeCell ref="F29:G29"/>
    <mergeCell ref="C49:D49"/>
    <mergeCell ref="F20:G20"/>
    <mergeCell ref="F21:G21"/>
    <mergeCell ref="F22:G22"/>
    <mergeCell ref="F23:G23"/>
    <mergeCell ref="F24:G24"/>
    <mergeCell ref="F25:G25"/>
    <mergeCell ref="F28:G28"/>
    <mergeCell ref="F43:G43"/>
    <mergeCell ref="F31:G31"/>
    <mergeCell ref="F32:G32"/>
    <mergeCell ref="G6:G7"/>
    <mergeCell ref="D9:G9"/>
    <mergeCell ref="C12:D12"/>
    <mergeCell ref="C18:D18"/>
    <mergeCell ref="C31:D31"/>
    <mergeCell ref="F26:G26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8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1"/>
  <sheetViews>
    <sheetView zoomScalePageLayoutView="0" workbookViewId="0" topLeftCell="A1">
      <selection activeCell="E23" sqref="E23"/>
    </sheetView>
  </sheetViews>
  <sheetFormatPr defaultColWidth="10.6640625" defaultRowHeight="22.5" customHeight="1"/>
  <cols>
    <col min="1" max="1" width="4.3359375" style="97" bestFit="1" customWidth="1"/>
    <col min="2" max="2" width="3.3359375" style="97" customWidth="1"/>
    <col min="3" max="3" width="13.3359375" style="97" customWidth="1"/>
    <col min="4" max="4" width="67.99609375" style="97" customWidth="1"/>
    <col min="5" max="5" width="17.6640625" style="98" customWidth="1"/>
    <col min="6" max="6" width="12.3359375" style="98" customWidth="1"/>
    <col min="7" max="7" width="3.3359375" style="97" customWidth="1"/>
    <col min="8" max="16384" width="10.6640625" style="97" customWidth="1"/>
  </cols>
  <sheetData>
    <row r="2" ht="22.5" customHeight="1">
      <c r="D2" s="208" t="s">
        <v>753</v>
      </c>
    </row>
    <row r="3" ht="22.5" customHeight="1">
      <c r="D3" s="208" t="s">
        <v>754</v>
      </c>
    </row>
    <row r="4" ht="22.5" customHeight="1" thickBot="1">
      <c r="A4" s="97" t="s">
        <v>153</v>
      </c>
    </row>
    <row r="5" spans="2:22" ht="9" customHeight="1">
      <c r="B5" s="99"/>
      <c r="C5" s="100"/>
      <c r="D5" s="100"/>
      <c r="E5" s="101"/>
      <c r="F5" s="101"/>
      <c r="G5" s="102"/>
      <c r="I5" s="387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9"/>
    </row>
    <row r="6" spans="2:22" ht="30" customHeight="1">
      <c r="B6" s="103"/>
      <c r="C6" s="67" t="s">
        <v>379</v>
      </c>
      <c r="D6" s="104"/>
      <c r="E6" s="105"/>
      <c r="F6" s="1226">
        <f>ejercicio</f>
        <v>2019</v>
      </c>
      <c r="G6" s="106"/>
      <c r="I6" s="390"/>
      <c r="J6" s="391" t="s">
        <v>1067</v>
      </c>
      <c r="K6" s="391"/>
      <c r="L6" s="391"/>
      <c r="M6" s="391"/>
      <c r="N6" s="392"/>
      <c r="O6" s="392"/>
      <c r="P6" s="392"/>
      <c r="Q6" s="392"/>
      <c r="R6" s="392"/>
      <c r="S6" s="392"/>
      <c r="T6" s="392"/>
      <c r="U6" s="392"/>
      <c r="V6" s="393"/>
    </row>
    <row r="7" spans="2:22" ht="30" customHeight="1">
      <c r="B7" s="103"/>
      <c r="C7" s="67" t="s">
        <v>380</v>
      </c>
      <c r="D7" s="104"/>
      <c r="E7" s="105"/>
      <c r="F7" s="1226"/>
      <c r="G7" s="106"/>
      <c r="I7" s="390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3"/>
    </row>
    <row r="8" spans="2:22" ht="30" customHeight="1">
      <c r="B8" s="103"/>
      <c r="C8" s="107"/>
      <c r="D8" s="104"/>
      <c r="E8" s="105"/>
      <c r="F8" s="108"/>
      <c r="G8" s="106"/>
      <c r="I8" s="390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3"/>
    </row>
    <row r="9" spans="2:22" s="183" customFormat="1" ht="30" customHeight="1">
      <c r="B9" s="181"/>
      <c r="C9" s="40" t="s">
        <v>381</v>
      </c>
      <c r="D9" s="1240" t="str">
        <f>Entidad</f>
        <v>INSTITUTO TECNOLOGICO Y DE ENERGIAS RENOVABLES S.A.</v>
      </c>
      <c r="E9" s="1240"/>
      <c r="F9" s="1240"/>
      <c r="G9" s="182"/>
      <c r="I9" s="390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3"/>
    </row>
    <row r="10" spans="2:22" ht="6.75" customHeight="1">
      <c r="B10" s="103"/>
      <c r="C10" s="104"/>
      <c r="D10" s="104"/>
      <c r="E10" s="105"/>
      <c r="F10" s="105"/>
      <c r="G10" s="106"/>
      <c r="I10" s="390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3"/>
    </row>
    <row r="11" spans="2:22" s="115" customFormat="1" ht="30" customHeight="1">
      <c r="B11" s="111"/>
      <c r="C11" s="112" t="s">
        <v>977</v>
      </c>
      <c r="D11" s="112"/>
      <c r="E11" s="113"/>
      <c r="F11" s="113"/>
      <c r="G11" s="114"/>
      <c r="I11" s="390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3"/>
    </row>
    <row r="12" spans="2:22" s="115" customFormat="1" ht="30" customHeight="1">
      <c r="B12" s="111"/>
      <c r="C12" s="1309"/>
      <c r="D12" s="1309"/>
      <c r="E12" s="96"/>
      <c r="F12" s="96"/>
      <c r="G12" s="114"/>
      <c r="I12" s="390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3"/>
    </row>
    <row r="13" spans="2:22" ht="9" customHeight="1">
      <c r="B13" s="117"/>
      <c r="C13" s="150"/>
      <c r="D13" s="150"/>
      <c r="E13" s="96"/>
      <c r="F13" s="96"/>
      <c r="G13" s="106"/>
      <c r="I13" s="390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3"/>
    </row>
    <row r="14" spans="2:22" s="245" customFormat="1" ht="24" customHeight="1">
      <c r="B14" s="242"/>
      <c r="C14" s="1299" t="s">
        <v>827</v>
      </c>
      <c r="D14" s="1301"/>
      <c r="E14" s="261" t="s">
        <v>854</v>
      </c>
      <c r="F14" s="272" t="s">
        <v>978</v>
      </c>
      <c r="G14" s="244"/>
      <c r="I14" s="390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3"/>
    </row>
    <row r="15" spans="2:22" ht="9" customHeight="1">
      <c r="B15" s="117"/>
      <c r="C15" s="66"/>
      <c r="D15" s="150"/>
      <c r="E15" s="96"/>
      <c r="F15" s="249"/>
      <c r="G15" s="106"/>
      <c r="I15" s="390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3"/>
    </row>
    <row r="16" spans="2:22" s="288" customFormat="1" ht="22.5" customHeight="1">
      <c r="B16" s="286"/>
      <c r="C16" s="1378" t="s">
        <v>979</v>
      </c>
      <c r="D16" s="1379"/>
      <c r="E16" s="289">
        <f>SUM(E17:E19)</f>
        <v>2595323.915992056</v>
      </c>
      <c r="F16" s="292">
        <f>E16/$E$33</f>
        <v>0.12723908512486717</v>
      </c>
      <c r="G16" s="287"/>
      <c r="I16" s="390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3"/>
    </row>
    <row r="17" spans="2:22" s="183" customFormat="1" ht="22.5" customHeight="1">
      <c r="B17" s="181"/>
      <c r="C17" s="187" t="s">
        <v>980</v>
      </c>
      <c r="D17" s="258" t="s">
        <v>983</v>
      </c>
      <c r="E17" s="452">
        <f>+'FC-3_1_INF_ADIC_CPyG'!K16+'FC-3_1_INF_ADIC_CPyG'!K19</f>
        <v>2574804.5358878504</v>
      </c>
      <c r="F17" s="293">
        <f>E17/$E$33</f>
        <v>0.12623309618618375</v>
      </c>
      <c r="G17" s="182"/>
      <c r="I17" s="390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3"/>
    </row>
    <row r="18" spans="2:22" s="183" customFormat="1" ht="22.5" customHeight="1">
      <c r="B18" s="181"/>
      <c r="C18" s="187" t="s">
        <v>981</v>
      </c>
      <c r="D18" s="258" t="s">
        <v>984</v>
      </c>
      <c r="E18" s="452">
        <f>+'FC-3_1_INF_ADIC_CPyG'!K38</f>
        <v>20519.380104205607</v>
      </c>
      <c r="F18" s="294">
        <f>E18/$E$33</f>
        <v>0.0010059889386834111</v>
      </c>
      <c r="G18" s="182"/>
      <c r="I18" s="390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3"/>
    </row>
    <row r="19" spans="2:22" s="183" customFormat="1" ht="22.5" customHeight="1">
      <c r="B19" s="181"/>
      <c r="C19" s="273" t="s">
        <v>982</v>
      </c>
      <c r="D19" s="259" t="s">
        <v>985</v>
      </c>
      <c r="E19" s="455"/>
      <c r="F19" s="295">
        <f>E19/$E$33</f>
        <v>0</v>
      </c>
      <c r="G19" s="182"/>
      <c r="I19" s="390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3"/>
    </row>
    <row r="20" spans="2:22" s="183" customFormat="1" ht="9" customHeight="1">
      <c r="B20" s="181"/>
      <c r="C20" s="22"/>
      <c r="D20" s="150"/>
      <c r="E20" s="146"/>
      <c r="F20" s="296"/>
      <c r="G20" s="182"/>
      <c r="I20" s="390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3"/>
    </row>
    <row r="21" spans="2:22" s="183" customFormat="1" ht="22.5" customHeight="1">
      <c r="B21" s="181"/>
      <c r="C21" s="1378" t="s">
        <v>986</v>
      </c>
      <c r="D21" s="1379"/>
      <c r="E21" s="543">
        <f>+'FC-3_1_INF_ADIC_CPyG'!K47</f>
        <v>13841576.994007941</v>
      </c>
      <c r="F21" s="297">
        <f>E21/$E$33</f>
        <v>0.6786010727026222</v>
      </c>
      <c r="G21" s="182"/>
      <c r="I21" s="390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3"/>
    </row>
    <row r="22" spans="2:22" s="183" customFormat="1" ht="9" customHeight="1">
      <c r="B22" s="181"/>
      <c r="C22" s="22"/>
      <c r="D22" s="150"/>
      <c r="E22" s="146"/>
      <c r="F22" s="296"/>
      <c r="G22" s="182"/>
      <c r="I22" s="390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3"/>
    </row>
    <row r="23" spans="2:22" s="288" customFormat="1" ht="22.5" customHeight="1">
      <c r="B23" s="286"/>
      <c r="C23" s="1378" t="s">
        <v>987</v>
      </c>
      <c r="D23" s="1379"/>
      <c r="E23" s="289">
        <f>SUM(E24:E26)</f>
        <v>3960321.4799999995</v>
      </c>
      <c r="F23" s="297">
        <f>E23/$E$33</f>
        <v>0.19415984217251064</v>
      </c>
      <c r="G23" s="287"/>
      <c r="I23" s="390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3"/>
    </row>
    <row r="24" spans="2:22" s="183" customFormat="1" ht="22.5" customHeight="1">
      <c r="B24" s="181"/>
      <c r="C24" s="187" t="s">
        <v>980</v>
      </c>
      <c r="D24" s="258" t="s">
        <v>988</v>
      </c>
      <c r="E24" s="452">
        <f>'FC-9_TRANS_SUBV'!H74+'FC-9_TRANS_SUBV'!H89-E25-E26</f>
        <v>2660999.999999999</v>
      </c>
      <c r="F24" s="293">
        <f>E24/$E$33</f>
        <v>0.1304589394144464</v>
      </c>
      <c r="G24" s="182"/>
      <c r="I24" s="390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3"/>
    </row>
    <row r="25" spans="2:22" s="183" customFormat="1" ht="22.5" customHeight="1">
      <c r="B25" s="181"/>
      <c r="C25" s="187" t="s">
        <v>981</v>
      </c>
      <c r="D25" s="258" t="s">
        <v>990</v>
      </c>
      <c r="E25" s="452">
        <f>+'FC-3_1_INF_ADIC_CPyG'!G83+'FC-3_1_INF_ADIC_CPyG'!G84+'FC-3_1_INF_ADIC_CPyG'!G85+'FC-3_1_INF_ADIC_CPyG'!G88</f>
        <v>946132.93</v>
      </c>
      <c r="F25" s="294">
        <f>E25/$E$33</f>
        <v>0.046385380906757874</v>
      </c>
      <c r="G25" s="182"/>
      <c r="I25" s="390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3"/>
    </row>
    <row r="26" spans="2:22" s="183" customFormat="1" ht="22.5" customHeight="1">
      <c r="B26" s="181"/>
      <c r="C26" s="273" t="s">
        <v>982</v>
      </c>
      <c r="D26" s="259" t="s">
        <v>989</v>
      </c>
      <c r="E26" s="455">
        <f>+'FC-3_1_INF_ADIC_CPyG'!G87</f>
        <v>353188.55000000005</v>
      </c>
      <c r="F26" s="295">
        <f>E26/$E$33</f>
        <v>0.01731552185130635</v>
      </c>
      <c r="G26" s="182"/>
      <c r="I26" s="390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3"/>
    </row>
    <row r="27" spans="2:22" s="183" customFormat="1" ht="9" customHeight="1">
      <c r="B27" s="181"/>
      <c r="C27" s="22"/>
      <c r="D27" s="150"/>
      <c r="E27" s="146"/>
      <c r="F27" s="296"/>
      <c r="G27" s="182"/>
      <c r="I27" s="390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3"/>
    </row>
    <row r="28" spans="2:22" s="288" customFormat="1" ht="22.5" customHeight="1">
      <c r="B28" s="286"/>
      <c r="C28" s="1378" t="s">
        <v>991</v>
      </c>
      <c r="D28" s="1379"/>
      <c r="E28" s="289">
        <f>SUM(E29:E31)</f>
        <v>0</v>
      </c>
      <c r="F28" s="297">
        <f>E28/$E$33</f>
        <v>0</v>
      </c>
      <c r="G28" s="287"/>
      <c r="I28" s="390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3"/>
    </row>
    <row r="29" spans="2:22" s="183" customFormat="1" ht="22.5" customHeight="1">
      <c r="B29" s="181"/>
      <c r="C29" s="187" t="s">
        <v>980</v>
      </c>
      <c r="D29" s="258"/>
      <c r="E29" s="452"/>
      <c r="F29" s="293">
        <f>E29/$E$33</f>
        <v>0</v>
      </c>
      <c r="G29" s="182"/>
      <c r="I29" s="390" t="s">
        <v>223</v>
      </c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3"/>
    </row>
    <row r="30" spans="2:22" s="183" customFormat="1" ht="22.5" customHeight="1">
      <c r="B30" s="181"/>
      <c r="C30" s="187" t="s">
        <v>981</v>
      </c>
      <c r="D30" s="258"/>
      <c r="E30" s="452"/>
      <c r="F30" s="294">
        <f>E30/$E$33</f>
        <v>0</v>
      </c>
      <c r="G30" s="182"/>
      <c r="I30" s="390" t="s">
        <v>223</v>
      </c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3"/>
    </row>
    <row r="31" spans="2:22" s="183" customFormat="1" ht="22.5" customHeight="1">
      <c r="B31" s="181"/>
      <c r="C31" s="273" t="s">
        <v>982</v>
      </c>
      <c r="D31" s="259"/>
      <c r="E31" s="455"/>
      <c r="F31" s="295">
        <f>E31/$E$33</f>
        <v>0</v>
      </c>
      <c r="G31" s="182"/>
      <c r="I31" s="390" t="s">
        <v>223</v>
      </c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3"/>
    </row>
    <row r="32" spans="2:22" s="183" customFormat="1" ht="22.5" customHeight="1">
      <c r="B32" s="181"/>
      <c r="C32" s="150"/>
      <c r="D32" s="208"/>
      <c r="E32" s="210"/>
      <c r="F32" s="290"/>
      <c r="G32" s="182"/>
      <c r="I32" s="390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3"/>
    </row>
    <row r="33" spans="2:22" s="183" customFormat="1" ht="22.5" customHeight="1" thickBot="1">
      <c r="B33" s="181"/>
      <c r="C33" s="1380" t="s">
        <v>992</v>
      </c>
      <c r="D33" s="1381"/>
      <c r="E33" s="285">
        <f>E28+E23+E21+E16</f>
        <v>20397222.389999997</v>
      </c>
      <c r="F33" s="291">
        <f>E33/E33</f>
        <v>1</v>
      </c>
      <c r="G33" s="182"/>
      <c r="I33" s="390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3"/>
    </row>
    <row r="34" spans="2:22" ht="22.5" customHeight="1">
      <c r="B34" s="117"/>
      <c r="C34" s="150"/>
      <c r="D34" s="208"/>
      <c r="E34" s="210"/>
      <c r="F34" s="211"/>
      <c r="G34" s="106"/>
      <c r="I34" s="390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3"/>
    </row>
    <row r="35" spans="2:22" ht="22.5" customHeight="1">
      <c r="B35" s="117"/>
      <c r="C35" s="150"/>
      <c r="D35" s="208"/>
      <c r="E35" s="210"/>
      <c r="F35" s="211"/>
      <c r="G35" s="106"/>
      <c r="I35" s="390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3"/>
    </row>
    <row r="36" spans="2:22" ht="22.5" customHeight="1">
      <c r="B36" s="117"/>
      <c r="C36" s="150"/>
      <c r="D36" s="208"/>
      <c r="E36" s="210"/>
      <c r="F36" s="211"/>
      <c r="G36" s="106"/>
      <c r="I36" s="390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3"/>
    </row>
    <row r="37" spans="2:22" ht="22.5" customHeight="1">
      <c r="B37" s="117"/>
      <c r="C37" s="150"/>
      <c r="D37" s="208"/>
      <c r="E37" s="210"/>
      <c r="F37" s="211"/>
      <c r="G37" s="106"/>
      <c r="I37" s="390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3"/>
    </row>
    <row r="38" spans="2:22" ht="22.5" customHeight="1">
      <c r="B38" s="117"/>
      <c r="C38" s="150"/>
      <c r="D38" s="208"/>
      <c r="E38" s="210"/>
      <c r="F38" s="211"/>
      <c r="G38" s="106"/>
      <c r="I38" s="390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3"/>
    </row>
    <row r="39" spans="2:22" ht="22.5" customHeight="1">
      <c r="B39" s="117"/>
      <c r="C39" s="208"/>
      <c r="D39" s="208"/>
      <c r="E39" s="209"/>
      <c r="F39" s="96"/>
      <c r="G39" s="106"/>
      <c r="I39" s="390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3"/>
    </row>
    <row r="40" spans="2:22" ht="22.5" customHeight="1" thickBot="1">
      <c r="B40" s="121"/>
      <c r="C40" s="1239"/>
      <c r="D40" s="1239"/>
      <c r="E40" s="53"/>
      <c r="F40" s="122"/>
      <c r="G40" s="123"/>
      <c r="I40" s="384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385"/>
      <c r="V40" s="386"/>
    </row>
    <row r="41" spans="3:8" ht="22.5" customHeight="1">
      <c r="C41" s="104"/>
      <c r="D41" s="104"/>
      <c r="E41" s="105"/>
      <c r="F41" s="105"/>
      <c r="H41" s="97" t="s">
        <v>154</v>
      </c>
    </row>
    <row r="42" spans="3:6" ht="12.75">
      <c r="C42" s="124" t="s">
        <v>451</v>
      </c>
      <c r="D42" s="104"/>
      <c r="E42" s="105"/>
      <c r="F42" s="95" t="s">
        <v>447</v>
      </c>
    </row>
    <row r="43" spans="3:6" ht="12.75">
      <c r="C43" s="125" t="s">
        <v>452</v>
      </c>
      <c r="D43" s="104"/>
      <c r="E43" s="105"/>
      <c r="F43" s="105"/>
    </row>
    <row r="44" spans="3:6" ht="12.75">
      <c r="C44" s="125" t="s">
        <v>453</v>
      </c>
      <c r="D44" s="104"/>
      <c r="E44" s="105"/>
      <c r="F44" s="105"/>
    </row>
    <row r="45" spans="3:6" ht="12.75">
      <c r="C45" s="125" t="s">
        <v>454</v>
      </c>
      <c r="D45" s="104"/>
      <c r="E45" s="105"/>
      <c r="F45" s="105"/>
    </row>
    <row r="46" spans="3:6" ht="12.75">
      <c r="C46" s="125" t="s">
        <v>455</v>
      </c>
      <c r="D46" s="104"/>
      <c r="E46" s="105"/>
      <c r="F46" s="105"/>
    </row>
    <row r="47" spans="3:6" ht="22.5" customHeight="1">
      <c r="C47" s="104"/>
      <c r="D47" s="104"/>
      <c r="E47" s="105"/>
      <c r="F47" s="105"/>
    </row>
    <row r="48" spans="3:6" ht="22.5" customHeight="1">
      <c r="C48" s="104"/>
      <c r="D48" s="104"/>
      <c r="E48" s="105"/>
      <c r="F48" s="105"/>
    </row>
    <row r="49" spans="3:6" ht="22.5" customHeight="1">
      <c r="C49" s="104"/>
      <c r="D49" s="104"/>
      <c r="E49" s="105"/>
      <c r="F49" s="105"/>
    </row>
    <row r="50" spans="3:6" ht="22.5" customHeight="1">
      <c r="C50" s="104"/>
      <c r="D50" s="104"/>
      <c r="E50" s="105"/>
      <c r="F50" s="105"/>
    </row>
    <row r="51" spans="5:6" ht="22.5" customHeight="1">
      <c r="E51" s="105"/>
      <c r="F51" s="105"/>
    </row>
  </sheetData>
  <sheetProtection password="C494"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68"/>
  <ignoredErrors>
    <ignoredError sqref="F16:F33" evalError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75"/>
  <sheetViews>
    <sheetView tabSelected="1" zoomScalePageLayoutView="0" workbookViewId="0" topLeftCell="B53">
      <selection activeCell="E57" sqref="E57"/>
    </sheetView>
  </sheetViews>
  <sheetFormatPr defaultColWidth="10.6640625" defaultRowHeight="22.5" customHeight="1"/>
  <cols>
    <col min="1" max="1" width="4.3359375" style="97" bestFit="1" customWidth="1"/>
    <col min="2" max="2" width="3.3359375" style="97" customWidth="1"/>
    <col min="3" max="3" width="13.3359375" style="97" customWidth="1"/>
    <col min="4" max="4" width="67.99609375" style="97" customWidth="1"/>
    <col min="5" max="5" width="16.6640625" style="98" customWidth="1"/>
    <col min="6" max="6" width="3.3359375" style="97" customWidth="1"/>
    <col min="7" max="16384" width="10.6640625" style="97" customWidth="1"/>
  </cols>
  <sheetData>
    <row r="2" ht="22.5" customHeight="1">
      <c r="D2" s="208" t="s">
        <v>753</v>
      </c>
    </row>
    <row r="3" ht="22.5" customHeight="1">
      <c r="D3" s="208" t="s">
        <v>754</v>
      </c>
    </row>
    <row r="4" ht="22.5" customHeight="1" thickBot="1">
      <c r="A4" s="97" t="s">
        <v>153</v>
      </c>
    </row>
    <row r="5" spans="2:6" ht="9" customHeight="1">
      <c r="B5" s="99"/>
      <c r="C5" s="100"/>
      <c r="D5" s="100"/>
      <c r="E5" s="101"/>
      <c r="F5" s="102"/>
    </row>
    <row r="6" spans="2:6" ht="30" customHeight="1">
      <c r="B6" s="103"/>
      <c r="C6" s="67" t="s">
        <v>379</v>
      </c>
      <c r="D6" s="104"/>
      <c r="E6" s="1226">
        <f>ejercicio</f>
        <v>2019</v>
      </c>
      <c r="F6" s="106"/>
    </row>
    <row r="7" spans="2:6" ht="30" customHeight="1">
      <c r="B7" s="103"/>
      <c r="C7" s="67" t="s">
        <v>380</v>
      </c>
      <c r="D7" s="104"/>
      <c r="E7" s="1226"/>
      <c r="F7" s="106"/>
    </row>
    <row r="8" spans="2:6" ht="30" customHeight="1">
      <c r="B8" s="103"/>
      <c r="C8" s="107"/>
      <c r="D8" s="104"/>
      <c r="E8" s="108"/>
      <c r="F8" s="106"/>
    </row>
    <row r="9" spans="2:6" s="183" customFormat="1" ht="30" customHeight="1">
      <c r="B9" s="181"/>
      <c r="C9" s="40" t="s">
        <v>381</v>
      </c>
      <c r="D9" s="1240" t="str">
        <f>Entidad</f>
        <v>INSTITUTO TECNOLOGICO Y DE ENERGIAS RENOVABLES S.A.</v>
      </c>
      <c r="E9" s="1240"/>
      <c r="F9" s="182"/>
    </row>
    <row r="10" spans="2:6" ht="6.75" customHeight="1">
      <c r="B10" s="103"/>
      <c r="C10" s="104"/>
      <c r="D10" s="104"/>
      <c r="E10" s="105"/>
      <c r="F10" s="106"/>
    </row>
    <row r="11" spans="2:6" s="115" customFormat="1" ht="30" customHeight="1">
      <c r="B11" s="111"/>
      <c r="C11" s="112" t="s">
        <v>993</v>
      </c>
      <c r="D11" s="112"/>
      <c r="E11" s="113"/>
      <c r="F11" s="114"/>
    </row>
    <row r="12" spans="2:6" s="115" customFormat="1" ht="30" customHeight="1">
      <c r="B12" s="111"/>
      <c r="C12" s="1309"/>
      <c r="D12" s="1309"/>
      <c r="E12" s="96"/>
      <c r="F12" s="114"/>
    </row>
    <row r="13" spans="2:6" ht="9" customHeight="1">
      <c r="B13" s="117"/>
      <c r="C13" s="150"/>
      <c r="D13" s="150"/>
      <c r="E13" s="96"/>
      <c r="F13" s="106"/>
    </row>
    <row r="14" spans="2:6" s="245" customFormat="1" ht="24" customHeight="1">
      <c r="B14" s="242"/>
      <c r="C14" s="1299" t="s">
        <v>1008</v>
      </c>
      <c r="D14" s="1301"/>
      <c r="E14" s="261" t="s">
        <v>854</v>
      </c>
      <c r="F14" s="244"/>
    </row>
    <row r="15" spans="2:6" ht="9" customHeight="1">
      <c r="B15" s="117"/>
      <c r="C15" s="66"/>
      <c r="D15" s="150"/>
      <c r="E15" s="96"/>
      <c r="F15" s="106"/>
    </row>
    <row r="16" spans="2:6" s="183" customFormat="1" ht="22.5" customHeight="1">
      <c r="B16" s="181"/>
      <c r="C16" s="283" t="s">
        <v>563</v>
      </c>
      <c r="D16" s="223" t="s">
        <v>994</v>
      </c>
      <c r="E16" s="168">
        <f>'_FC-90_DETALLE'!H16</f>
        <v>0</v>
      </c>
      <c r="F16" s="182"/>
    </row>
    <row r="17" spans="2:6" s="183" customFormat="1" ht="22.5" customHeight="1">
      <c r="B17" s="181"/>
      <c r="C17" s="187" t="s">
        <v>573</v>
      </c>
      <c r="D17" s="258" t="s">
        <v>995</v>
      </c>
      <c r="E17" s="188">
        <f>'_FC-90_DETALLE'!H17</f>
        <v>0</v>
      </c>
      <c r="F17" s="182"/>
    </row>
    <row r="18" spans="2:6" s="183" customFormat="1" ht="22.5" customHeight="1">
      <c r="B18" s="181"/>
      <c r="C18" s="187" t="s">
        <v>578</v>
      </c>
      <c r="D18" s="258" t="s">
        <v>996</v>
      </c>
      <c r="E18" s="188">
        <f>'_FC-90_DETALLE'!H18</f>
        <v>16436900.91</v>
      </c>
      <c r="F18" s="182"/>
    </row>
    <row r="19" spans="2:6" s="183" customFormat="1" ht="22.5" customHeight="1">
      <c r="B19" s="181"/>
      <c r="C19" s="187" t="s">
        <v>582</v>
      </c>
      <c r="D19" s="258" t="s">
        <v>997</v>
      </c>
      <c r="E19" s="188">
        <f>'_FC-90_DETALLE'!H26</f>
        <v>3960321.48</v>
      </c>
      <c r="F19" s="182"/>
    </row>
    <row r="20" spans="2:6" s="183" customFormat="1" ht="22.5" customHeight="1">
      <c r="B20" s="181"/>
      <c r="C20" s="273" t="s">
        <v>590</v>
      </c>
      <c r="D20" s="259" t="s">
        <v>998</v>
      </c>
      <c r="E20" s="169">
        <f>'_FC-90_DETALLE'!H31</f>
        <v>1694338.2</v>
      </c>
      <c r="F20" s="182"/>
    </row>
    <row r="21" spans="2:6" s="183" customFormat="1" ht="22.5" customHeight="1">
      <c r="B21" s="181"/>
      <c r="C21" s="1378" t="s">
        <v>999</v>
      </c>
      <c r="D21" s="1379"/>
      <c r="E21" s="289">
        <f>SUM(E16:E20)</f>
        <v>22091560.59</v>
      </c>
      <c r="F21" s="182"/>
    </row>
    <row r="22" spans="2:6" s="183" customFormat="1" ht="9" customHeight="1">
      <c r="B22" s="181"/>
      <c r="C22" s="22"/>
      <c r="D22" s="150"/>
      <c r="E22" s="146"/>
      <c r="F22" s="182"/>
    </row>
    <row r="23" spans="2:6" s="183" customFormat="1" ht="22.5" customHeight="1">
      <c r="B23" s="181"/>
      <c r="C23" s="283" t="s">
        <v>593</v>
      </c>
      <c r="D23" s="223" t="s">
        <v>1000</v>
      </c>
      <c r="E23" s="168">
        <f>'_FC-90_DETALLE'!H41</f>
        <v>0</v>
      </c>
      <c r="F23" s="182"/>
    </row>
    <row r="24" spans="2:6" s="183" customFormat="1" ht="22.5" customHeight="1">
      <c r="B24" s="181"/>
      <c r="C24" s="187" t="s">
        <v>595</v>
      </c>
      <c r="D24" s="258" t="s">
        <v>1001</v>
      </c>
      <c r="E24" s="188">
        <f>'_FC-90_DETALLE'!H45</f>
        <v>567719.75</v>
      </c>
      <c r="F24" s="182"/>
    </row>
    <row r="25" spans="2:6" s="183" customFormat="1" ht="22.5" customHeight="1">
      <c r="B25" s="181"/>
      <c r="C25" s="1378" t="s">
        <v>1002</v>
      </c>
      <c r="D25" s="1379"/>
      <c r="E25" s="289">
        <f>SUM(E23:E24)</f>
        <v>567719.75</v>
      </c>
      <c r="F25" s="182"/>
    </row>
    <row r="26" spans="2:6" s="183" customFormat="1" ht="9" customHeight="1">
      <c r="B26" s="181"/>
      <c r="C26" s="22"/>
      <c r="D26" s="150"/>
      <c r="E26" s="146"/>
      <c r="F26" s="182"/>
    </row>
    <row r="27" spans="2:6" s="183" customFormat="1" ht="22.5" customHeight="1">
      <c r="B27" s="181"/>
      <c r="C27" s="283" t="s">
        <v>646</v>
      </c>
      <c r="D27" s="223" t="s">
        <v>1003</v>
      </c>
      <c r="E27" s="168">
        <f>'_FC-90_DETALLE'!H52</f>
        <v>2809043.38</v>
      </c>
      <c r="F27" s="182"/>
    </row>
    <row r="28" spans="2:6" s="183" customFormat="1" ht="22.5" customHeight="1">
      <c r="B28" s="181"/>
      <c r="C28" s="187" t="s">
        <v>648</v>
      </c>
      <c r="D28" s="258" t="s">
        <v>1004</v>
      </c>
      <c r="E28" s="188">
        <f>'_FC-90_DETALLE'!H59</f>
        <v>467438.62</v>
      </c>
      <c r="F28" s="182"/>
    </row>
    <row r="29" spans="2:6" s="183" customFormat="1" ht="22.5" customHeight="1">
      <c r="B29" s="181"/>
      <c r="C29" s="1378" t="s">
        <v>1005</v>
      </c>
      <c r="D29" s="1379"/>
      <c r="E29" s="289">
        <f>SUM(E27:E28)</f>
        <v>3276482</v>
      </c>
      <c r="F29" s="182"/>
    </row>
    <row r="30" spans="2:6" s="183" customFormat="1" ht="22.5" customHeight="1">
      <c r="B30" s="181"/>
      <c r="C30" s="150"/>
      <c r="D30" s="208"/>
      <c r="E30" s="210"/>
      <c r="F30" s="182"/>
    </row>
    <row r="31" spans="2:6" s="299" customFormat="1" ht="22.5" customHeight="1" thickBot="1">
      <c r="B31" s="111"/>
      <c r="C31" s="1382" t="s">
        <v>1006</v>
      </c>
      <c r="D31" s="1383"/>
      <c r="E31" s="298">
        <f>E21+E25+E29</f>
        <v>25935762.34</v>
      </c>
      <c r="F31" s="114"/>
    </row>
    <row r="32" spans="2:6" s="183" customFormat="1" ht="9" customHeight="1">
      <c r="B32" s="181"/>
      <c r="C32" s="22"/>
      <c r="D32" s="150"/>
      <c r="E32" s="146"/>
      <c r="F32" s="182"/>
    </row>
    <row r="33" spans="2:6" s="183" customFormat="1" ht="22.5" customHeight="1">
      <c r="B33" s="181"/>
      <c r="C33" s="1378" t="s">
        <v>1007</v>
      </c>
      <c r="D33" s="1379"/>
      <c r="E33" s="289">
        <f>'_FC-90_DETALLE'!H72</f>
        <v>1120225.85</v>
      </c>
      <c r="F33" s="182"/>
    </row>
    <row r="34" spans="2:6" s="183" customFormat="1" ht="9" customHeight="1">
      <c r="B34" s="181"/>
      <c r="C34" s="22"/>
      <c r="D34" s="150"/>
      <c r="E34" s="146"/>
      <c r="F34" s="182"/>
    </row>
    <row r="35" spans="2:6" s="299" customFormat="1" ht="22.5" customHeight="1" thickBot="1">
      <c r="B35" s="111"/>
      <c r="C35" s="1382" t="s">
        <v>1006</v>
      </c>
      <c r="D35" s="1383"/>
      <c r="E35" s="298">
        <f>E31+E33</f>
        <v>27055988.19</v>
      </c>
      <c r="F35" s="114"/>
    </row>
    <row r="36" spans="2:6" s="183" customFormat="1" ht="22.5" customHeight="1">
      <c r="B36" s="181"/>
      <c r="C36" s="300"/>
      <c r="D36" s="300"/>
      <c r="E36" s="301"/>
      <c r="F36" s="182"/>
    </row>
    <row r="37" spans="2:6" s="245" customFormat="1" ht="24" customHeight="1">
      <c r="B37" s="242"/>
      <c r="C37" s="1299" t="s">
        <v>1009</v>
      </c>
      <c r="D37" s="1301"/>
      <c r="E37" s="261" t="s">
        <v>854</v>
      </c>
      <c r="F37" s="244"/>
    </row>
    <row r="38" spans="2:6" ht="9" customHeight="1">
      <c r="B38" s="117"/>
      <c r="C38" s="66"/>
      <c r="D38" s="150"/>
      <c r="E38" s="96"/>
      <c r="F38" s="106"/>
    </row>
    <row r="39" spans="2:6" s="183" customFormat="1" ht="22.5" customHeight="1">
      <c r="B39" s="181"/>
      <c r="C39" s="283" t="s">
        <v>563</v>
      </c>
      <c r="D39" s="223" t="s">
        <v>1010</v>
      </c>
      <c r="E39" s="168">
        <f>'_FC-90_DETALLE'!H87</f>
        <v>6625812.960000001</v>
      </c>
      <c r="F39" s="182"/>
    </row>
    <row r="40" spans="2:6" s="183" customFormat="1" ht="22.5" customHeight="1">
      <c r="B40" s="181"/>
      <c r="C40" s="187" t="s">
        <v>573</v>
      </c>
      <c r="D40" s="258" t="s">
        <v>1011</v>
      </c>
      <c r="E40" s="188">
        <f>'_FC-90_DETALLE'!H92</f>
        <v>7721128.339999999</v>
      </c>
      <c r="F40" s="182"/>
    </row>
    <row r="41" spans="2:6" s="183" customFormat="1" ht="22.5" customHeight="1">
      <c r="B41" s="181"/>
      <c r="C41" s="187" t="s">
        <v>578</v>
      </c>
      <c r="D41" s="258" t="s">
        <v>769</v>
      </c>
      <c r="E41" s="188">
        <f>'_FC-90_DETALLE'!H105</f>
        <v>355917.96</v>
      </c>
      <c r="F41" s="182"/>
    </row>
    <row r="42" spans="2:6" s="183" customFormat="1" ht="22.5" customHeight="1">
      <c r="B42" s="181"/>
      <c r="C42" s="187" t="s">
        <v>582</v>
      </c>
      <c r="D42" s="258" t="s">
        <v>1012</v>
      </c>
      <c r="E42" s="188">
        <f>'_FC-90_DETALLE'!H111</f>
        <v>0</v>
      </c>
      <c r="F42" s="182"/>
    </row>
    <row r="43" spans="2:6" s="183" customFormat="1" ht="22.5" customHeight="1">
      <c r="B43" s="181"/>
      <c r="C43" s="1378" t="s">
        <v>1013</v>
      </c>
      <c r="D43" s="1379"/>
      <c r="E43" s="289">
        <f>SUM(E39:E42)</f>
        <v>14702859.260000002</v>
      </c>
      <c r="F43" s="182"/>
    </row>
    <row r="44" spans="2:6" s="183" customFormat="1" ht="9" customHeight="1">
      <c r="B44" s="181"/>
      <c r="C44" s="22"/>
      <c r="D44" s="150"/>
      <c r="E44" s="146"/>
      <c r="F44" s="182"/>
    </row>
    <row r="45" spans="2:6" s="183" customFormat="1" ht="22.5" customHeight="1">
      <c r="B45" s="181"/>
      <c r="C45" s="283" t="s">
        <v>593</v>
      </c>
      <c r="D45" s="223" t="s">
        <v>1014</v>
      </c>
      <c r="E45" s="168">
        <f>'_FC-90_DETALLE'!H117</f>
        <v>4682378.49</v>
      </c>
      <c r="F45" s="182"/>
    </row>
    <row r="46" spans="2:6" s="183" customFormat="1" ht="22.5" customHeight="1">
      <c r="B46" s="181"/>
      <c r="C46" s="187" t="s">
        <v>595</v>
      </c>
      <c r="D46" s="258" t="s">
        <v>1001</v>
      </c>
      <c r="E46" s="188">
        <f>'_FC-90_DETALLE'!H122</f>
        <v>0</v>
      </c>
      <c r="F46" s="182"/>
    </row>
    <row r="47" spans="2:6" s="183" customFormat="1" ht="22.5" customHeight="1">
      <c r="B47" s="181"/>
      <c r="C47" s="1378" t="s">
        <v>1015</v>
      </c>
      <c r="D47" s="1379"/>
      <c r="E47" s="289">
        <f>SUM(E45:E46)</f>
        <v>4682378.49</v>
      </c>
      <c r="F47" s="182"/>
    </row>
    <row r="48" spans="2:6" s="183" customFormat="1" ht="9" customHeight="1">
      <c r="B48" s="181"/>
      <c r="C48" s="22"/>
      <c r="D48" s="150"/>
      <c r="E48" s="146"/>
      <c r="F48" s="182"/>
    </row>
    <row r="49" spans="2:6" s="183" customFormat="1" ht="22.5" customHeight="1">
      <c r="B49" s="181"/>
      <c r="C49" s="283" t="s">
        <v>646</v>
      </c>
      <c r="D49" s="223" t="s">
        <v>1003</v>
      </c>
      <c r="E49" s="168">
        <f>'_FC-90_DETALLE'!H128</f>
        <v>420088.2</v>
      </c>
      <c r="F49" s="182"/>
    </row>
    <row r="50" spans="2:6" s="183" customFormat="1" ht="22.5" customHeight="1">
      <c r="B50" s="181"/>
      <c r="C50" s="187" t="s">
        <v>648</v>
      </c>
      <c r="D50" s="258" t="s">
        <v>1004</v>
      </c>
      <c r="E50" s="188">
        <f>'_FC-90_DETALLE'!H135</f>
        <v>4397572.45</v>
      </c>
      <c r="F50" s="182"/>
    </row>
    <row r="51" spans="2:6" s="183" customFormat="1" ht="22.5" customHeight="1">
      <c r="B51" s="181"/>
      <c r="C51" s="1378" t="s">
        <v>1016</v>
      </c>
      <c r="D51" s="1379"/>
      <c r="E51" s="289">
        <f>SUM(E49:E50)</f>
        <v>4817660.65</v>
      </c>
      <c r="F51" s="182"/>
    </row>
    <row r="52" spans="2:6" s="183" customFormat="1" ht="9" customHeight="1">
      <c r="B52" s="181"/>
      <c r="C52" s="150"/>
      <c r="D52" s="208"/>
      <c r="E52" s="210"/>
      <c r="F52" s="182"/>
    </row>
    <row r="53" spans="2:6" s="299" customFormat="1" ht="22.5" customHeight="1" thickBot="1">
      <c r="B53" s="111"/>
      <c r="C53" s="1382" t="s">
        <v>1017</v>
      </c>
      <c r="D53" s="1383"/>
      <c r="E53" s="298">
        <f>E43+E47+E51</f>
        <v>24202898.4</v>
      </c>
      <c r="F53" s="114"/>
    </row>
    <row r="54" spans="2:6" s="183" customFormat="1" ht="9" customHeight="1">
      <c r="B54" s="181"/>
      <c r="C54" s="22"/>
      <c r="D54" s="150"/>
      <c r="E54" s="146"/>
      <c r="F54" s="182"/>
    </row>
    <row r="55" spans="2:6" s="183" customFormat="1" ht="24" customHeight="1">
      <c r="B55" s="181"/>
      <c r="C55" s="1378" t="s">
        <v>1018</v>
      </c>
      <c r="D55" s="1379"/>
      <c r="E55" s="289">
        <f>'_FC-90_DETALLE'!H151</f>
        <v>6300978.45</v>
      </c>
      <c r="F55" s="182"/>
    </row>
    <row r="56" spans="2:6" s="183" customFormat="1" ht="9" customHeight="1">
      <c r="B56" s="181"/>
      <c r="C56" s="22"/>
      <c r="D56" s="150"/>
      <c r="E56" s="146"/>
      <c r="F56" s="182"/>
    </row>
    <row r="57" spans="2:6" s="183" customFormat="1" ht="24" customHeight="1" thickBot="1">
      <c r="B57" s="181"/>
      <c r="C57" s="1382" t="s">
        <v>1017</v>
      </c>
      <c r="D57" s="1383"/>
      <c r="E57" s="298">
        <f>E53+E55</f>
        <v>30503876.849999998</v>
      </c>
      <c r="F57" s="182"/>
    </row>
    <row r="58" spans="2:6" s="183" customFormat="1" ht="24" customHeight="1">
      <c r="B58" s="181"/>
      <c r="C58" s="22"/>
      <c r="D58" s="150"/>
      <c r="E58" s="146"/>
      <c r="F58" s="182"/>
    </row>
    <row r="59" spans="2:6" s="183" customFormat="1" ht="24" customHeight="1" thickBot="1">
      <c r="B59" s="181"/>
      <c r="C59" s="1182" t="s">
        <v>220</v>
      </c>
      <c r="D59" s="1183"/>
      <c r="E59" s="1184">
        <f>E35-E57</f>
        <v>-3447888.6599999964</v>
      </c>
      <c r="F59" s="182"/>
    </row>
    <row r="60" spans="2:6" s="183" customFormat="1" ht="24" customHeight="1" thickTop="1">
      <c r="B60" s="181"/>
      <c r="C60" s="22"/>
      <c r="D60" s="150"/>
      <c r="E60" s="146"/>
      <c r="F60" s="182"/>
    </row>
    <row r="61" spans="2:6" s="183" customFormat="1" ht="24" customHeight="1" thickBot="1">
      <c r="B61" s="181"/>
      <c r="C61" s="1182" t="s">
        <v>221</v>
      </c>
      <c r="D61" s="1183"/>
      <c r="E61" s="1184">
        <f>'_FC-90_DETALLE'!H168</f>
        <v>3447888.6600000015</v>
      </c>
      <c r="F61" s="182"/>
    </row>
    <row r="62" spans="2:6" s="183" customFormat="1" ht="24" customHeight="1" thickTop="1">
      <c r="B62" s="181"/>
      <c r="C62" s="22"/>
      <c r="D62" s="150"/>
      <c r="E62" s="146"/>
      <c r="F62" s="182"/>
    </row>
    <row r="63" spans="2:6" s="183" customFormat="1" ht="24" customHeight="1" thickBot="1">
      <c r="B63" s="181"/>
      <c r="C63" s="1182" t="s">
        <v>222</v>
      </c>
      <c r="D63" s="1183"/>
      <c r="E63" s="1184">
        <f>+E59+E61</f>
        <v>5.122274160385132E-09</v>
      </c>
      <c r="F63" s="182"/>
    </row>
    <row r="64" spans="2:8" ht="22.5" customHeight="1" thickBot="1" thickTop="1">
      <c r="B64" s="121"/>
      <c r="C64" s="1239"/>
      <c r="D64" s="1239"/>
      <c r="E64" s="122"/>
      <c r="F64" s="123"/>
      <c r="H64" s="183"/>
    </row>
    <row r="65" spans="3:7" ht="22.5" customHeight="1">
      <c r="C65" s="104"/>
      <c r="D65" s="104"/>
      <c r="E65" s="105"/>
      <c r="G65" s="97" t="s">
        <v>154</v>
      </c>
    </row>
    <row r="66" spans="3:5" ht="12.75">
      <c r="C66" s="124" t="s">
        <v>451</v>
      </c>
      <c r="D66" s="104"/>
      <c r="E66" s="95" t="s">
        <v>447</v>
      </c>
    </row>
    <row r="67" spans="3:5" ht="12.75">
      <c r="C67" s="125" t="s">
        <v>452</v>
      </c>
      <c r="D67" s="104"/>
      <c r="E67" s="105"/>
    </row>
    <row r="68" spans="3:5" ht="12.75">
      <c r="C68" s="125" t="s">
        <v>453</v>
      </c>
      <c r="D68" s="104"/>
      <c r="E68" s="105"/>
    </row>
    <row r="69" spans="3:5" ht="12.75">
      <c r="C69" s="125" t="s">
        <v>454</v>
      </c>
      <c r="D69" s="104"/>
      <c r="E69" s="105"/>
    </row>
    <row r="70" spans="3:5" ht="12.75">
      <c r="C70" s="125" t="s">
        <v>455</v>
      </c>
      <c r="D70" s="104"/>
      <c r="E70" s="105"/>
    </row>
    <row r="71" spans="3:5" ht="22.5" customHeight="1">
      <c r="C71" s="104"/>
      <c r="D71" s="104"/>
      <c r="E71" s="105"/>
    </row>
    <row r="72" spans="3:5" ht="22.5" customHeight="1">
      <c r="C72" s="104"/>
      <c r="D72" s="104"/>
      <c r="E72" s="105"/>
    </row>
    <row r="73" spans="3:5" ht="22.5" customHeight="1">
      <c r="C73" s="104"/>
      <c r="D73" s="104"/>
      <c r="E73" s="105"/>
    </row>
    <row r="74" spans="3:5" ht="22.5" customHeight="1">
      <c r="C74" s="104"/>
      <c r="D74" s="104"/>
      <c r="E74" s="105"/>
    </row>
    <row r="75" ht="22.5" customHeight="1">
      <c r="E75" s="105"/>
    </row>
  </sheetData>
  <sheetProtection password="C494" sheet="1" objects="1" scenarios="1"/>
  <mergeCells count="18">
    <mergeCell ref="C25:D25"/>
    <mergeCell ref="E6:E7"/>
    <mergeCell ref="D9:E9"/>
    <mergeCell ref="C12:D12"/>
    <mergeCell ref="C14:D14"/>
    <mergeCell ref="C21:D21"/>
    <mergeCell ref="C29:D29"/>
    <mergeCell ref="C31:D31"/>
    <mergeCell ref="C37:D37"/>
    <mergeCell ref="C43:D43"/>
    <mergeCell ref="C33:D33"/>
    <mergeCell ref="C35:D35"/>
    <mergeCell ref="C47:D47"/>
    <mergeCell ref="C51:D51"/>
    <mergeCell ref="C53:D53"/>
    <mergeCell ref="C64:D64"/>
    <mergeCell ref="C55:D55"/>
    <mergeCell ref="C57:D57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5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B2:M223"/>
  <sheetViews>
    <sheetView zoomScalePageLayoutView="0" workbookViewId="0" topLeftCell="A1">
      <pane xSplit="4" ySplit="14" topLeftCell="F1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A115" sqref="A115:IV115"/>
    </sheetView>
  </sheetViews>
  <sheetFormatPr defaultColWidth="10.6640625" defaultRowHeight="22.5" customHeight="1"/>
  <cols>
    <col min="1" max="2" width="3.3359375" style="555" customWidth="1"/>
    <col min="3" max="3" width="13.3359375" style="555" customWidth="1"/>
    <col min="4" max="4" width="88.3359375" style="555" customWidth="1"/>
    <col min="5" max="7" width="21.6640625" style="970" customWidth="1"/>
    <col min="8" max="8" width="21.6640625" style="555" customWidth="1"/>
    <col min="9" max="9" width="3.3359375" style="555" customWidth="1"/>
    <col min="10" max="10" width="9.99609375" style="555" customWidth="1"/>
    <col min="11" max="11" width="61.99609375" style="555" customWidth="1"/>
    <col min="12" max="16384" width="10.6640625" style="555" customWidth="1"/>
  </cols>
  <sheetData>
    <row r="1" ht="33" customHeight="1"/>
    <row r="2" spans="4:7" ht="28.5" customHeight="1">
      <c r="D2" s="971" t="s">
        <v>753</v>
      </c>
      <c r="E2" s="972"/>
      <c r="F2" s="972"/>
      <c r="G2" s="972"/>
    </row>
    <row r="3" spans="4:7" ht="28.5" customHeight="1">
      <c r="D3" s="971" t="s">
        <v>754</v>
      </c>
      <c r="E3" s="972"/>
      <c r="F3" s="972"/>
      <c r="G3" s="972"/>
    </row>
    <row r="4" ht="18" customHeight="1" thickBot="1"/>
    <row r="5" spans="2:9" ht="12.75">
      <c r="B5" s="973"/>
      <c r="C5" s="558"/>
      <c r="D5" s="558"/>
      <c r="E5" s="974"/>
      <c r="F5" s="974"/>
      <c r="G5" s="974"/>
      <c r="H5" s="558"/>
      <c r="I5" s="975"/>
    </row>
    <row r="6" spans="2:9" ht="15">
      <c r="B6" s="976"/>
      <c r="C6" s="977" t="s">
        <v>379</v>
      </c>
      <c r="D6" s="563"/>
      <c r="E6" s="978"/>
      <c r="F6" s="978"/>
      <c r="G6" s="978"/>
      <c r="H6" s="1402">
        <f>ejercicio</f>
        <v>2019</v>
      </c>
      <c r="I6" s="979"/>
    </row>
    <row r="7" spans="2:9" ht="15">
      <c r="B7" s="976"/>
      <c r="C7" s="977" t="s">
        <v>380</v>
      </c>
      <c r="D7" s="563"/>
      <c r="E7" s="978"/>
      <c r="F7" s="978"/>
      <c r="G7" s="978"/>
      <c r="H7" s="1402"/>
      <c r="I7" s="979"/>
    </row>
    <row r="8" spans="2:9" ht="12.75">
      <c r="B8" s="976"/>
      <c r="C8" s="980"/>
      <c r="D8" s="563"/>
      <c r="E8" s="978"/>
      <c r="F8" s="978"/>
      <c r="G8" s="978"/>
      <c r="H8" s="956"/>
      <c r="I8" s="979"/>
    </row>
    <row r="9" spans="2:9" s="984" customFormat="1" ht="21.75" customHeight="1">
      <c r="B9" s="981"/>
      <c r="C9" s="982" t="s">
        <v>381</v>
      </c>
      <c r="D9" s="1403" t="str">
        <f>Entidad</f>
        <v>INSTITUTO TECNOLOGICO Y DE ENERGIAS RENOVABLES S.A.</v>
      </c>
      <c r="E9" s="1403"/>
      <c r="F9" s="1403"/>
      <c r="G9" s="1403"/>
      <c r="H9" s="1403"/>
      <c r="I9" s="983"/>
    </row>
    <row r="10" spans="2:9" ht="12.75">
      <c r="B10" s="976"/>
      <c r="C10" s="563"/>
      <c r="D10" s="563"/>
      <c r="E10" s="978"/>
      <c r="F10" s="978"/>
      <c r="G10" s="978"/>
      <c r="H10" s="563"/>
      <c r="I10" s="979"/>
    </row>
    <row r="11" spans="2:9" s="988" customFormat="1" ht="27" customHeight="1">
      <c r="B11" s="985"/>
      <c r="C11" s="572" t="s">
        <v>993</v>
      </c>
      <c r="D11" s="572"/>
      <c r="E11" s="986"/>
      <c r="F11" s="986"/>
      <c r="G11" s="986"/>
      <c r="H11" s="572"/>
      <c r="I11" s="987"/>
    </row>
    <row r="12" spans="2:9" s="988" customFormat="1" ht="17.25">
      <c r="B12" s="985"/>
      <c r="C12" s="1404"/>
      <c r="D12" s="1404"/>
      <c r="E12" s="972"/>
      <c r="F12" s="972"/>
      <c r="G12" s="972"/>
      <c r="H12" s="574"/>
      <c r="I12" s="987"/>
    </row>
    <row r="13" spans="2:9" ht="17.25">
      <c r="B13" s="989"/>
      <c r="C13" s="990"/>
      <c r="D13" s="990"/>
      <c r="E13" s="972"/>
      <c r="F13" s="972"/>
      <c r="G13" s="972"/>
      <c r="H13" s="574"/>
      <c r="I13" s="979"/>
    </row>
    <row r="14" spans="2:11" s="994" customFormat="1" ht="22.5">
      <c r="B14" s="991"/>
      <c r="C14" s="1400" t="s">
        <v>1008</v>
      </c>
      <c r="D14" s="1401"/>
      <c r="E14" s="992" t="s">
        <v>38</v>
      </c>
      <c r="F14" s="992" t="s">
        <v>39</v>
      </c>
      <c r="G14" s="992" t="s">
        <v>117</v>
      </c>
      <c r="H14" s="587" t="s">
        <v>115</v>
      </c>
      <c r="I14" s="993"/>
      <c r="K14" s="587" t="s">
        <v>118</v>
      </c>
    </row>
    <row r="15" spans="2:9" ht="17.25">
      <c r="B15" s="989"/>
      <c r="C15" s="995"/>
      <c r="D15" s="990"/>
      <c r="E15" s="972"/>
      <c r="F15" s="972"/>
      <c r="G15" s="972"/>
      <c r="H15" s="574"/>
      <c r="I15" s="979"/>
    </row>
    <row r="16" spans="2:11" s="1002" customFormat="1" ht="17.25">
      <c r="B16" s="996"/>
      <c r="C16" s="997" t="s">
        <v>563</v>
      </c>
      <c r="D16" s="998" t="s">
        <v>994</v>
      </c>
      <c r="E16" s="999">
        <v>0</v>
      </c>
      <c r="F16" s="999">
        <v>0</v>
      </c>
      <c r="G16" s="999">
        <v>0</v>
      </c>
      <c r="H16" s="1000">
        <f>SUM(E16:G16)</f>
        <v>0</v>
      </c>
      <c r="I16" s="1001"/>
      <c r="K16" s="1124"/>
    </row>
    <row r="17" spans="2:11" s="1002" customFormat="1" ht="17.25">
      <c r="B17" s="996"/>
      <c r="C17" s="997" t="s">
        <v>573</v>
      </c>
      <c r="D17" s="998" t="s">
        <v>995</v>
      </c>
      <c r="E17" s="999">
        <v>0</v>
      </c>
      <c r="F17" s="999">
        <v>0</v>
      </c>
      <c r="G17" s="999">
        <v>0</v>
      </c>
      <c r="H17" s="1000">
        <f>SUM(E17:G17)</f>
        <v>0</v>
      </c>
      <c r="I17" s="1001"/>
      <c r="K17" s="1124"/>
    </row>
    <row r="18" spans="2:11" s="1002" customFormat="1" ht="17.25">
      <c r="B18" s="996"/>
      <c r="C18" s="997" t="s">
        <v>578</v>
      </c>
      <c r="D18" s="998" t="s">
        <v>996</v>
      </c>
      <c r="E18" s="999">
        <f>SUM(E19:E25)</f>
        <v>16436900.91</v>
      </c>
      <c r="F18" s="999">
        <f>SUM(F19:F25)</f>
        <v>0</v>
      </c>
      <c r="G18" s="999">
        <f>SUM(G19:G25)</f>
        <v>0</v>
      </c>
      <c r="H18" s="999">
        <f>SUM(H19:H25)</f>
        <v>16436900.91</v>
      </c>
      <c r="I18" s="1001"/>
      <c r="K18" s="1124"/>
    </row>
    <row r="19" spans="2:11" s="1009" customFormat="1" ht="17.25" hidden="1">
      <c r="B19" s="989"/>
      <c r="C19" s="1003" t="s">
        <v>420</v>
      </c>
      <c r="D19" s="1004" t="s">
        <v>40</v>
      </c>
      <c r="E19" s="1005">
        <f>'FC-3_CPyG'!G16</f>
        <v>16436900.91</v>
      </c>
      <c r="F19" s="1006"/>
      <c r="G19" s="1110"/>
      <c r="H19" s="1007">
        <f aca="true" t="shared" si="0" ref="H19:H25">SUM(E19:G19)</f>
        <v>16436900.91</v>
      </c>
      <c r="I19" s="1008"/>
      <c r="K19" s="1124"/>
    </row>
    <row r="20" spans="2:11" s="1009" customFormat="1" ht="17.25" hidden="1">
      <c r="B20" s="989"/>
      <c r="C20" s="1003" t="s">
        <v>426</v>
      </c>
      <c r="D20" s="1004" t="s">
        <v>41</v>
      </c>
      <c r="E20" s="1005">
        <f>'FC-3_1_INF_ADIC_CPyG'!G79</f>
        <v>0</v>
      </c>
      <c r="F20" s="1006"/>
      <c r="G20" s="1110"/>
      <c r="H20" s="1007">
        <f t="shared" si="0"/>
        <v>0</v>
      </c>
      <c r="I20" s="1008"/>
      <c r="K20" s="1124"/>
    </row>
    <row r="21" spans="2:11" s="1009" customFormat="1" ht="17.25" hidden="1">
      <c r="B21" s="989"/>
      <c r="C21" s="1003" t="s">
        <v>426</v>
      </c>
      <c r="D21" s="1004" t="s">
        <v>42</v>
      </c>
      <c r="E21" s="1005">
        <f>'FC-3_1_INF_ADIC_CPyG'!G81</f>
        <v>0</v>
      </c>
      <c r="F21" s="1006"/>
      <c r="G21" s="1110"/>
      <c r="H21" s="1007">
        <f t="shared" si="0"/>
        <v>0</v>
      </c>
      <c r="I21" s="1008"/>
      <c r="K21" s="1124"/>
    </row>
    <row r="22" spans="2:12" s="1009" customFormat="1" ht="17.25" hidden="1">
      <c r="B22" s="989"/>
      <c r="C22" s="1003" t="s">
        <v>426</v>
      </c>
      <c r="D22" s="1004" t="s">
        <v>43</v>
      </c>
      <c r="E22" s="1005">
        <f>'FC-3_1_INF_ADIC_CPyG'!G54</f>
        <v>0</v>
      </c>
      <c r="F22" s="1006"/>
      <c r="G22" s="1110"/>
      <c r="H22" s="1007">
        <f t="shared" si="0"/>
        <v>0</v>
      </c>
      <c r="I22" s="1008"/>
      <c r="K22" s="1124"/>
      <c r="L22" s="1010"/>
    </row>
    <row r="23" spans="2:12" s="1009" customFormat="1" ht="17.25" hidden="1">
      <c r="B23" s="989"/>
      <c r="C23" s="1003"/>
      <c r="D23" s="1004" t="s">
        <v>44</v>
      </c>
      <c r="E23" s="1006"/>
      <c r="F23" s="1006"/>
      <c r="G23" s="1110"/>
      <c r="H23" s="1007">
        <f t="shared" si="0"/>
        <v>0</v>
      </c>
      <c r="I23" s="1008"/>
      <c r="K23" s="1124"/>
      <c r="L23" s="1010" t="s">
        <v>171</v>
      </c>
    </row>
    <row r="24" spans="2:12" s="1009" customFormat="1" ht="17.25" hidden="1">
      <c r="B24" s="989"/>
      <c r="C24" s="1119"/>
      <c r="D24" s="1128"/>
      <c r="E24" s="1006"/>
      <c r="F24" s="1006"/>
      <c r="G24" s="1110"/>
      <c r="H24" s="1007">
        <f t="shared" si="0"/>
        <v>0</v>
      </c>
      <c r="I24" s="1008"/>
      <c r="K24" s="1124"/>
      <c r="L24" s="1010"/>
    </row>
    <row r="25" spans="2:12" s="1009" customFormat="1" ht="17.25" hidden="1">
      <c r="B25" s="989"/>
      <c r="C25" s="1119"/>
      <c r="D25" s="1128"/>
      <c r="E25" s="1006"/>
      <c r="F25" s="1006"/>
      <c r="G25" s="1110"/>
      <c r="H25" s="1007">
        <f t="shared" si="0"/>
        <v>0</v>
      </c>
      <c r="I25" s="1008"/>
      <c r="K25" s="1124"/>
      <c r="L25" s="1010"/>
    </row>
    <row r="26" spans="2:11" s="1002" customFormat="1" ht="17.25">
      <c r="B26" s="996"/>
      <c r="C26" s="997" t="s">
        <v>582</v>
      </c>
      <c r="D26" s="998" t="s">
        <v>997</v>
      </c>
      <c r="E26" s="999">
        <f>SUM(E27:E30)</f>
        <v>3960321.48</v>
      </c>
      <c r="F26" s="999">
        <f>SUM(F27:F30)</f>
        <v>0</v>
      </c>
      <c r="G26" s="999">
        <f>SUM(G27:G30)</f>
        <v>0</v>
      </c>
      <c r="H26" s="999">
        <f>SUM(H27:H30)</f>
        <v>3960321.48</v>
      </c>
      <c r="I26" s="1001"/>
      <c r="K26" s="1124"/>
    </row>
    <row r="27" spans="2:11" s="1009" customFormat="1" ht="17.25" hidden="1">
      <c r="B27" s="989"/>
      <c r="C27" s="1003" t="s">
        <v>420</v>
      </c>
      <c r="D27" s="1004" t="s">
        <v>45</v>
      </c>
      <c r="E27" s="1005">
        <f>'FC-3_CPyG'!G29</f>
        <v>3960321.48</v>
      </c>
      <c r="F27" s="1006"/>
      <c r="G27" s="1110"/>
      <c r="H27" s="1007">
        <f>SUM(E27:G27)</f>
        <v>3960321.48</v>
      </c>
      <c r="I27" s="1008"/>
      <c r="K27" s="1124"/>
    </row>
    <row r="28" spans="2:12" s="1009" customFormat="1" ht="17.25" hidden="1">
      <c r="B28" s="989"/>
      <c r="C28" s="1003" t="s">
        <v>433</v>
      </c>
      <c r="D28" s="1022" t="s">
        <v>46</v>
      </c>
      <c r="E28" s="1006"/>
      <c r="F28" s="1023">
        <f>'FC-9_TRANS_SUBV'!H89</f>
        <v>0</v>
      </c>
      <c r="G28" s="1110"/>
      <c r="H28" s="1007">
        <f>SUM(E28:G28)</f>
        <v>0</v>
      </c>
      <c r="I28" s="1008"/>
      <c r="K28" s="1124"/>
      <c r="L28" s="1010"/>
    </row>
    <row r="29" spans="2:12" s="1009" customFormat="1" ht="17.25" hidden="1">
      <c r="B29" s="989"/>
      <c r="C29" s="1119"/>
      <c r="D29" s="1128"/>
      <c r="E29" s="1006"/>
      <c r="F29" s="1006"/>
      <c r="G29" s="1110"/>
      <c r="H29" s="1007">
        <f>SUM(E29:G29)</f>
        <v>0</v>
      </c>
      <c r="I29" s="1008"/>
      <c r="K29" s="1124"/>
      <c r="L29" s="1010"/>
    </row>
    <row r="30" spans="2:11" s="1009" customFormat="1" ht="17.25" hidden="1">
      <c r="B30" s="989"/>
      <c r="C30" s="1121"/>
      <c r="D30" s="1129"/>
      <c r="E30" s="1006"/>
      <c r="F30" s="1006"/>
      <c r="G30" s="1111"/>
      <c r="H30" s="1007">
        <f>SUM(E30:G30)</f>
        <v>0</v>
      </c>
      <c r="I30" s="1008"/>
      <c r="K30" s="1124"/>
    </row>
    <row r="31" spans="2:11" s="1002" customFormat="1" ht="17.25">
      <c r="B31" s="996"/>
      <c r="C31" s="997" t="s">
        <v>590</v>
      </c>
      <c r="D31" s="998" t="s">
        <v>998</v>
      </c>
      <c r="E31" s="999">
        <f>SUM(E32:E38)</f>
        <v>1694338.2</v>
      </c>
      <c r="F31" s="999">
        <f>SUM(F32:F38)</f>
        <v>0</v>
      </c>
      <c r="G31" s="999">
        <f>SUM(G32:G38)</f>
        <v>0</v>
      </c>
      <c r="H31" s="999">
        <f>SUM(H32:H38)</f>
        <v>1694338.2</v>
      </c>
      <c r="I31" s="1001"/>
      <c r="K31" s="1124"/>
    </row>
    <row r="32" spans="2:11" s="1009" customFormat="1" ht="17.25" hidden="1">
      <c r="B32" s="989"/>
      <c r="C32" s="1011" t="s">
        <v>426</v>
      </c>
      <c r="D32" s="1012" t="s">
        <v>47</v>
      </c>
      <c r="E32" s="1013">
        <f>'FC-3_1_INF_ADIC_CPyG'!G80</f>
        <v>0</v>
      </c>
      <c r="F32" s="1006"/>
      <c r="G32" s="1112"/>
      <c r="H32" s="1007">
        <f>SUM(E32:G32)</f>
        <v>0</v>
      </c>
      <c r="I32" s="1008"/>
      <c r="K32" s="1124"/>
    </row>
    <row r="33" spans="2:11" s="1016" customFormat="1" ht="17.25" hidden="1">
      <c r="B33" s="1014"/>
      <c r="C33" s="1003" t="s">
        <v>420</v>
      </c>
      <c r="D33" s="1004" t="s">
        <v>48</v>
      </c>
      <c r="E33" s="1005">
        <f>'FC-3_CPyG'!G52</f>
        <v>1230950</v>
      </c>
      <c r="F33" s="1006"/>
      <c r="G33" s="1110"/>
      <c r="H33" s="1007">
        <f aca="true" t="shared" si="1" ref="H33:H38">SUM(E33:G33)</f>
        <v>1230950</v>
      </c>
      <c r="I33" s="1015"/>
      <c r="K33" s="1124"/>
    </row>
    <row r="34" spans="2:11" s="1016" customFormat="1" ht="17.25" hidden="1">
      <c r="B34" s="1014"/>
      <c r="C34" s="1003" t="s">
        <v>420</v>
      </c>
      <c r="D34" s="1004" t="s">
        <v>49</v>
      </c>
      <c r="E34" s="1005">
        <f>'FC-3_CPyG'!G55</f>
        <v>463388.19999999995</v>
      </c>
      <c r="F34" s="1006"/>
      <c r="G34" s="1110"/>
      <c r="H34" s="1007">
        <f t="shared" si="1"/>
        <v>463388.19999999995</v>
      </c>
      <c r="I34" s="1015"/>
      <c r="K34" s="1124"/>
    </row>
    <row r="35" spans="2:11" s="1016" customFormat="1" ht="17.25" hidden="1">
      <c r="B35" s="1014"/>
      <c r="C35" s="1003" t="s">
        <v>420</v>
      </c>
      <c r="D35" s="1004" t="s">
        <v>50</v>
      </c>
      <c r="E35" s="1005">
        <f>'FC-3_CPyG'!G72</f>
        <v>0</v>
      </c>
      <c r="F35" s="1006"/>
      <c r="G35" s="1110"/>
      <c r="H35" s="1007">
        <f t="shared" si="1"/>
        <v>0</v>
      </c>
      <c r="I35" s="1015"/>
      <c r="K35" s="1124"/>
    </row>
    <row r="36" spans="2:11" s="1016" customFormat="1" ht="17.25" hidden="1">
      <c r="B36" s="1014"/>
      <c r="C36" s="1003" t="s">
        <v>420</v>
      </c>
      <c r="D36" s="1004" t="s">
        <v>51</v>
      </c>
      <c r="E36" s="1005">
        <f>+'FC-3_CPyG'!G73</f>
        <v>0</v>
      </c>
      <c r="F36" s="1006"/>
      <c r="G36" s="1110"/>
      <c r="H36" s="1007">
        <f t="shared" si="1"/>
        <v>0</v>
      </c>
      <c r="I36" s="1015"/>
      <c r="K36" s="1124"/>
    </row>
    <row r="37" spans="2:11" s="1016" customFormat="1" ht="17.25" hidden="1">
      <c r="B37" s="1014"/>
      <c r="C37" s="1119"/>
      <c r="D37" s="1128"/>
      <c r="E37" s="1006"/>
      <c r="F37" s="1006"/>
      <c r="G37" s="1110"/>
      <c r="H37" s="1007">
        <f t="shared" si="1"/>
        <v>0</v>
      </c>
      <c r="I37" s="1015"/>
      <c r="K37" s="1124"/>
    </row>
    <row r="38" spans="2:11" s="1016" customFormat="1" ht="17.25" hidden="1">
      <c r="B38" s="1014"/>
      <c r="C38" s="1121"/>
      <c r="D38" s="1130"/>
      <c r="E38" s="1006"/>
      <c r="F38" s="1006"/>
      <c r="G38" s="1111"/>
      <c r="H38" s="1007">
        <f t="shared" si="1"/>
        <v>0</v>
      </c>
      <c r="I38" s="1015"/>
      <c r="K38" s="1124"/>
    </row>
    <row r="39" spans="2:11" s="1020" customFormat="1" ht="17.25">
      <c r="B39" s="1017"/>
      <c r="C39" s="1386" t="s">
        <v>999</v>
      </c>
      <c r="D39" s="1387"/>
      <c r="E39" s="1018">
        <f>E16+E17+E18+E26+E31</f>
        <v>22091560.59</v>
      </c>
      <c r="F39" s="1018">
        <f>F16+F17+F18+F26+F31</f>
        <v>0</v>
      </c>
      <c r="G39" s="1018">
        <f>G16+G17+G18+G26+G31</f>
        <v>0</v>
      </c>
      <c r="H39" s="1018">
        <f>H16+H17+H18+H26+H31</f>
        <v>22091560.59</v>
      </c>
      <c r="I39" s="1019"/>
      <c r="K39" s="1124"/>
    </row>
    <row r="40" spans="2:11" s="984" customFormat="1" ht="15">
      <c r="B40" s="981"/>
      <c r="C40" s="923"/>
      <c r="D40" s="990"/>
      <c r="E40" s="972"/>
      <c r="F40" s="972"/>
      <c r="G40" s="972"/>
      <c r="H40" s="1021"/>
      <c r="I40" s="983"/>
      <c r="K40" s="1125"/>
    </row>
    <row r="41" spans="2:11" s="1016" customFormat="1" ht="17.25">
      <c r="B41" s="1014"/>
      <c r="C41" s="997" t="s">
        <v>593</v>
      </c>
      <c r="D41" s="998" t="s">
        <v>1000</v>
      </c>
      <c r="E41" s="999">
        <f>SUM(E42:E44)</f>
        <v>0</v>
      </c>
      <c r="F41" s="999">
        <f>SUM(F42:F44)</f>
        <v>0</v>
      </c>
      <c r="G41" s="999">
        <f>SUM(G42:G44)</f>
        <v>0</v>
      </c>
      <c r="H41" s="999">
        <f>SUM(H42:H44)</f>
        <v>0</v>
      </c>
      <c r="I41" s="1015"/>
      <c r="K41" s="1124"/>
    </row>
    <row r="42" spans="2:12" s="1009" customFormat="1" ht="17.25" hidden="1">
      <c r="B42" s="989"/>
      <c r="C42" s="1003" t="s">
        <v>429</v>
      </c>
      <c r="D42" s="1022" t="s">
        <v>52</v>
      </c>
      <c r="E42" s="1006"/>
      <c r="F42" s="1023">
        <f>'FC-7_INF'!K31</f>
        <v>0</v>
      </c>
      <c r="G42" s="1112"/>
      <c r="H42" s="1007">
        <f>SUM(E42:G42)</f>
        <v>0</v>
      </c>
      <c r="I42" s="1008"/>
      <c r="K42" s="1124"/>
      <c r="L42" s="1024" t="s">
        <v>53</v>
      </c>
    </row>
    <row r="43" spans="2:12" s="1009" customFormat="1" ht="17.25" hidden="1">
      <c r="B43" s="989"/>
      <c r="C43" s="1119"/>
      <c r="D43" s="1120"/>
      <c r="E43" s="1006"/>
      <c r="F43" s="1006"/>
      <c r="G43" s="1110"/>
      <c r="H43" s="1007">
        <f>SUM(E43:G43)</f>
        <v>0</v>
      </c>
      <c r="I43" s="1008"/>
      <c r="K43" s="1124"/>
      <c r="L43" s="1016"/>
    </row>
    <row r="44" spans="2:12" s="1009" customFormat="1" ht="17.25" hidden="1">
      <c r="B44" s="989"/>
      <c r="C44" s="1121"/>
      <c r="D44" s="1120"/>
      <c r="E44" s="1006"/>
      <c r="F44" s="1006"/>
      <c r="G44" s="1111"/>
      <c r="H44" s="1007">
        <f>SUM(E44:G44)</f>
        <v>0</v>
      </c>
      <c r="I44" s="1008"/>
      <c r="K44" s="1124"/>
      <c r="L44" s="1016"/>
    </row>
    <row r="45" spans="2:11" s="1016" customFormat="1" ht="17.25">
      <c r="B45" s="1014"/>
      <c r="C45" s="997" t="s">
        <v>595</v>
      </c>
      <c r="D45" s="998" t="s">
        <v>1001</v>
      </c>
      <c r="E45" s="999">
        <f>SUM(E46:E49)</f>
        <v>0</v>
      </c>
      <c r="F45" s="999">
        <f>SUM(F46:F49)</f>
        <v>567719.75</v>
      </c>
      <c r="G45" s="999">
        <f>SUM(G46:G49)</f>
        <v>0</v>
      </c>
      <c r="H45" s="999">
        <f>SUM(H46:H49)</f>
        <v>567719.75</v>
      </c>
      <c r="I45" s="1015"/>
      <c r="K45" s="1124"/>
    </row>
    <row r="46" spans="2:11" s="1028" customFormat="1" ht="17.25" hidden="1">
      <c r="B46" s="1025"/>
      <c r="C46" s="1003" t="s">
        <v>433</v>
      </c>
      <c r="D46" s="1022" t="s">
        <v>119</v>
      </c>
      <c r="E46" s="1026"/>
      <c r="F46" s="1023">
        <f>'FC-9_TRANS_SUBV'!I31</f>
        <v>567719.75</v>
      </c>
      <c r="G46" s="892"/>
      <c r="H46" s="1007">
        <f>F46+E46</f>
        <v>567719.75</v>
      </c>
      <c r="I46" s="1027"/>
      <c r="K46" s="1124"/>
    </row>
    <row r="47" spans="2:11" s="1016" customFormat="1" ht="17.25" hidden="1">
      <c r="B47" s="1014"/>
      <c r="C47" s="1003" t="s">
        <v>201</v>
      </c>
      <c r="D47" s="1022" t="s">
        <v>202</v>
      </c>
      <c r="E47" s="1026"/>
      <c r="F47" s="1023">
        <f>'FC-4_1_MOV_FP'!F38</f>
        <v>0</v>
      </c>
      <c r="G47" s="892"/>
      <c r="H47" s="1007">
        <f>F47+E47</f>
        <v>0</v>
      </c>
      <c r="I47" s="1015"/>
      <c r="K47" s="1124"/>
    </row>
    <row r="48" spans="2:12" s="1016" customFormat="1" ht="17.25" hidden="1">
      <c r="B48" s="1014"/>
      <c r="C48" s="1119"/>
      <c r="D48" s="1128"/>
      <c r="E48" s="1006"/>
      <c r="F48" s="1006"/>
      <c r="G48" s="1110"/>
      <c r="H48" s="1007">
        <f>SUM(E48:G48)</f>
        <v>0</v>
      </c>
      <c r="I48" s="1015"/>
      <c r="K48" s="1124"/>
      <c r="L48" s="1010"/>
    </row>
    <row r="49" spans="2:12" s="1016" customFormat="1" ht="17.25">
      <c r="B49" s="1014"/>
      <c r="C49" s="1121"/>
      <c r="D49" s="1130"/>
      <c r="E49" s="1006"/>
      <c r="F49" s="1006"/>
      <c r="G49" s="1111"/>
      <c r="H49" s="1007">
        <f>SUM(E49:G49)</f>
        <v>0</v>
      </c>
      <c r="I49" s="1015"/>
      <c r="K49" s="1124"/>
      <c r="L49" s="1010"/>
    </row>
    <row r="50" spans="2:11" s="1031" customFormat="1" ht="17.25">
      <c r="B50" s="1029"/>
      <c r="C50" s="1384" t="s">
        <v>1002</v>
      </c>
      <c r="D50" s="1385"/>
      <c r="E50" s="992">
        <f>E41+E45</f>
        <v>0</v>
      </c>
      <c r="F50" s="992">
        <f>F41+F45</f>
        <v>567719.75</v>
      </c>
      <c r="G50" s="992">
        <f>G41+G45</f>
        <v>0</v>
      </c>
      <c r="H50" s="992">
        <f>H41+H45</f>
        <v>567719.75</v>
      </c>
      <c r="I50" s="1030"/>
      <c r="K50" s="1124"/>
    </row>
    <row r="51" spans="2:11" s="984" customFormat="1" ht="15">
      <c r="B51" s="981"/>
      <c r="C51" s="923"/>
      <c r="D51" s="990"/>
      <c r="E51" s="972"/>
      <c r="F51" s="972"/>
      <c r="G51" s="972"/>
      <c r="H51" s="1021"/>
      <c r="I51" s="983"/>
      <c r="K51" s="1125"/>
    </row>
    <row r="52" spans="2:11" s="1016" customFormat="1" ht="17.25">
      <c r="B52" s="1014"/>
      <c r="C52" s="1032" t="s">
        <v>646</v>
      </c>
      <c r="D52" s="624" t="s">
        <v>1003</v>
      </c>
      <c r="E52" s="1033">
        <f>SUM(E53:E58)</f>
        <v>0</v>
      </c>
      <c r="F52" s="1033">
        <f>SUM(F53:F58)</f>
        <v>2809043.38</v>
      </c>
      <c r="G52" s="1033">
        <f>SUM(G53:G58)</f>
        <v>0</v>
      </c>
      <c r="H52" s="1033">
        <f>SUM(H53:H58)</f>
        <v>2809043.38</v>
      </c>
      <c r="I52" s="1015"/>
      <c r="K52" s="1124"/>
    </row>
    <row r="53" spans="2:13" s="1009" customFormat="1" ht="17.25" hidden="1">
      <c r="B53" s="989"/>
      <c r="C53" s="1003" t="s">
        <v>431</v>
      </c>
      <c r="D53" s="1022" t="s">
        <v>54</v>
      </c>
      <c r="E53" s="1034"/>
      <c r="F53" s="1023">
        <f>-'FC-8_INV_FINANCIERAS'!H25</f>
        <v>798320</v>
      </c>
      <c r="G53" s="892"/>
      <c r="H53" s="1007">
        <f>SUM(E53:G53)</f>
        <v>798320</v>
      </c>
      <c r="I53" s="1008"/>
      <c r="K53" s="1124"/>
      <c r="L53" s="1024" t="s">
        <v>53</v>
      </c>
      <c r="M53" s="1028"/>
    </row>
    <row r="54" spans="2:12" s="1028" customFormat="1" ht="17.25" hidden="1">
      <c r="B54" s="1025"/>
      <c r="C54" s="1003" t="s">
        <v>431</v>
      </c>
      <c r="D54" s="1022" t="s">
        <v>55</v>
      </c>
      <c r="E54" s="1026"/>
      <c r="F54" s="1023">
        <f>-'FC-8_INV_FINANCIERAS'!H42</f>
        <v>0</v>
      </c>
      <c r="G54" s="1113"/>
      <c r="H54" s="1007">
        <f aca="true" t="shared" si="2" ref="H54:H65">SUM(E54:G54)</f>
        <v>0</v>
      </c>
      <c r="I54" s="1027"/>
      <c r="K54" s="1124"/>
      <c r="L54" s="1024" t="s">
        <v>53</v>
      </c>
    </row>
    <row r="55" spans="2:12" s="1028" customFormat="1" ht="17.25" hidden="1">
      <c r="B55" s="1025"/>
      <c r="C55" s="1003" t="s">
        <v>431</v>
      </c>
      <c r="D55" s="1022" t="s">
        <v>56</v>
      </c>
      <c r="E55" s="1026"/>
      <c r="F55" s="1023">
        <f>-'FC-8_INV_FINANCIERAS'!H57</f>
        <v>0</v>
      </c>
      <c r="G55" s="893"/>
      <c r="H55" s="1007">
        <f t="shared" si="2"/>
        <v>0</v>
      </c>
      <c r="I55" s="1027"/>
      <c r="K55" s="1124"/>
      <c r="L55" s="1024" t="s">
        <v>53</v>
      </c>
    </row>
    <row r="56" spans="2:12" s="1028" customFormat="1" ht="17.25" hidden="1">
      <c r="B56" s="1025"/>
      <c r="C56" s="1003" t="s">
        <v>431</v>
      </c>
      <c r="D56" s="1022" t="s">
        <v>57</v>
      </c>
      <c r="E56" s="1026"/>
      <c r="F56" s="1023">
        <f>-'FC-8_INV_FINANCIERAS'!H66</f>
        <v>2010723.38</v>
      </c>
      <c r="G56" s="893"/>
      <c r="H56" s="1007">
        <f t="shared" si="2"/>
        <v>2010723.38</v>
      </c>
      <c r="I56" s="1027"/>
      <c r="K56" s="1124"/>
      <c r="L56" s="1024" t="s">
        <v>53</v>
      </c>
    </row>
    <row r="57" spans="2:12" s="1028" customFormat="1" ht="17.25" hidden="1">
      <c r="B57" s="1025"/>
      <c r="C57" s="1119"/>
      <c r="D57" s="1128"/>
      <c r="E57" s="1006"/>
      <c r="F57" s="1006"/>
      <c r="G57" s="1110"/>
      <c r="H57" s="1007">
        <f t="shared" si="2"/>
        <v>0</v>
      </c>
      <c r="I57" s="1027"/>
      <c r="K57" s="1124"/>
      <c r="L57" s="1036"/>
    </row>
    <row r="58" spans="2:12" s="1028" customFormat="1" ht="17.25" hidden="1">
      <c r="B58" s="1025"/>
      <c r="C58" s="1121"/>
      <c r="D58" s="1130"/>
      <c r="E58" s="1006"/>
      <c r="F58" s="1006"/>
      <c r="G58" s="1111"/>
      <c r="H58" s="1007">
        <f>SUM(E58:G58)</f>
        <v>0</v>
      </c>
      <c r="I58" s="1027"/>
      <c r="K58" s="1124"/>
      <c r="L58" s="1036"/>
    </row>
    <row r="59" spans="2:11" s="1016" customFormat="1" ht="17.25">
      <c r="B59" s="1014"/>
      <c r="C59" s="1037" t="s">
        <v>648</v>
      </c>
      <c r="D59" s="1038" t="s">
        <v>1004</v>
      </c>
      <c r="E59" s="1039">
        <f>SUM(E60:E67)</f>
        <v>0</v>
      </c>
      <c r="F59" s="1039">
        <f>SUM(F60:F67)</f>
        <v>467438.62</v>
      </c>
      <c r="G59" s="1039">
        <f>SUM(G60:G67)</f>
        <v>0</v>
      </c>
      <c r="H59" s="1039">
        <f>SUM(H60:H67)</f>
        <v>467438.62</v>
      </c>
      <c r="I59" s="1015"/>
      <c r="K59" s="1124"/>
    </row>
    <row r="60" spans="2:11" s="1028" customFormat="1" ht="17.25" hidden="1">
      <c r="B60" s="1025"/>
      <c r="C60" s="1003" t="s">
        <v>435</v>
      </c>
      <c r="D60" s="1022" t="s">
        <v>120</v>
      </c>
      <c r="E60" s="1026"/>
      <c r="F60" s="1023">
        <f>'FC-10_DEUDAS'!M43</f>
        <v>0</v>
      </c>
      <c r="G60" s="1114"/>
      <c r="H60" s="1007">
        <f t="shared" si="2"/>
        <v>0</v>
      </c>
      <c r="I60" s="1027"/>
      <c r="K60" s="1124"/>
    </row>
    <row r="61" spans="2:12" s="1028" customFormat="1" ht="17.25" hidden="1">
      <c r="B61" s="1025"/>
      <c r="C61" s="1003"/>
      <c r="D61" s="1022" t="s">
        <v>126</v>
      </c>
      <c r="E61" s="1026"/>
      <c r="F61" s="1041"/>
      <c r="G61" s="1114"/>
      <c r="H61" s="1007">
        <f t="shared" si="2"/>
        <v>0</v>
      </c>
      <c r="I61" s="1027"/>
      <c r="K61" s="1124"/>
      <c r="L61" s="1010" t="s">
        <v>170</v>
      </c>
    </row>
    <row r="62" spans="2:12" s="1028" customFormat="1" ht="17.25" hidden="1">
      <c r="B62" s="1025"/>
      <c r="C62" s="1003"/>
      <c r="D62" s="1022" t="s">
        <v>58</v>
      </c>
      <c r="E62" s="1026"/>
      <c r="F62" s="1042"/>
      <c r="G62" s="893"/>
      <c r="H62" s="1007">
        <f t="shared" si="2"/>
        <v>0</v>
      </c>
      <c r="I62" s="1027"/>
      <c r="K62" s="1124"/>
      <c r="L62" s="1010" t="s">
        <v>170</v>
      </c>
    </row>
    <row r="63" spans="2:11" s="1028" customFormat="1" ht="17.25" hidden="1">
      <c r="B63" s="1025"/>
      <c r="C63" s="1003" t="s">
        <v>435</v>
      </c>
      <c r="D63" s="1022" t="s">
        <v>59</v>
      </c>
      <c r="E63" s="1026"/>
      <c r="F63" s="1023">
        <f>'FC-10_DEUDAS'!M75</f>
        <v>267438.62</v>
      </c>
      <c r="G63" s="1114"/>
      <c r="H63" s="1007">
        <f t="shared" si="2"/>
        <v>267438.62</v>
      </c>
      <c r="I63" s="1027"/>
      <c r="K63" s="1124"/>
    </row>
    <row r="64" spans="2:11" s="1028" customFormat="1" ht="17.25" hidden="1">
      <c r="B64" s="1025"/>
      <c r="C64" s="1003" t="s">
        <v>435</v>
      </c>
      <c r="D64" s="1022" t="s">
        <v>60</v>
      </c>
      <c r="E64" s="1026"/>
      <c r="F64" s="1023">
        <f>'FC-10_DEUDAS'!M107</f>
        <v>200000</v>
      </c>
      <c r="G64" s="893"/>
      <c r="H64" s="1007">
        <f t="shared" si="2"/>
        <v>200000</v>
      </c>
      <c r="I64" s="1027"/>
      <c r="K64" s="1124"/>
    </row>
    <row r="65" spans="2:12" s="1028" customFormat="1" ht="17.25" hidden="1">
      <c r="B65" s="1025"/>
      <c r="C65" s="1003"/>
      <c r="D65" s="1022" t="s">
        <v>61</v>
      </c>
      <c r="E65" s="1026"/>
      <c r="F65" s="1042"/>
      <c r="G65" s="893"/>
      <c r="H65" s="1007">
        <f t="shared" si="2"/>
        <v>0</v>
      </c>
      <c r="I65" s="1027"/>
      <c r="K65" s="1124"/>
      <c r="L65" s="1010" t="s">
        <v>170</v>
      </c>
    </row>
    <row r="66" spans="2:12" s="1028" customFormat="1" ht="17.25" hidden="1">
      <c r="B66" s="1025"/>
      <c r="C66" s="1119"/>
      <c r="D66" s="1128"/>
      <c r="E66" s="1006"/>
      <c r="F66" s="1006"/>
      <c r="G66" s="1110"/>
      <c r="H66" s="1007">
        <f>SUM(E66:G66)</f>
        <v>0</v>
      </c>
      <c r="I66" s="1027"/>
      <c r="K66" s="1124"/>
      <c r="L66" s="1010"/>
    </row>
    <row r="67" spans="2:12" s="1028" customFormat="1" ht="17.25">
      <c r="B67" s="1025"/>
      <c r="C67" s="1121"/>
      <c r="D67" s="1130"/>
      <c r="E67" s="1006"/>
      <c r="F67" s="1006"/>
      <c r="G67" s="1111"/>
      <c r="H67" s="1007">
        <f>SUM(E67:G67)</f>
        <v>0</v>
      </c>
      <c r="I67" s="1027"/>
      <c r="K67" s="1124"/>
      <c r="L67" s="1010"/>
    </row>
    <row r="68" spans="2:11" s="1043" customFormat="1" ht="17.25">
      <c r="B68" s="985"/>
      <c r="C68" s="1384" t="s">
        <v>1005</v>
      </c>
      <c r="D68" s="1385"/>
      <c r="E68" s="992">
        <f>E52+E59</f>
        <v>0</v>
      </c>
      <c r="F68" s="992">
        <f>F52+F59</f>
        <v>3276482</v>
      </c>
      <c r="G68" s="992">
        <f>G52+G59</f>
        <v>0</v>
      </c>
      <c r="H68" s="992">
        <f>H52+H59</f>
        <v>3276482</v>
      </c>
      <c r="I68" s="987"/>
      <c r="K68" s="1124"/>
    </row>
    <row r="69" spans="2:11" s="984" customFormat="1" ht="15">
      <c r="B69" s="981"/>
      <c r="C69" s="990"/>
      <c r="D69" s="971"/>
      <c r="E69" s="972"/>
      <c r="F69" s="972"/>
      <c r="G69" s="972"/>
      <c r="H69" s="1044"/>
      <c r="I69" s="983"/>
      <c r="K69" s="1125"/>
    </row>
    <row r="70" spans="2:11" s="1048" customFormat="1" ht="21" thickBot="1">
      <c r="B70" s="1045"/>
      <c r="C70" s="1396" t="s">
        <v>62</v>
      </c>
      <c r="D70" s="1397"/>
      <c r="E70" s="1046">
        <f>E68+E50+E39</f>
        <v>22091560.59</v>
      </c>
      <c r="F70" s="1046">
        <f>F68+F50+F39</f>
        <v>3844201.75</v>
      </c>
      <c r="G70" s="1046">
        <f>G68+G50+G39</f>
        <v>0</v>
      </c>
      <c r="H70" s="1046">
        <f>H68+H50+H39</f>
        <v>25935762.34</v>
      </c>
      <c r="I70" s="1047"/>
      <c r="K70" s="1124"/>
    </row>
    <row r="71" spans="2:11" s="984" customFormat="1" ht="15">
      <c r="B71" s="981"/>
      <c r="C71" s="923"/>
      <c r="D71" s="990"/>
      <c r="E71" s="972"/>
      <c r="F71" s="972"/>
      <c r="G71" s="972"/>
      <c r="H71" s="1021"/>
      <c r="I71" s="983"/>
      <c r="K71" s="1125"/>
    </row>
    <row r="72" spans="2:11" s="984" customFormat="1" ht="17.25">
      <c r="B72" s="981"/>
      <c r="C72" s="1398" t="s">
        <v>1007</v>
      </c>
      <c r="D72" s="1399"/>
      <c r="E72" s="1049">
        <f>SUM(E73:E80)</f>
        <v>1120225.85</v>
      </c>
      <c r="F72" s="1049">
        <f>SUM(F73:F80)</f>
        <v>0</v>
      </c>
      <c r="G72" s="1049">
        <f>SUM(G73:G80)</f>
        <v>0</v>
      </c>
      <c r="H72" s="1049">
        <f>SUM(H73:H80)</f>
        <v>1120225.85</v>
      </c>
      <c r="I72" s="983"/>
      <c r="K72" s="1124"/>
    </row>
    <row r="73" spans="2:12" s="1016" customFormat="1" ht="17.25" hidden="1">
      <c r="B73" s="1014"/>
      <c r="C73" s="1003" t="s">
        <v>420</v>
      </c>
      <c r="D73" s="1004" t="s">
        <v>63</v>
      </c>
      <c r="E73" s="1005">
        <f>IF('FC-3_CPyG'!G20&gt;0,'FC-3_CPyG'!G20,0)</f>
        <v>0</v>
      </c>
      <c r="F73" s="1006"/>
      <c r="G73" s="1006"/>
      <c r="H73" s="1007">
        <f aca="true" t="shared" si="3" ref="H73:H80">F73+E73</f>
        <v>0</v>
      </c>
      <c r="I73" s="1015"/>
      <c r="K73" s="1124"/>
      <c r="L73" s="1010" t="s">
        <v>64</v>
      </c>
    </row>
    <row r="74" spans="2:12" s="1016" customFormat="1" ht="17.25" hidden="1">
      <c r="B74" s="1014"/>
      <c r="C74" s="1003" t="s">
        <v>420</v>
      </c>
      <c r="D74" s="1004" t="s">
        <v>65</v>
      </c>
      <c r="E74" s="1005">
        <f>'FC-3_CPyG'!G21</f>
        <v>410140.11</v>
      </c>
      <c r="F74" s="1006"/>
      <c r="G74" s="1006"/>
      <c r="H74" s="1007">
        <f t="shared" si="3"/>
        <v>410140.11</v>
      </c>
      <c r="I74" s="1015"/>
      <c r="K74" s="1124"/>
      <c r="L74" s="1010" t="s">
        <v>66</v>
      </c>
    </row>
    <row r="75" spans="2:11" s="1016" customFormat="1" ht="17.25" hidden="1">
      <c r="B75" s="1014"/>
      <c r="C75" s="1003" t="s">
        <v>420</v>
      </c>
      <c r="D75" s="1004" t="s">
        <v>67</v>
      </c>
      <c r="E75" s="1005">
        <f>'FC-3_CPyG'!G41</f>
        <v>710085.74</v>
      </c>
      <c r="F75" s="1006"/>
      <c r="G75" s="1006"/>
      <c r="H75" s="1007">
        <f t="shared" si="3"/>
        <v>710085.74</v>
      </c>
      <c r="I75" s="1015"/>
      <c r="K75" s="1124"/>
    </row>
    <row r="76" spans="2:11" s="1016" customFormat="1" ht="17.25" hidden="1">
      <c r="B76" s="1014"/>
      <c r="C76" s="1003" t="s">
        <v>420</v>
      </c>
      <c r="D76" s="1004" t="s">
        <v>68</v>
      </c>
      <c r="E76" s="1005">
        <f>'FC-3_CPyG'!G42</f>
        <v>0</v>
      </c>
      <c r="F76" s="1006"/>
      <c r="G76" s="1006"/>
      <c r="H76" s="1007">
        <f t="shared" si="3"/>
        <v>0</v>
      </c>
      <c r="I76" s="1015"/>
      <c r="K76" s="1124"/>
    </row>
    <row r="77" spans="2:11" s="1016" customFormat="1" ht="17.25" hidden="1">
      <c r="B77" s="1014"/>
      <c r="C77" s="1003" t="s">
        <v>420</v>
      </c>
      <c r="D77" s="1004" t="s">
        <v>69</v>
      </c>
      <c r="E77" s="1005">
        <f>IF('FC-3_CPyG'!G45&gt;0,'FC-3_CPyG'!G45,0)</f>
        <v>0</v>
      </c>
      <c r="F77" s="1006"/>
      <c r="G77" s="1006"/>
      <c r="H77" s="1007">
        <f t="shared" si="3"/>
        <v>0</v>
      </c>
      <c r="I77" s="1015"/>
      <c r="K77" s="1124"/>
    </row>
    <row r="78" spans="2:11" s="1016" customFormat="1" ht="17.25" hidden="1">
      <c r="B78" s="1014"/>
      <c r="C78" s="1003" t="s">
        <v>420</v>
      </c>
      <c r="D78" s="1004" t="s">
        <v>70</v>
      </c>
      <c r="E78" s="1005">
        <f>IF('FC-3_CPyG'!G46&gt;0,'FC-3_CPyG'!G46,0)</f>
        <v>0</v>
      </c>
      <c r="F78" s="1006"/>
      <c r="G78" s="1006"/>
      <c r="H78" s="1007">
        <f t="shared" si="3"/>
        <v>0</v>
      </c>
      <c r="I78" s="1015"/>
      <c r="K78" s="1124"/>
    </row>
    <row r="79" spans="2:11" s="1016" customFormat="1" ht="17.25" hidden="1">
      <c r="B79" s="1014"/>
      <c r="C79" s="1003" t="s">
        <v>420</v>
      </c>
      <c r="D79" s="1004" t="s">
        <v>71</v>
      </c>
      <c r="E79" s="1005">
        <f>'FC-3_CPyG'!G58</f>
        <v>0</v>
      </c>
      <c r="F79" s="1006"/>
      <c r="G79" s="1006"/>
      <c r="H79" s="1007">
        <f t="shared" si="3"/>
        <v>0</v>
      </c>
      <c r="I79" s="1015"/>
      <c r="K79" s="1124"/>
    </row>
    <row r="80" spans="2:11" s="1016" customFormat="1" ht="17.25" hidden="1">
      <c r="B80" s="1014"/>
      <c r="C80" s="1003" t="s">
        <v>420</v>
      </c>
      <c r="D80" s="1004" t="s">
        <v>72</v>
      </c>
      <c r="E80" s="1005">
        <f>'FC-3_CPyG'!G63</f>
        <v>0</v>
      </c>
      <c r="F80" s="1006"/>
      <c r="G80" s="1006"/>
      <c r="H80" s="1007">
        <f t="shared" si="3"/>
        <v>0</v>
      </c>
      <c r="I80" s="1015"/>
      <c r="K80" s="1124"/>
    </row>
    <row r="81" spans="2:11" s="1016" customFormat="1" ht="15">
      <c r="B81" s="1014"/>
      <c r="C81" s="1050"/>
      <c r="D81" s="1050"/>
      <c r="E81" s="1050"/>
      <c r="F81" s="1050"/>
      <c r="G81" s="1050"/>
      <c r="H81" s="1050"/>
      <c r="I81" s="1015"/>
      <c r="K81" s="1126"/>
    </row>
    <row r="82" spans="2:11" s="1055" customFormat="1" ht="18" thickBot="1">
      <c r="B82" s="1051"/>
      <c r="C82" s="1394" t="s">
        <v>73</v>
      </c>
      <c r="D82" s="1395"/>
      <c r="E82" s="1052">
        <f>E70+E72</f>
        <v>23211786.44</v>
      </c>
      <c r="F82" s="1052">
        <f>F70+F72</f>
        <v>3844201.75</v>
      </c>
      <c r="G82" s="1052">
        <f>G70+G72</f>
        <v>0</v>
      </c>
      <c r="H82" s="1052">
        <f>H70+H72</f>
        <v>27055988.19</v>
      </c>
      <c r="I82" s="1053"/>
      <c r="J82" s="1054"/>
      <c r="K82" s="1124"/>
    </row>
    <row r="83" spans="2:11" s="984" customFormat="1" ht="17.25">
      <c r="B83" s="981"/>
      <c r="C83" s="1056"/>
      <c r="D83" s="1056"/>
      <c r="E83" s="1057"/>
      <c r="F83" s="1057"/>
      <c r="G83" s="1057"/>
      <c r="H83" s="1058"/>
      <c r="I83" s="983"/>
      <c r="K83" s="1125"/>
    </row>
    <row r="84" spans="2:11" s="984" customFormat="1" ht="17.25">
      <c r="B84" s="981"/>
      <c r="C84" s="1056"/>
      <c r="D84" s="1056"/>
      <c r="E84" s="1057"/>
      <c r="F84" s="1057"/>
      <c r="G84" s="1057"/>
      <c r="H84" s="1058"/>
      <c r="I84" s="983"/>
      <c r="K84" s="1125"/>
    </row>
    <row r="85" spans="2:11" s="994" customFormat="1" ht="22.5">
      <c r="B85" s="991"/>
      <c r="C85" s="1400" t="s">
        <v>1009</v>
      </c>
      <c r="D85" s="1401"/>
      <c r="E85" s="1059"/>
      <c r="F85" s="1059"/>
      <c r="G85" s="1059"/>
      <c r="H85" s="1060" t="s">
        <v>854</v>
      </c>
      <c r="I85" s="993"/>
      <c r="K85" s="1124"/>
    </row>
    <row r="86" spans="2:11" ht="17.25">
      <c r="B86" s="989"/>
      <c r="C86" s="995"/>
      <c r="D86" s="990"/>
      <c r="E86" s="972"/>
      <c r="F86" s="972"/>
      <c r="G86" s="972"/>
      <c r="H86" s="574"/>
      <c r="I86" s="979"/>
      <c r="K86" s="1127"/>
    </row>
    <row r="87" spans="2:11" s="1002" customFormat="1" ht="17.25">
      <c r="B87" s="996"/>
      <c r="C87" s="997" t="s">
        <v>563</v>
      </c>
      <c r="D87" s="998" t="s">
        <v>1010</v>
      </c>
      <c r="E87" s="999">
        <f>SUM(E88:E91)</f>
        <v>6625812.960000001</v>
      </c>
      <c r="F87" s="999">
        <f>SUM(F88:F91)</f>
        <v>0</v>
      </c>
      <c r="G87" s="999">
        <f>SUM(G88:G91)</f>
        <v>0</v>
      </c>
      <c r="H87" s="999">
        <f>SUM(H88:H91)</f>
        <v>6625812.960000001</v>
      </c>
      <c r="I87" s="1001"/>
      <c r="K87" s="1124"/>
    </row>
    <row r="88" spans="2:11" s="984" customFormat="1" ht="17.25" hidden="1">
      <c r="B88" s="981"/>
      <c r="C88" s="1003" t="s">
        <v>420</v>
      </c>
      <c r="D88" s="1004" t="s">
        <v>74</v>
      </c>
      <c r="E88" s="1005">
        <f>-'FC-3_CPyG'!G30</f>
        <v>6625812.960000001</v>
      </c>
      <c r="F88" s="1006"/>
      <c r="G88" s="1006"/>
      <c r="H88" s="1007">
        <f>F88+E88</f>
        <v>6625812.960000001</v>
      </c>
      <c r="I88" s="983"/>
      <c r="K88" s="1124"/>
    </row>
    <row r="89" spans="2:11" s="984" customFormat="1" ht="17.25" hidden="1">
      <c r="B89" s="981"/>
      <c r="C89" s="1003" t="s">
        <v>420</v>
      </c>
      <c r="D89" s="1004" t="s">
        <v>75</v>
      </c>
      <c r="E89" s="1005">
        <f>-'FC-3_CPyG'!G33</f>
        <v>0</v>
      </c>
      <c r="F89" s="1006"/>
      <c r="G89" s="1006"/>
      <c r="H89" s="1007">
        <f>F89+E89</f>
        <v>0</v>
      </c>
      <c r="I89" s="983"/>
      <c r="K89" s="1124"/>
    </row>
    <row r="90" spans="2:11" s="984" customFormat="1" ht="17.25" hidden="1">
      <c r="B90" s="981"/>
      <c r="C90" s="1119"/>
      <c r="D90" s="1128"/>
      <c r="E90" s="1006"/>
      <c r="F90" s="1006"/>
      <c r="G90" s="1110"/>
      <c r="H90" s="1007">
        <f>SUM(E90:G90)</f>
        <v>0</v>
      </c>
      <c r="I90" s="983"/>
      <c r="K90" s="1124"/>
    </row>
    <row r="91" spans="2:11" s="984" customFormat="1" ht="17.25" hidden="1">
      <c r="B91" s="981"/>
      <c r="C91" s="1121"/>
      <c r="D91" s="1129"/>
      <c r="E91" s="1006"/>
      <c r="F91" s="1006"/>
      <c r="G91" s="1111"/>
      <c r="H91" s="1007">
        <f>SUM(E91:G91)</f>
        <v>0</v>
      </c>
      <c r="I91" s="983"/>
      <c r="K91" s="1124"/>
    </row>
    <row r="92" spans="2:11" s="1002" customFormat="1" ht="17.25">
      <c r="B92" s="996"/>
      <c r="C92" s="1061" t="s">
        <v>573</v>
      </c>
      <c r="D92" s="1062" t="s">
        <v>1011</v>
      </c>
      <c r="E92" s="1063">
        <f>SUM(E93:E104)</f>
        <v>7110817.449999999</v>
      </c>
      <c r="F92" s="1063">
        <f>SUM(F93:F104)</f>
        <v>0</v>
      </c>
      <c r="G92" s="1063">
        <f>SUM(G93:G104)</f>
        <v>610310.89</v>
      </c>
      <c r="H92" s="1063">
        <f>SUM(H93:H104)</f>
        <v>7721128.339999999</v>
      </c>
      <c r="I92" s="1001"/>
      <c r="K92" s="1124" t="s">
        <v>1175</v>
      </c>
    </row>
    <row r="93" spans="2:12" s="984" customFormat="1" ht="17.25" hidden="1">
      <c r="B93" s="981"/>
      <c r="C93" s="1003" t="s">
        <v>76</v>
      </c>
      <c r="D93" s="1004" t="s">
        <v>77</v>
      </c>
      <c r="E93" s="1005">
        <f>-'FC-3_CPyG'!G22</f>
        <v>466449.6</v>
      </c>
      <c r="F93" s="1006"/>
      <c r="G93" s="1006"/>
      <c r="H93" s="1007">
        <f>SUM(E93:G93)</f>
        <v>466449.6</v>
      </c>
      <c r="I93" s="983"/>
      <c r="K93" s="1124"/>
      <c r="L93" s="1010" t="s">
        <v>172</v>
      </c>
    </row>
    <row r="94" spans="2:11" s="984" customFormat="1" ht="17.25" hidden="1">
      <c r="B94" s="981"/>
      <c r="C94" s="1003" t="s">
        <v>420</v>
      </c>
      <c r="D94" s="1004" t="s">
        <v>78</v>
      </c>
      <c r="E94" s="1005">
        <f>-'FC-3_CPyG'!G26</f>
        <v>0</v>
      </c>
      <c r="F94" s="1006"/>
      <c r="G94" s="1006"/>
      <c r="H94" s="1007">
        <f aca="true" t="shared" si="4" ref="H94:H109">SUM(E94:G94)</f>
        <v>0</v>
      </c>
      <c r="I94" s="983"/>
      <c r="K94" s="1124"/>
    </row>
    <row r="95" spans="2:11" s="984" customFormat="1" ht="17.25" hidden="1">
      <c r="B95" s="981"/>
      <c r="C95" s="1003" t="s">
        <v>420</v>
      </c>
      <c r="D95" s="1004" t="s">
        <v>79</v>
      </c>
      <c r="E95" s="1005">
        <f>-'FC-3_CPyG'!G35</f>
        <v>6539423.35</v>
      </c>
      <c r="F95" s="1006"/>
      <c r="G95" s="1006"/>
      <c r="H95" s="1007">
        <f t="shared" si="4"/>
        <v>6539423.35</v>
      </c>
      <c r="I95" s="983"/>
      <c r="K95" s="1124"/>
    </row>
    <row r="96" spans="2:11" s="984" customFormat="1" ht="17.25" hidden="1">
      <c r="B96" s="981"/>
      <c r="C96" s="1003" t="s">
        <v>420</v>
      </c>
      <c r="D96" s="1004" t="s">
        <v>80</v>
      </c>
      <c r="E96" s="1005">
        <f>-'FC-3_CPyG'!G36</f>
        <v>715255.39</v>
      </c>
      <c r="F96" s="1006"/>
      <c r="G96" s="1006"/>
      <c r="H96" s="1007">
        <f t="shared" si="4"/>
        <v>715255.39</v>
      </c>
      <c r="I96" s="983"/>
      <c r="K96" s="1124"/>
    </row>
    <row r="97" spans="2:11" s="984" customFormat="1" ht="17.25" hidden="1">
      <c r="B97" s="981"/>
      <c r="C97" s="1003" t="s">
        <v>420</v>
      </c>
      <c r="D97" s="1004" t="s">
        <v>81</v>
      </c>
      <c r="E97" s="1005">
        <f>-'FC-3_CPyG'!G38</f>
        <v>0</v>
      </c>
      <c r="F97" s="1006"/>
      <c r="G97" s="1006"/>
      <c r="H97" s="1007">
        <f t="shared" si="4"/>
        <v>0</v>
      </c>
      <c r="I97" s="983"/>
      <c r="K97" s="1124"/>
    </row>
    <row r="98" spans="2:12" s="984" customFormat="1" ht="17.25" hidden="1">
      <c r="B98" s="981"/>
      <c r="C98" s="1003" t="s">
        <v>420</v>
      </c>
      <c r="D98" s="1004" t="s">
        <v>82</v>
      </c>
      <c r="E98" s="1005">
        <f>-'FC-3_CPyG'!G39</f>
        <v>0</v>
      </c>
      <c r="F98" s="1006"/>
      <c r="G98" s="1006"/>
      <c r="H98" s="1007">
        <f t="shared" si="4"/>
        <v>0</v>
      </c>
      <c r="I98" s="983"/>
      <c r="K98" s="1124"/>
      <c r="L98" s="1064"/>
    </row>
    <row r="99" spans="2:11" s="984" customFormat="1" ht="17.25" hidden="1">
      <c r="B99" s="981"/>
      <c r="C99" s="1003" t="s">
        <v>420</v>
      </c>
      <c r="D99" s="1004" t="s">
        <v>83</v>
      </c>
      <c r="E99" s="1005">
        <f>-'FC-3_CPyG'!G77</f>
        <v>-610310.89</v>
      </c>
      <c r="F99" s="1006"/>
      <c r="G99" s="1006">
        <v>610310.89</v>
      </c>
      <c r="H99" s="1007">
        <f t="shared" si="4"/>
        <v>0</v>
      </c>
      <c r="I99" s="983"/>
      <c r="K99" s="1124" t="s">
        <v>1175</v>
      </c>
    </row>
    <row r="100" spans="2:11" s="984" customFormat="1" ht="17.25" hidden="1">
      <c r="B100" s="981"/>
      <c r="C100" s="1003" t="s">
        <v>426</v>
      </c>
      <c r="D100" s="1004" t="s">
        <v>84</v>
      </c>
      <c r="E100" s="1005">
        <f>-'FC-3_1_INF_ADIC_CPyG'!G62</f>
        <v>0</v>
      </c>
      <c r="F100" s="1006"/>
      <c r="G100" s="1006"/>
      <c r="H100" s="1007">
        <f t="shared" si="4"/>
        <v>0</v>
      </c>
      <c r="I100" s="983"/>
      <c r="K100" s="1124"/>
    </row>
    <row r="101" spans="2:11" s="984" customFormat="1" ht="17.25" hidden="1">
      <c r="B101" s="981"/>
      <c r="C101" s="1003" t="s">
        <v>426</v>
      </c>
      <c r="D101" s="1004" t="s">
        <v>85</v>
      </c>
      <c r="E101" s="1005">
        <f>-'FC-3_1_INF_ADIC_CPyG'!G92</f>
        <v>0</v>
      </c>
      <c r="F101" s="1006"/>
      <c r="G101" s="1006"/>
      <c r="H101" s="1007">
        <f t="shared" si="4"/>
        <v>0</v>
      </c>
      <c r="I101" s="983"/>
      <c r="K101" s="1124"/>
    </row>
    <row r="102" spans="2:12" s="1070" customFormat="1" ht="17.25" hidden="1">
      <c r="B102" s="1065"/>
      <c r="C102" s="1066"/>
      <c r="D102" s="1067" t="s">
        <v>86</v>
      </c>
      <c r="E102" s="1068"/>
      <c r="F102" s="1113"/>
      <c r="G102" s="1113"/>
      <c r="H102" s="1007">
        <f t="shared" si="4"/>
        <v>0</v>
      </c>
      <c r="I102" s="1069"/>
      <c r="K102" s="1124"/>
      <c r="L102" s="1010" t="s">
        <v>170</v>
      </c>
    </row>
    <row r="103" spans="2:11" s="984" customFormat="1" ht="17.25" hidden="1">
      <c r="B103" s="981"/>
      <c r="C103" s="1119"/>
      <c r="D103" s="1128"/>
      <c r="E103" s="1006"/>
      <c r="F103" s="1006"/>
      <c r="G103" s="1110"/>
      <c r="H103" s="1007">
        <f t="shared" si="4"/>
        <v>0</v>
      </c>
      <c r="I103" s="983"/>
      <c r="K103" s="1124"/>
    </row>
    <row r="104" spans="2:11" s="984" customFormat="1" ht="17.25" hidden="1">
      <c r="B104" s="981"/>
      <c r="C104" s="1121"/>
      <c r="D104" s="1129"/>
      <c r="E104" s="1006"/>
      <c r="F104" s="1006"/>
      <c r="G104" s="1111"/>
      <c r="H104" s="1007">
        <f t="shared" si="4"/>
        <v>0</v>
      </c>
      <c r="I104" s="983"/>
      <c r="K104" s="1124"/>
    </row>
    <row r="105" spans="2:11" s="1002" customFormat="1" ht="17.25">
      <c r="B105" s="996"/>
      <c r="C105" s="1061" t="s">
        <v>578</v>
      </c>
      <c r="D105" s="1062" t="s">
        <v>769</v>
      </c>
      <c r="E105" s="1063">
        <f>SUM(E106:E110)</f>
        <v>355917.96</v>
      </c>
      <c r="F105" s="1063">
        <f>SUM(F106:F110)</f>
        <v>0</v>
      </c>
      <c r="G105" s="1063">
        <f>SUM(G106:G110)</f>
        <v>0</v>
      </c>
      <c r="H105" s="1063">
        <f>SUM(H106:H110)</f>
        <v>355917.96</v>
      </c>
      <c r="I105" s="1001"/>
      <c r="K105" s="1124"/>
    </row>
    <row r="106" spans="2:11" s="984" customFormat="1" ht="17.25" hidden="1">
      <c r="B106" s="981"/>
      <c r="C106" s="1003" t="s">
        <v>420</v>
      </c>
      <c r="D106" s="1004" t="s">
        <v>87</v>
      </c>
      <c r="E106" s="1005">
        <f>-'FC-3_CPyG'!G60</f>
        <v>0</v>
      </c>
      <c r="F106" s="1006"/>
      <c r="G106" s="1006"/>
      <c r="H106" s="1007">
        <f>SUM(E106:G106)</f>
        <v>0</v>
      </c>
      <c r="I106" s="983"/>
      <c r="K106" s="1124"/>
    </row>
    <row r="107" spans="2:11" s="984" customFormat="1" ht="17.25" hidden="1">
      <c r="B107" s="981"/>
      <c r="C107" s="1003" t="s">
        <v>420</v>
      </c>
      <c r="D107" s="1004" t="s">
        <v>88</v>
      </c>
      <c r="E107" s="1005">
        <f>-'FC-3_CPyG'!G61</f>
        <v>355917.96</v>
      </c>
      <c r="F107" s="1006"/>
      <c r="G107" s="1006"/>
      <c r="H107" s="1007">
        <f t="shared" si="4"/>
        <v>355917.96</v>
      </c>
      <c r="I107" s="983"/>
      <c r="K107" s="1124"/>
    </row>
    <row r="108" spans="2:11" s="984" customFormat="1" ht="17.25" hidden="1">
      <c r="B108" s="981"/>
      <c r="C108" s="1003" t="s">
        <v>420</v>
      </c>
      <c r="D108" s="1004" t="s">
        <v>89</v>
      </c>
      <c r="E108" s="1005">
        <f>-'FC-3_CPyG'!G71</f>
        <v>0</v>
      </c>
      <c r="F108" s="1006"/>
      <c r="G108" s="1006"/>
      <c r="H108" s="1007">
        <f>SUM(E108:G108)</f>
        <v>0</v>
      </c>
      <c r="I108" s="983"/>
      <c r="K108" s="1124"/>
    </row>
    <row r="109" spans="2:11" s="984" customFormat="1" ht="17.25" hidden="1">
      <c r="B109" s="981"/>
      <c r="C109" s="1119"/>
      <c r="D109" s="1128"/>
      <c r="E109" s="1006"/>
      <c r="F109" s="1006"/>
      <c r="G109" s="1110"/>
      <c r="H109" s="1007">
        <f t="shared" si="4"/>
        <v>0</v>
      </c>
      <c r="I109" s="983"/>
      <c r="K109" s="1124"/>
    </row>
    <row r="110" spans="2:11" s="984" customFormat="1" ht="17.25" hidden="1">
      <c r="B110" s="981"/>
      <c r="C110" s="1121"/>
      <c r="D110" s="1130"/>
      <c r="E110" s="1006"/>
      <c r="F110" s="1006"/>
      <c r="G110" s="1111"/>
      <c r="H110" s="1007">
        <f>SUM(E110:G110)</f>
        <v>0</v>
      </c>
      <c r="I110" s="983"/>
      <c r="K110" s="1124"/>
    </row>
    <row r="111" spans="2:11" s="1002" customFormat="1" ht="17.25">
      <c r="B111" s="996"/>
      <c r="C111" s="1061" t="s">
        <v>582</v>
      </c>
      <c r="D111" s="1062" t="s">
        <v>1012</v>
      </c>
      <c r="E111" s="1063">
        <f>SUM(E112:E114)</f>
        <v>0</v>
      </c>
      <c r="F111" s="1063">
        <f>SUM(F112:F114)</f>
        <v>0</v>
      </c>
      <c r="G111" s="1063">
        <f>SUM(G112:G114)</f>
        <v>0</v>
      </c>
      <c r="H111" s="1063">
        <f>SUM(H112:H114)</f>
        <v>0</v>
      </c>
      <c r="I111" s="1001"/>
      <c r="K111" s="1124"/>
    </row>
    <row r="112" spans="2:11" s="984" customFormat="1" ht="16.5" customHeight="1" hidden="1">
      <c r="B112" s="981"/>
      <c r="C112" s="1003" t="s">
        <v>426</v>
      </c>
      <c r="D112" s="1004" t="s">
        <v>90</v>
      </c>
      <c r="E112" s="1005">
        <f>+'FC-3_1_INF_ADIC_CPyG'!G92</f>
        <v>0</v>
      </c>
      <c r="F112" s="1006"/>
      <c r="G112" s="1006"/>
      <c r="H112" s="1007">
        <f>SUM(E112:G112)</f>
        <v>0</v>
      </c>
      <c r="I112" s="983"/>
      <c r="K112" s="1124"/>
    </row>
    <row r="113" spans="2:11" s="984" customFormat="1" ht="16.5" customHeight="1" hidden="1">
      <c r="B113" s="981"/>
      <c r="C113" s="1119"/>
      <c r="D113" s="1128"/>
      <c r="E113" s="1006"/>
      <c r="F113" s="1006"/>
      <c r="G113" s="1110"/>
      <c r="H113" s="1007">
        <f>SUM(E113:G113)</f>
        <v>0</v>
      </c>
      <c r="I113" s="983"/>
      <c r="K113" s="1124"/>
    </row>
    <row r="114" spans="2:11" s="984" customFormat="1" ht="17.25" hidden="1">
      <c r="B114" s="981"/>
      <c r="C114" s="1121"/>
      <c r="D114" s="1130"/>
      <c r="E114" s="1006"/>
      <c r="F114" s="1006"/>
      <c r="G114" s="1111"/>
      <c r="H114" s="1007">
        <f>SUM(E114:G114)</f>
        <v>0</v>
      </c>
      <c r="I114" s="983"/>
      <c r="K114" s="1124"/>
    </row>
    <row r="115" spans="2:11" s="1031" customFormat="1" ht="17.25">
      <c r="B115" s="1029"/>
      <c r="C115" s="1384" t="s">
        <v>1013</v>
      </c>
      <c r="D115" s="1385"/>
      <c r="E115" s="992">
        <f>E87+E92+E105+E111</f>
        <v>14092548.370000001</v>
      </c>
      <c r="F115" s="992">
        <f>F87+F92+F105+F111</f>
        <v>0</v>
      </c>
      <c r="G115" s="992">
        <f>G87+G92+G105+G111</f>
        <v>610310.89</v>
      </c>
      <c r="H115" s="992">
        <f>H87+H92+H105+H111</f>
        <v>14702859.260000002</v>
      </c>
      <c r="I115" s="1030"/>
      <c r="K115" s="1124"/>
    </row>
    <row r="116" spans="2:11" s="984" customFormat="1" ht="15">
      <c r="B116" s="981"/>
      <c r="C116" s="923"/>
      <c r="D116" s="990"/>
      <c r="E116" s="972"/>
      <c r="F116" s="972"/>
      <c r="G116" s="972"/>
      <c r="H116" s="1021"/>
      <c r="I116" s="983"/>
      <c r="K116" s="1125"/>
    </row>
    <row r="117" spans="2:11" s="1002" customFormat="1" ht="17.25">
      <c r="B117" s="996"/>
      <c r="C117" s="997" t="s">
        <v>593</v>
      </c>
      <c r="D117" s="998" t="s">
        <v>1014</v>
      </c>
      <c r="E117" s="999">
        <f>SUM(E118:E121)</f>
        <v>0</v>
      </c>
      <c r="F117" s="999">
        <f>SUM(F118:F121)</f>
        <v>4682378.49</v>
      </c>
      <c r="G117" s="999">
        <f>SUM(G118:G121)</f>
        <v>0</v>
      </c>
      <c r="H117" s="999">
        <f>SUM(H118:H121)</f>
        <v>4682378.49</v>
      </c>
      <c r="I117" s="1001"/>
      <c r="K117" s="1124"/>
    </row>
    <row r="118" spans="2:11" s="984" customFormat="1" ht="17.25" hidden="1">
      <c r="B118" s="981"/>
      <c r="C118" s="1003" t="s">
        <v>429</v>
      </c>
      <c r="D118" s="1022" t="s">
        <v>91</v>
      </c>
      <c r="E118" s="1006"/>
      <c r="F118" s="1035">
        <f>+'FC-7_INF'!F31</f>
        <v>4682378.49</v>
      </c>
      <c r="G118" s="1113"/>
      <c r="H118" s="1007">
        <f>SUM(E118:G118)</f>
        <v>4682378.49</v>
      </c>
      <c r="I118" s="983"/>
      <c r="K118" s="1124"/>
    </row>
    <row r="119" spans="2:11" s="1016" customFormat="1" ht="17.25" hidden="1">
      <c r="B119" s="1014"/>
      <c r="C119" s="1003" t="s">
        <v>429</v>
      </c>
      <c r="D119" s="1022" t="s">
        <v>92</v>
      </c>
      <c r="E119" s="1006"/>
      <c r="F119" s="1035">
        <f>+'FC-7_INF'!H31</f>
        <v>0</v>
      </c>
      <c r="G119" s="1113"/>
      <c r="H119" s="1007">
        <f>SUM(E119:G119)</f>
        <v>0</v>
      </c>
      <c r="I119" s="1015"/>
      <c r="K119" s="1124"/>
    </row>
    <row r="120" spans="2:11" s="1016" customFormat="1" ht="17.25" hidden="1">
      <c r="B120" s="1014"/>
      <c r="C120" s="1119"/>
      <c r="D120" s="1120"/>
      <c r="E120" s="1006"/>
      <c r="F120" s="1006"/>
      <c r="G120" s="893"/>
      <c r="H120" s="1007">
        <f>SUM(E120:G120)</f>
        <v>0</v>
      </c>
      <c r="I120" s="1015"/>
      <c r="K120" s="1124"/>
    </row>
    <row r="121" spans="2:11" s="1016" customFormat="1" ht="17.25" hidden="1">
      <c r="B121" s="1014"/>
      <c r="C121" s="1121"/>
      <c r="D121" s="1129"/>
      <c r="E121" s="1071"/>
      <c r="F121" s="1071"/>
      <c r="G121" s="1115"/>
      <c r="H121" s="1007">
        <f>SUM(E121:G121)</f>
        <v>0</v>
      </c>
      <c r="I121" s="1015"/>
      <c r="K121" s="1124"/>
    </row>
    <row r="122" spans="2:11" s="1002" customFormat="1" ht="17.25">
      <c r="B122" s="996"/>
      <c r="C122" s="997" t="s">
        <v>595</v>
      </c>
      <c r="D122" s="998" t="s">
        <v>1001</v>
      </c>
      <c r="E122" s="999">
        <f>SUM(E123:E125)</f>
        <v>0</v>
      </c>
      <c r="F122" s="999">
        <f>SUM(F123:F125)</f>
        <v>0</v>
      </c>
      <c r="G122" s="999">
        <f>SUM(G123:G125)</f>
        <v>0</v>
      </c>
      <c r="H122" s="999">
        <f>SUM(H123:H125)</f>
        <v>0</v>
      </c>
      <c r="I122" s="1001"/>
      <c r="K122" s="1124"/>
    </row>
    <row r="123" spans="2:12" s="1016" customFormat="1" ht="17.25" hidden="1">
      <c r="B123" s="1014"/>
      <c r="C123" s="1003" t="s">
        <v>201</v>
      </c>
      <c r="D123" s="1022" t="s">
        <v>93</v>
      </c>
      <c r="E123" s="1006"/>
      <c r="F123" s="1040">
        <f>'FC-4_1_MOV_FP'!G38</f>
        <v>0</v>
      </c>
      <c r="G123" s="1114"/>
      <c r="H123" s="1007">
        <f>SUM(E123:G123)</f>
        <v>0</v>
      </c>
      <c r="I123" s="1015"/>
      <c r="K123" s="1124"/>
      <c r="L123" s="1010"/>
    </row>
    <row r="124" spans="2:11" s="1016" customFormat="1" ht="17.25" hidden="1">
      <c r="B124" s="1014"/>
      <c r="C124" s="1119"/>
      <c r="D124" s="1120"/>
      <c r="E124" s="1006"/>
      <c r="F124" s="1006"/>
      <c r="G124" s="894"/>
      <c r="H124" s="1007">
        <f>SUM(E124:G124)</f>
        <v>0</v>
      </c>
      <c r="I124" s="1015"/>
      <c r="K124" s="1124"/>
    </row>
    <row r="125" spans="2:11" s="1016" customFormat="1" ht="17.25" hidden="1">
      <c r="B125" s="1014"/>
      <c r="C125" s="1121"/>
      <c r="D125" s="1129"/>
      <c r="E125" s="1071"/>
      <c r="F125" s="1071"/>
      <c r="G125" s="1116"/>
      <c r="H125" s="1007">
        <f>SUM(E125:G125)</f>
        <v>0</v>
      </c>
      <c r="I125" s="1015"/>
      <c r="K125" s="1124"/>
    </row>
    <row r="126" spans="2:11" s="1031" customFormat="1" ht="17.25">
      <c r="B126" s="1029"/>
      <c r="C126" s="1384" t="s">
        <v>1015</v>
      </c>
      <c r="D126" s="1385"/>
      <c r="E126" s="992">
        <f>+E117+E122</f>
        <v>0</v>
      </c>
      <c r="F126" s="992">
        <f>+F117+F122</f>
        <v>4682378.49</v>
      </c>
      <c r="G126" s="992">
        <f>+G117+G122</f>
        <v>0</v>
      </c>
      <c r="H126" s="992">
        <f>+H117+H122</f>
        <v>4682378.49</v>
      </c>
      <c r="I126" s="1030"/>
      <c r="K126" s="1124"/>
    </row>
    <row r="127" spans="2:11" s="984" customFormat="1" ht="15">
      <c r="B127" s="981"/>
      <c r="C127" s="923"/>
      <c r="D127" s="990"/>
      <c r="E127" s="972"/>
      <c r="F127" s="972"/>
      <c r="G127" s="972"/>
      <c r="H127" s="1021"/>
      <c r="I127" s="983"/>
      <c r="K127" s="1125"/>
    </row>
    <row r="128" spans="2:11" s="1002" customFormat="1" ht="17.25">
      <c r="B128" s="996"/>
      <c r="C128" s="997" t="s">
        <v>646</v>
      </c>
      <c r="D128" s="998" t="s">
        <v>1003</v>
      </c>
      <c r="E128" s="999">
        <f>SUM(E129:E134)</f>
        <v>0</v>
      </c>
      <c r="F128" s="999">
        <f>SUM(F129:F134)</f>
        <v>420088.2</v>
      </c>
      <c r="G128" s="999">
        <f>SUM(G129:G134)</f>
        <v>0</v>
      </c>
      <c r="H128" s="999">
        <f>SUM(H129:H134)</f>
        <v>420088.2</v>
      </c>
      <c r="I128" s="1001"/>
      <c r="K128" s="1124"/>
    </row>
    <row r="129" spans="2:11" s="1016" customFormat="1" ht="17.25" hidden="1">
      <c r="B129" s="1014"/>
      <c r="C129" s="1003" t="s">
        <v>431</v>
      </c>
      <c r="D129" s="1022" t="s">
        <v>122</v>
      </c>
      <c r="E129" s="1006"/>
      <c r="F129" s="1035">
        <f>'FC-8_INV_FINANCIERAS'!G25</f>
        <v>0</v>
      </c>
      <c r="G129" s="894"/>
      <c r="H129" s="1007">
        <f aca="true" t="shared" si="5" ref="H129:H134">SUM(E129:G129)</f>
        <v>0</v>
      </c>
      <c r="I129" s="1015"/>
      <c r="K129" s="1124"/>
    </row>
    <row r="130" spans="2:11" s="1016" customFormat="1" ht="17.25" hidden="1">
      <c r="B130" s="1014"/>
      <c r="C130" s="1003" t="s">
        <v>431</v>
      </c>
      <c r="D130" s="1022" t="s">
        <v>123</v>
      </c>
      <c r="E130" s="1006"/>
      <c r="F130" s="1035">
        <f>'FC-8_INV_FINANCIERAS'!G42</f>
        <v>360000</v>
      </c>
      <c r="G130" s="1114"/>
      <c r="H130" s="1007">
        <f t="shared" si="5"/>
        <v>360000</v>
      </c>
      <c r="I130" s="1015"/>
      <c r="K130" s="1124"/>
    </row>
    <row r="131" spans="2:11" s="1016" customFormat="1" ht="17.25" hidden="1">
      <c r="B131" s="1014"/>
      <c r="C131" s="1003" t="s">
        <v>431</v>
      </c>
      <c r="D131" s="1022" t="s">
        <v>124</v>
      </c>
      <c r="E131" s="1006"/>
      <c r="F131" s="1035">
        <f>'FC-8_INV_FINANCIERAS'!G57</f>
        <v>0</v>
      </c>
      <c r="G131" s="894"/>
      <c r="H131" s="1007">
        <f t="shared" si="5"/>
        <v>0</v>
      </c>
      <c r="I131" s="1015"/>
      <c r="K131" s="1124"/>
    </row>
    <row r="132" spans="2:11" s="1016" customFormat="1" ht="17.25" hidden="1">
      <c r="B132" s="1014"/>
      <c r="C132" s="1003" t="s">
        <v>431</v>
      </c>
      <c r="D132" s="1022" t="s">
        <v>94</v>
      </c>
      <c r="E132" s="1006"/>
      <c r="F132" s="1035">
        <f>'FC-8_INV_FINANCIERAS'!G66</f>
        <v>60088.2</v>
      </c>
      <c r="G132" s="894"/>
      <c r="H132" s="1007">
        <f t="shared" si="5"/>
        <v>60088.2</v>
      </c>
      <c r="I132" s="1015"/>
      <c r="K132" s="1124"/>
    </row>
    <row r="133" spans="2:11" s="1016" customFormat="1" ht="17.25" hidden="1">
      <c r="B133" s="1014"/>
      <c r="C133" s="1119"/>
      <c r="D133" s="1120"/>
      <c r="E133" s="1006"/>
      <c r="F133" s="1006"/>
      <c r="G133" s="894"/>
      <c r="H133" s="1007">
        <f t="shared" si="5"/>
        <v>0</v>
      </c>
      <c r="I133" s="1015"/>
      <c r="K133" s="1124"/>
    </row>
    <row r="134" spans="2:11" s="1016" customFormat="1" ht="17.25" hidden="1">
      <c r="B134" s="1014"/>
      <c r="C134" s="1121"/>
      <c r="D134" s="1129"/>
      <c r="E134" s="1071"/>
      <c r="F134" s="1071"/>
      <c r="G134" s="1116"/>
      <c r="H134" s="1007">
        <f t="shared" si="5"/>
        <v>0</v>
      </c>
      <c r="I134" s="1015"/>
      <c r="K134" s="1124"/>
    </row>
    <row r="135" spans="2:11" s="1016" customFormat="1" ht="17.25">
      <c r="B135" s="1014"/>
      <c r="C135" s="1032" t="s">
        <v>648</v>
      </c>
      <c r="D135" s="624" t="s">
        <v>1004</v>
      </c>
      <c r="E135" s="1033">
        <f>SUM(E136:E143)</f>
        <v>0</v>
      </c>
      <c r="F135" s="1033">
        <f>SUM(F136:F143)</f>
        <v>4397572.45</v>
      </c>
      <c r="G135" s="1033">
        <f>SUM(G136:G143)</f>
        <v>0</v>
      </c>
      <c r="H135" s="1033">
        <f>SUM(H136:H143)</f>
        <v>4397572.45</v>
      </c>
      <c r="I135" s="1015"/>
      <c r="K135" s="1124"/>
    </row>
    <row r="136" spans="2:11" s="1016" customFormat="1" ht="17.25" hidden="1">
      <c r="B136" s="1014"/>
      <c r="C136" s="1003" t="s">
        <v>435</v>
      </c>
      <c r="D136" s="1022" t="s">
        <v>125</v>
      </c>
      <c r="E136" s="1006"/>
      <c r="F136" s="1040">
        <f>'FC-10_DEUDAS'!N43</f>
        <v>4309393.34</v>
      </c>
      <c r="G136" s="1114"/>
      <c r="H136" s="1007">
        <f aca="true" t="shared" si="6" ref="H136:H143">SUM(E136:G136)</f>
        <v>4309393.34</v>
      </c>
      <c r="I136" s="1015"/>
      <c r="K136" s="1124"/>
    </row>
    <row r="137" spans="2:12" s="1016" customFormat="1" ht="17.25" hidden="1">
      <c r="B137" s="1014"/>
      <c r="C137" s="1003"/>
      <c r="D137" s="1022" t="s">
        <v>95</v>
      </c>
      <c r="E137" s="1006"/>
      <c r="F137" s="1117"/>
      <c r="G137" s="1114"/>
      <c r="H137" s="1007">
        <f t="shared" si="6"/>
        <v>0</v>
      </c>
      <c r="I137" s="1015"/>
      <c r="K137" s="1124"/>
      <c r="L137" s="1010" t="s">
        <v>170</v>
      </c>
    </row>
    <row r="138" spans="2:12" s="1028" customFormat="1" ht="17.25" hidden="1">
      <c r="B138" s="1025"/>
      <c r="C138" s="1003"/>
      <c r="D138" s="1022" t="s">
        <v>96</v>
      </c>
      <c r="E138" s="1026"/>
      <c r="F138" s="896"/>
      <c r="G138" s="893"/>
      <c r="H138" s="1007">
        <f t="shared" si="6"/>
        <v>0</v>
      </c>
      <c r="I138" s="1027"/>
      <c r="K138" s="1124"/>
      <c r="L138" s="1010" t="s">
        <v>170</v>
      </c>
    </row>
    <row r="139" spans="2:12" s="1028" customFormat="1" ht="17.25" hidden="1">
      <c r="B139" s="1025"/>
      <c r="C139" s="1003" t="s">
        <v>435</v>
      </c>
      <c r="D139" s="1022" t="s">
        <v>97</v>
      </c>
      <c r="E139" s="1026"/>
      <c r="F139" s="1040">
        <f>'FC-10_DEUDAS'!N75</f>
        <v>88179.10999999999</v>
      </c>
      <c r="G139" s="1114"/>
      <c r="H139" s="1007">
        <f t="shared" si="6"/>
        <v>88179.10999999999</v>
      </c>
      <c r="I139" s="1027"/>
      <c r="K139" s="1124"/>
      <c r="L139" s="1010"/>
    </row>
    <row r="140" spans="2:11" s="1016" customFormat="1" ht="17.25" hidden="1">
      <c r="B140" s="1014"/>
      <c r="C140" s="1003" t="s">
        <v>435</v>
      </c>
      <c r="D140" s="1022" t="s">
        <v>98</v>
      </c>
      <c r="E140" s="1006"/>
      <c r="F140" s="1040">
        <f>'FC-10_DEUDAS'!N107</f>
        <v>0</v>
      </c>
      <c r="G140" s="894"/>
      <c r="H140" s="1007">
        <f t="shared" si="6"/>
        <v>0</v>
      </c>
      <c r="I140" s="1015"/>
      <c r="K140" s="1124"/>
    </row>
    <row r="141" spans="2:12" s="1016" customFormat="1" ht="17.25" hidden="1">
      <c r="B141" s="1014"/>
      <c r="C141" s="1003"/>
      <c r="D141" s="1022" t="s">
        <v>99</v>
      </c>
      <c r="E141" s="1006"/>
      <c r="F141" s="896"/>
      <c r="G141" s="894"/>
      <c r="H141" s="1007">
        <f t="shared" si="6"/>
        <v>0</v>
      </c>
      <c r="I141" s="1015"/>
      <c r="K141" s="1124"/>
      <c r="L141" s="1072" t="s">
        <v>170</v>
      </c>
    </row>
    <row r="142" spans="2:11" s="1016" customFormat="1" ht="17.25" hidden="1">
      <c r="B142" s="1014"/>
      <c r="C142" s="1119"/>
      <c r="D142" s="1120"/>
      <c r="E142" s="1006"/>
      <c r="F142" s="1006"/>
      <c r="G142" s="894"/>
      <c r="H142" s="1007">
        <f t="shared" si="6"/>
        <v>0</v>
      </c>
      <c r="I142" s="1015"/>
      <c r="K142" s="1124"/>
    </row>
    <row r="143" spans="2:11" s="1016" customFormat="1" ht="17.25" hidden="1">
      <c r="B143" s="1014"/>
      <c r="C143" s="1121"/>
      <c r="D143" s="1129"/>
      <c r="E143" s="1071"/>
      <c r="F143" s="1071"/>
      <c r="G143" s="1116"/>
      <c r="H143" s="1007">
        <f t="shared" si="6"/>
        <v>0</v>
      </c>
      <c r="I143" s="1015"/>
      <c r="K143" s="1124"/>
    </row>
    <row r="144" spans="2:11" s="1020" customFormat="1" ht="17.25">
      <c r="B144" s="1017"/>
      <c r="C144" s="1386" t="s">
        <v>1016</v>
      </c>
      <c r="D144" s="1387"/>
      <c r="E144" s="1018">
        <f>+E128+E135</f>
        <v>0</v>
      </c>
      <c r="F144" s="1018">
        <f>+F128+F135</f>
        <v>4817660.65</v>
      </c>
      <c r="G144" s="1018">
        <f>+G128+G135</f>
        <v>0</v>
      </c>
      <c r="H144" s="1018">
        <f>+H128+H135</f>
        <v>4817660.65</v>
      </c>
      <c r="I144" s="1019"/>
      <c r="K144" s="1124"/>
    </row>
    <row r="145" spans="2:11" s="984" customFormat="1" ht="15">
      <c r="B145" s="981"/>
      <c r="C145" s="990"/>
      <c r="D145" s="971"/>
      <c r="E145" s="972"/>
      <c r="F145" s="972"/>
      <c r="G145" s="972"/>
      <c r="H145" s="1044"/>
      <c r="I145" s="983"/>
      <c r="K145" s="1125"/>
    </row>
    <row r="146" spans="2:11" s="1031" customFormat="1" ht="18" thickBot="1">
      <c r="B146" s="1029"/>
      <c r="C146" s="1405" t="s">
        <v>100</v>
      </c>
      <c r="D146" s="1406"/>
      <c r="E146" s="1073">
        <f>+E115+E126+E144</f>
        <v>14092548.370000001</v>
      </c>
      <c r="F146" s="1073">
        <f>+F115+F126+F144</f>
        <v>9500039.14</v>
      </c>
      <c r="G146" s="1073">
        <f>+G115+G126+G144</f>
        <v>610310.89</v>
      </c>
      <c r="H146" s="1073">
        <f>+H115+H126+H144</f>
        <v>24202898.4</v>
      </c>
      <c r="I146" s="1030"/>
      <c r="K146" s="1124"/>
    </row>
    <row r="147" spans="2:11" s="984" customFormat="1" ht="15">
      <c r="B147" s="981"/>
      <c r="C147" s="923"/>
      <c r="D147" s="990"/>
      <c r="E147" s="972"/>
      <c r="F147" s="972"/>
      <c r="G147" s="972"/>
      <c r="H147" s="1021"/>
      <c r="I147" s="983"/>
      <c r="K147" s="1125"/>
    </row>
    <row r="148" spans="2:11" s="984" customFormat="1" ht="18" thickBot="1">
      <c r="B148" s="981"/>
      <c r="C148" s="1074" t="s">
        <v>101</v>
      </c>
      <c r="D148" s="1075"/>
      <c r="E148" s="1076">
        <f>E70-E146</f>
        <v>7999012.219999999</v>
      </c>
      <c r="F148" s="1076">
        <f>F70-F146</f>
        <v>-5655837.390000001</v>
      </c>
      <c r="G148" s="1076">
        <f>G70-G146</f>
        <v>-610310.89</v>
      </c>
      <c r="H148" s="1076">
        <f>H70-H146</f>
        <v>1732863.9400000013</v>
      </c>
      <c r="I148" s="983"/>
      <c r="K148" s="1124"/>
    </row>
    <row r="149" spans="2:11" s="984" customFormat="1" ht="15.75" thickTop="1">
      <c r="B149" s="981"/>
      <c r="C149" s="923"/>
      <c r="D149" s="990"/>
      <c r="E149" s="972"/>
      <c r="F149" s="972"/>
      <c r="G149" s="972"/>
      <c r="H149" s="1021"/>
      <c r="I149" s="983"/>
      <c r="K149" s="1125"/>
    </row>
    <row r="150" spans="2:11" s="984" customFormat="1" ht="15">
      <c r="B150" s="981"/>
      <c r="C150" s="923"/>
      <c r="D150" s="990"/>
      <c r="E150" s="972"/>
      <c r="F150" s="972"/>
      <c r="G150" s="972"/>
      <c r="H150" s="1021"/>
      <c r="I150" s="983"/>
      <c r="K150" s="1125"/>
    </row>
    <row r="151" spans="2:11" s="1081" customFormat="1" ht="17.25">
      <c r="B151" s="1077"/>
      <c r="C151" s="1407" t="s">
        <v>1018</v>
      </c>
      <c r="D151" s="1408"/>
      <c r="E151" s="1078">
        <f>SUM(E152:E162)</f>
        <v>6300978.45</v>
      </c>
      <c r="F151" s="1079">
        <f>SUM(F152:F162)</f>
        <v>0</v>
      </c>
      <c r="G151" s="1079">
        <f>SUM(G152:G162)</f>
        <v>0</v>
      </c>
      <c r="H151" s="1079">
        <f>SUM(H152:H162)</f>
        <v>6300978.45</v>
      </c>
      <c r="I151" s="1080"/>
      <c r="K151" s="1124"/>
    </row>
    <row r="152" spans="2:12" s="1016" customFormat="1" ht="17.25" hidden="1">
      <c r="B152" s="1014"/>
      <c r="C152" s="1003" t="s">
        <v>420</v>
      </c>
      <c r="D152" s="1004" t="s">
        <v>63</v>
      </c>
      <c r="E152" s="1005">
        <f>IF('FC-3_CPyG'!G20&lt;0,-'FC-3_CPyG'!G20,0)</f>
        <v>900</v>
      </c>
      <c r="F152" s="1006"/>
      <c r="G152" s="1006"/>
      <c r="H152" s="1007">
        <f>SUM(E152:G152)</f>
        <v>900</v>
      </c>
      <c r="I152" s="1015"/>
      <c r="K152" s="1124"/>
      <c r="L152" s="1016" t="s">
        <v>102</v>
      </c>
    </row>
    <row r="153" spans="2:11" s="984" customFormat="1" ht="17.25" hidden="1">
      <c r="B153" s="981"/>
      <c r="C153" s="1003" t="s">
        <v>420</v>
      </c>
      <c r="D153" s="1004" t="s">
        <v>103</v>
      </c>
      <c r="E153" s="1005">
        <f>-'FC-3_CPyG'!G26</f>
        <v>0</v>
      </c>
      <c r="F153" s="1006"/>
      <c r="G153" s="1006"/>
      <c r="H153" s="1007">
        <f aca="true" t="shared" si="7" ref="H153:H162">SUM(E153:G153)</f>
        <v>0</v>
      </c>
      <c r="I153" s="983"/>
      <c r="K153" s="1124"/>
    </row>
    <row r="154" spans="2:11" s="984" customFormat="1" ht="17.25" hidden="1">
      <c r="B154" s="981"/>
      <c r="C154" s="1003" t="s">
        <v>420</v>
      </c>
      <c r="D154" s="1004" t="s">
        <v>104</v>
      </c>
      <c r="E154" s="1005">
        <f>-'FC-3_CPyG'!G33</f>
        <v>0</v>
      </c>
      <c r="F154" s="1006"/>
      <c r="G154" s="1006"/>
      <c r="H154" s="1007">
        <f t="shared" si="7"/>
        <v>0</v>
      </c>
      <c r="I154" s="983"/>
      <c r="K154" s="1124"/>
    </row>
    <row r="155" spans="2:11" s="984" customFormat="1" ht="17.25" hidden="1">
      <c r="B155" s="981"/>
      <c r="C155" s="1003" t="s">
        <v>420</v>
      </c>
      <c r="D155" s="1004" t="s">
        <v>105</v>
      </c>
      <c r="E155" s="1005">
        <f>-'FC-3_CPyG'!G37</f>
        <v>0</v>
      </c>
      <c r="F155" s="1006"/>
      <c r="G155" s="1006"/>
      <c r="H155" s="1007">
        <f t="shared" si="7"/>
        <v>0</v>
      </c>
      <c r="I155" s="983"/>
      <c r="K155" s="1124"/>
    </row>
    <row r="156" spans="2:11" s="984" customFormat="1" ht="17.25" hidden="1">
      <c r="B156" s="981"/>
      <c r="C156" s="1003" t="s">
        <v>420</v>
      </c>
      <c r="D156" s="1004" t="s">
        <v>106</v>
      </c>
      <c r="E156" s="1005">
        <f>-'FC-3_CPyG'!G40</f>
        <v>6298878.45</v>
      </c>
      <c r="F156" s="1006"/>
      <c r="G156" s="1006"/>
      <c r="H156" s="1007">
        <f t="shared" si="7"/>
        <v>6298878.45</v>
      </c>
      <c r="I156" s="983"/>
      <c r="K156" s="1124"/>
    </row>
    <row r="157" spans="2:11" s="984" customFormat="1" ht="17.25" hidden="1">
      <c r="B157" s="981"/>
      <c r="C157" s="1003" t="s">
        <v>420</v>
      </c>
      <c r="D157" s="1004" t="s">
        <v>107</v>
      </c>
      <c r="E157" s="1005">
        <f>-'FC-3_CPyG'!G44</f>
        <v>0</v>
      </c>
      <c r="F157" s="1006"/>
      <c r="G157" s="1006"/>
      <c r="H157" s="1007">
        <f t="shared" si="7"/>
        <v>0</v>
      </c>
      <c r="I157" s="983"/>
      <c r="K157" s="1124"/>
    </row>
    <row r="158" spans="2:11" s="984" customFormat="1" ht="17.25" hidden="1">
      <c r="B158" s="981"/>
      <c r="C158" s="1175" t="s">
        <v>420</v>
      </c>
      <c r="D158" s="1176" t="s">
        <v>69</v>
      </c>
      <c r="E158" s="1177">
        <f>IF('FC-3_CPyG'!G45&lt;0,-'FC-3_CPyG'!G45,0)</f>
        <v>0</v>
      </c>
      <c r="F158" s="1006"/>
      <c r="G158" s="1006"/>
      <c r="H158" s="1007">
        <f t="shared" si="7"/>
        <v>0</v>
      </c>
      <c r="I158" s="983"/>
      <c r="K158" s="1178" t="s">
        <v>205</v>
      </c>
    </row>
    <row r="159" spans="2:12" s="984" customFormat="1" ht="17.25" hidden="1">
      <c r="B159" s="981"/>
      <c r="C159" s="1003" t="s">
        <v>420</v>
      </c>
      <c r="D159" s="1004" t="s">
        <v>108</v>
      </c>
      <c r="E159" s="1005">
        <f>-'FC-3_CPyG'!G46</f>
        <v>0</v>
      </c>
      <c r="F159" s="1006"/>
      <c r="G159" s="1006"/>
      <c r="H159" s="1007">
        <f t="shared" si="7"/>
        <v>0</v>
      </c>
      <c r="I159" s="983"/>
      <c r="K159" s="1124"/>
      <c r="L159" s="1064"/>
    </row>
    <row r="160" spans="2:11" s="984" customFormat="1" ht="17.25" hidden="1">
      <c r="B160" s="981"/>
      <c r="C160" s="1003" t="s">
        <v>420</v>
      </c>
      <c r="D160" s="1004" t="s">
        <v>109</v>
      </c>
      <c r="E160" s="1005">
        <f>-'FC-3_CPyG'!G62</f>
        <v>1200</v>
      </c>
      <c r="F160" s="1006"/>
      <c r="G160" s="1006"/>
      <c r="H160" s="1007">
        <f t="shared" si="7"/>
        <v>1200</v>
      </c>
      <c r="I160" s="983"/>
      <c r="K160" s="1124"/>
    </row>
    <row r="161" spans="2:11" s="984" customFormat="1" ht="17.25" hidden="1">
      <c r="B161" s="981"/>
      <c r="C161" s="1003" t="s">
        <v>420</v>
      </c>
      <c r="D161" s="1004" t="s">
        <v>110</v>
      </c>
      <c r="E161" s="1005">
        <f>-'FC-3_CPyG'!G66</f>
        <v>0</v>
      </c>
      <c r="F161" s="1006"/>
      <c r="G161" s="1006"/>
      <c r="H161" s="1007">
        <f t="shared" si="7"/>
        <v>0</v>
      </c>
      <c r="I161" s="983"/>
      <c r="K161" s="1124"/>
    </row>
    <row r="162" spans="2:11" s="984" customFormat="1" ht="17.25" hidden="1">
      <c r="B162" s="981"/>
      <c r="C162" s="1082" t="s">
        <v>420</v>
      </c>
      <c r="D162" s="1083" t="s">
        <v>111</v>
      </c>
      <c r="E162" s="1084">
        <f>-'FC-3_CPyG'!G67</f>
        <v>0</v>
      </c>
      <c r="F162" s="1085"/>
      <c r="G162" s="1085"/>
      <c r="H162" s="1086">
        <f t="shared" si="7"/>
        <v>0</v>
      </c>
      <c r="I162" s="983"/>
      <c r="K162" s="1124"/>
    </row>
    <row r="163" spans="2:11" s="984" customFormat="1" ht="15">
      <c r="B163" s="981"/>
      <c r="C163" s="1050"/>
      <c r="D163" s="1087"/>
      <c r="E163" s="1087"/>
      <c r="F163" s="1087"/>
      <c r="G163" s="1087"/>
      <c r="H163" s="1087"/>
      <c r="I163" s="983"/>
      <c r="K163" s="1125"/>
    </row>
    <row r="164" spans="2:11" s="984" customFormat="1" ht="18" thickBot="1">
      <c r="B164" s="981"/>
      <c r="C164" s="1394" t="s">
        <v>116</v>
      </c>
      <c r="D164" s="1395"/>
      <c r="E164" s="1052">
        <f>+E146+E151</f>
        <v>20393526.82</v>
      </c>
      <c r="F164" s="1052">
        <f>+F146+F151</f>
        <v>9500039.14</v>
      </c>
      <c r="G164" s="1052">
        <f>+G146+G151</f>
        <v>610310.89</v>
      </c>
      <c r="H164" s="1052">
        <f>+H146+H151</f>
        <v>30503876.849999998</v>
      </c>
      <c r="I164" s="983"/>
      <c r="K164" s="1124"/>
    </row>
    <row r="165" spans="2:11" s="984" customFormat="1" ht="17.25">
      <c r="B165" s="981"/>
      <c r="C165" s="1088"/>
      <c r="D165" s="1088"/>
      <c r="E165" s="1089"/>
      <c r="F165" s="1089"/>
      <c r="G165" s="1089"/>
      <c r="H165" s="1089"/>
      <c r="I165" s="983"/>
      <c r="K165" s="1125"/>
    </row>
    <row r="166" spans="2:11" s="984" customFormat="1" ht="18" thickBot="1">
      <c r="B166" s="981"/>
      <c r="C166" s="1074" t="s">
        <v>114</v>
      </c>
      <c r="D166" s="1075"/>
      <c r="E166" s="1076">
        <f>+E82-E164</f>
        <v>2818259.620000001</v>
      </c>
      <c r="F166" s="1076">
        <f>+F82-F164</f>
        <v>-5655837.390000001</v>
      </c>
      <c r="G166" s="1076">
        <f>+G82-G164</f>
        <v>-610310.89</v>
      </c>
      <c r="H166" s="1076">
        <f>+H82-H164</f>
        <v>-3447888.6599999964</v>
      </c>
      <c r="I166" s="983"/>
      <c r="K166" s="1124"/>
    </row>
    <row r="167" spans="2:11" s="984" customFormat="1" ht="15" thickTop="1">
      <c r="B167" s="981"/>
      <c r="C167" s="1050"/>
      <c r="D167" s="1050"/>
      <c r="E167" s="1090"/>
      <c r="F167" s="1090"/>
      <c r="G167" s="1090"/>
      <c r="H167" s="1091"/>
      <c r="I167" s="983"/>
      <c r="K167" s="1125"/>
    </row>
    <row r="168" spans="2:11" s="984" customFormat="1" ht="17.25">
      <c r="B168" s="981"/>
      <c r="C168" s="1388" t="s">
        <v>112</v>
      </c>
      <c r="D168" s="1389"/>
      <c r="E168" s="1092">
        <f>E169+E176+E180+E186+E187+E194</f>
        <v>0</v>
      </c>
      <c r="F168" s="1092">
        <f>F169+F176+F180+F186+F187+F194+F196+F178</f>
        <v>2837577.7700000014</v>
      </c>
      <c r="G168" s="1092">
        <f>G169+G176+G180+G186+G187+G194+G196+G178</f>
        <v>610310.89</v>
      </c>
      <c r="H168" s="1092">
        <f>H169+H176+H180+H186+H187+H194+H196+H178</f>
        <v>3447888.6600000015</v>
      </c>
      <c r="I168" s="983"/>
      <c r="K168" s="1124"/>
    </row>
    <row r="169" spans="2:11" s="984" customFormat="1" ht="17.25" hidden="1">
      <c r="B169" s="981"/>
      <c r="C169" s="1093" t="s">
        <v>564</v>
      </c>
      <c r="D169" s="1022"/>
      <c r="E169" s="1094"/>
      <c r="F169" s="1390">
        <f>SUM(F172:F175)</f>
        <v>6298878.45</v>
      </c>
      <c r="G169" s="1390">
        <f>SUM(G172:G175)</f>
        <v>0</v>
      </c>
      <c r="H169" s="1390">
        <f>F169+G169</f>
        <v>6298878.45</v>
      </c>
      <c r="I169" s="983"/>
      <c r="K169" s="1124"/>
    </row>
    <row r="170" spans="2:11" s="984" customFormat="1" ht="17.25" hidden="1">
      <c r="B170" s="981"/>
      <c r="C170" s="1095" t="s">
        <v>574</v>
      </c>
      <c r="D170" s="1022"/>
      <c r="E170" s="1094"/>
      <c r="F170" s="1391"/>
      <c r="G170" s="1391"/>
      <c r="H170" s="1391"/>
      <c r="I170" s="983"/>
      <c r="K170" s="1124"/>
    </row>
    <row r="171" spans="2:11" s="984" customFormat="1" ht="17.25" hidden="1">
      <c r="B171" s="981"/>
      <c r="C171" s="1095" t="s">
        <v>579</v>
      </c>
      <c r="D171" s="1022"/>
      <c r="E171" s="1094"/>
      <c r="F171" s="1392"/>
      <c r="G171" s="1392"/>
      <c r="H171" s="1392"/>
      <c r="I171" s="983"/>
      <c r="K171" s="1124"/>
    </row>
    <row r="172" spans="2:11" s="984" customFormat="1" ht="17.25" hidden="1">
      <c r="B172" s="981"/>
      <c r="C172" s="1003" t="s">
        <v>429</v>
      </c>
      <c r="D172" s="1022" t="s">
        <v>127</v>
      </c>
      <c r="E172" s="1006"/>
      <c r="F172" s="1035">
        <f>-'FC-7_INF'!G31</f>
        <v>0</v>
      </c>
      <c r="G172" s="1113"/>
      <c r="H172" s="1007"/>
      <c r="I172" s="983"/>
      <c r="K172" s="1124"/>
    </row>
    <row r="173" spans="2:11" s="984" customFormat="1" ht="17.25" hidden="1">
      <c r="B173" s="981"/>
      <c r="C173" s="1003" t="s">
        <v>429</v>
      </c>
      <c r="D173" s="1022" t="s">
        <v>128</v>
      </c>
      <c r="E173" s="1006"/>
      <c r="F173" s="1035">
        <f>-'FC-7_INF'!I31</f>
        <v>6298878.45</v>
      </c>
      <c r="G173" s="1113"/>
      <c r="H173" s="1007"/>
      <c r="I173" s="983"/>
      <c r="K173" s="1124"/>
    </row>
    <row r="174" spans="2:11" s="984" customFormat="1" ht="17.25" hidden="1">
      <c r="B174" s="981"/>
      <c r="C174" s="1003" t="s">
        <v>429</v>
      </c>
      <c r="D174" s="1022" t="s">
        <v>129</v>
      </c>
      <c r="E174" s="1006"/>
      <c r="F174" s="1035">
        <f>-'FC-7_INF'!J31</f>
        <v>0</v>
      </c>
      <c r="G174" s="1113"/>
      <c r="H174" s="1007"/>
      <c r="I174" s="983"/>
      <c r="K174" s="1124"/>
    </row>
    <row r="175" spans="2:11" s="984" customFormat="1" ht="17.25" hidden="1">
      <c r="B175" s="981"/>
      <c r="C175" s="1003" t="s">
        <v>429</v>
      </c>
      <c r="D175" s="1022" t="s">
        <v>130</v>
      </c>
      <c r="E175" s="1006"/>
      <c r="F175" s="1035">
        <f>-'FC-7_INF'!L31</f>
        <v>0</v>
      </c>
      <c r="G175" s="1113"/>
      <c r="H175" s="1007"/>
      <c r="I175" s="983"/>
      <c r="K175" s="1124"/>
    </row>
    <row r="176" spans="2:11" s="984" customFormat="1" ht="17.25" hidden="1">
      <c r="B176" s="981"/>
      <c r="C176" s="1095" t="s">
        <v>432</v>
      </c>
      <c r="D176" s="1022"/>
      <c r="E176" s="1006"/>
      <c r="F176" s="1096">
        <f>F177</f>
        <v>0</v>
      </c>
      <c r="G176" s="1096">
        <f>G177</f>
        <v>0</v>
      </c>
      <c r="H176" s="1097">
        <f>F176+G176</f>
        <v>0</v>
      </c>
      <c r="I176" s="983"/>
      <c r="K176" s="1124"/>
    </row>
    <row r="177" spans="2:11" s="984" customFormat="1" ht="17.25" hidden="1">
      <c r="B177" s="981"/>
      <c r="C177" s="1003" t="s">
        <v>431</v>
      </c>
      <c r="D177" s="1022" t="s">
        <v>799</v>
      </c>
      <c r="E177" s="1006"/>
      <c r="F177" s="1035">
        <f>-'FC-8_INV_FINANCIERAS'!I25-'FC-8_INV_FINANCIERAS'!I42-'FC-8_INV_FINANCIERAS'!I57-'FC-8_INV_FINANCIERAS'!I66</f>
        <v>0</v>
      </c>
      <c r="G177" s="1113"/>
      <c r="H177" s="1007"/>
      <c r="I177" s="983"/>
      <c r="K177" s="1124"/>
    </row>
    <row r="178" spans="2:11" s="984" customFormat="1" ht="17.25" hidden="1">
      <c r="B178" s="981"/>
      <c r="C178" s="1095" t="s">
        <v>594</v>
      </c>
      <c r="D178" s="1022"/>
      <c r="E178" s="1006"/>
      <c r="F178" s="1096">
        <f>F179</f>
        <v>-610310.879999999</v>
      </c>
      <c r="G178" s="1096">
        <f>G179</f>
        <v>610310.89</v>
      </c>
      <c r="H178" s="1097">
        <f>F178+G178</f>
        <v>0.010000001057051122</v>
      </c>
      <c r="I178" s="983"/>
      <c r="K178" s="1124"/>
    </row>
    <row r="179" spans="2:11" s="984" customFormat="1" ht="17.25" hidden="1">
      <c r="B179" s="981"/>
      <c r="C179" s="1003" t="s">
        <v>422</v>
      </c>
      <c r="D179" s="1022" t="s">
        <v>594</v>
      </c>
      <c r="E179" s="1006"/>
      <c r="F179" s="1035">
        <f>-'FC-4_ACTIVO'!G47+'FC-4_ACTIVO'!F47</f>
        <v>-610310.879999999</v>
      </c>
      <c r="G179" s="1113">
        <v>610310.89</v>
      </c>
      <c r="H179" s="1007"/>
      <c r="I179" s="983"/>
      <c r="K179" s="1124" t="s">
        <v>1175</v>
      </c>
    </row>
    <row r="180" spans="2:11" s="984" customFormat="1" ht="17.25" hidden="1">
      <c r="B180" s="981"/>
      <c r="C180" s="1095" t="s">
        <v>131</v>
      </c>
      <c r="D180" s="1022"/>
      <c r="E180" s="1006"/>
      <c r="F180" s="1096">
        <f>SUM(F181:F185)</f>
        <v>-1279325.92</v>
      </c>
      <c r="G180" s="1096">
        <f>SUM(G181:G185)</f>
        <v>0</v>
      </c>
      <c r="H180" s="1097">
        <f>F180+G180</f>
        <v>-1279325.92</v>
      </c>
      <c r="I180" s="983"/>
      <c r="K180" s="1124"/>
    </row>
    <row r="181" spans="2:11" s="984" customFormat="1" ht="17.25" hidden="1">
      <c r="B181" s="981"/>
      <c r="C181" s="1003" t="s">
        <v>141</v>
      </c>
      <c r="D181" s="1022" t="s">
        <v>135</v>
      </c>
      <c r="E181" s="1006"/>
      <c r="F181" s="1035">
        <f>'FC-4_ACTIVO'!F51-'FC-4_ACTIVO'!G51</f>
        <v>0</v>
      </c>
      <c r="G181" s="1113"/>
      <c r="H181" s="1007"/>
      <c r="I181" s="983"/>
      <c r="K181" s="1124"/>
    </row>
    <row r="182" spans="2:11" s="984" customFormat="1" ht="17.25" hidden="1">
      <c r="B182" s="981"/>
      <c r="C182" s="1003" t="s">
        <v>141</v>
      </c>
      <c r="D182" s="1022" t="s">
        <v>136</v>
      </c>
      <c r="E182" s="1006"/>
      <c r="F182" s="1035">
        <f>'FC-4_ACTIVO'!F52-'FC-4_ACTIVO'!G52</f>
        <v>900</v>
      </c>
      <c r="G182" s="1113"/>
      <c r="H182" s="1007"/>
      <c r="I182" s="983"/>
      <c r="K182" s="1124"/>
    </row>
    <row r="183" spans="2:11" s="984" customFormat="1" ht="17.25" hidden="1">
      <c r="B183" s="981"/>
      <c r="C183" s="1003" t="s">
        <v>141</v>
      </c>
      <c r="D183" s="1022" t="s">
        <v>137</v>
      </c>
      <c r="E183" s="1006"/>
      <c r="F183" s="1035">
        <f>'FC-4_ACTIVO'!F65-'FC-4_ACTIVO'!G65</f>
        <v>225776.59999999963</v>
      </c>
      <c r="G183" s="1113"/>
      <c r="H183" s="1007"/>
      <c r="I183" s="983"/>
      <c r="K183" s="1124"/>
    </row>
    <row r="184" spans="2:11" s="984" customFormat="1" ht="17.25" hidden="1">
      <c r="B184" s="981"/>
      <c r="C184" s="1003" t="s">
        <v>141</v>
      </c>
      <c r="D184" s="1022" t="s">
        <v>138</v>
      </c>
      <c r="E184" s="1006"/>
      <c r="F184" s="1035">
        <f>'FC-4_ACTIVO'!F89-'FC-4_ACTIVO'!G89</f>
        <v>10000</v>
      </c>
      <c r="G184" s="1113"/>
      <c r="H184" s="1007"/>
      <c r="I184" s="983"/>
      <c r="K184" s="1124"/>
    </row>
    <row r="185" spans="2:11" s="984" customFormat="1" ht="17.25" hidden="1">
      <c r="B185" s="981"/>
      <c r="C185" s="1003" t="s">
        <v>141</v>
      </c>
      <c r="D185" s="1022" t="s">
        <v>139</v>
      </c>
      <c r="E185" s="1006"/>
      <c r="F185" s="1035">
        <f>'FC-4_ACTIVO'!F90-'FC-4_ACTIVO'!G90</f>
        <v>-1516002.5199999996</v>
      </c>
      <c r="G185" s="1113"/>
      <c r="H185" s="1007"/>
      <c r="I185" s="983"/>
      <c r="K185" s="1124"/>
    </row>
    <row r="186" spans="2:11" s="984" customFormat="1" ht="17.25" hidden="1">
      <c r="B186" s="981"/>
      <c r="C186" s="1098" t="s">
        <v>132</v>
      </c>
      <c r="D186" s="1022"/>
      <c r="E186" s="1006"/>
      <c r="F186" s="1096">
        <f>'FC-4_ACTIVO'!F48-'FC-4_ACTIVO'!G48</f>
        <v>0</v>
      </c>
      <c r="G186" s="1113"/>
      <c r="H186" s="1097">
        <f>F186+G186</f>
        <v>0</v>
      </c>
      <c r="I186" s="983"/>
      <c r="K186" s="1124"/>
    </row>
    <row r="187" spans="2:11" s="984" customFormat="1" ht="17.25" hidden="1">
      <c r="B187" s="981"/>
      <c r="C187" s="1095" t="s">
        <v>133</v>
      </c>
      <c r="D187" s="1022"/>
      <c r="E187" s="1006"/>
      <c r="F187" s="1096">
        <f>SUM(F188:F193)</f>
        <v>-1055321.56</v>
      </c>
      <c r="G187" s="1096">
        <f>SUM(G189:G191)</f>
        <v>0</v>
      </c>
      <c r="H187" s="1097">
        <f>F187+G187</f>
        <v>-1055321.56</v>
      </c>
      <c r="I187" s="983"/>
      <c r="K187" s="1124"/>
    </row>
    <row r="188" spans="2:11" s="984" customFormat="1" ht="17.25" hidden="1">
      <c r="B188" s="981"/>
      <c r="C188" s="1003" t="s">
        <v>142</v>
      </c>
      <c r="D188" s="1022" t="s">
        <v>199</v>
      </c>
      <c r="E188" s="1006"/>
      <c r="F188" s="1035">
        <f>'FC-4_PASIVO'!G44-'FC-4_PASIVO'!F44</f>
        <v>1200</v>
      </c>
      <c r="G188" s="1096"/>
      <c r="H188" s="1097"/>
      <c r="I188" s="983"/>
      <c r="K188" s="1124"/>
    </row>
    <row r="189" spans="2:11" s="984" customFormat="1" ht="17.25" hidden="1">
      <c r="B189" s="981"/>
      <c r="C189" s="1003" t="s">
        <v>142</v>
      </c>
      <c r="D189" s="1022" t="s">
        <v>140</v>
      </c>
      <c r="E189" s="1006"/>
      <c r="F189" s="1179">
        <f>'FC-9_TRANS_SUBV'!K33</f>
        <v>-193743.42</v>
      </c>
      <c r="G189" s="1113"/>
      <c r="H189" s="1007"/>
      <c r="I189" s="983"/>
      <c r="K189" s="1178" t="s">
        <v>204</v>
      </c>
    </row>
    <row r="190" spans="2:11" s="984" customFormat="1" ht="17.25" hidden="1">
      <c r="B190" s="981"/>
      <c r="C190" s="1003" t="s">
        <v>142</v>
      </c>
      <c r="D190" s="1022" t="s">
        <v>143</v>
      </c>
      <c r="E190" s="1006"/>
      <c r="F190" s="1035">
        <f>'FC-4_PASIVO'!G57-'FC-4_PASIVO'!F57</f>
        <v>0</v>
      </c>
      <c r="G190" s="1113"/>
      <c r="H190" s="1007"/>
      <c r="I190" s="983"/>
      <c r="K190" s="1124"/>
    </row>
    <row r="191" spans="2:11" s="984" customFormat="1" ht="17.25" hidden="1">
      <c r="B191" s="981"/>
      <c r="C191" s="1003" t="s">
        <v>142</v>
      </c>
      <c r="D191" s="1022" t="s">
        <v>144</v>
      </c>
      <c r="E191" s="1006"/>
      <c r="F191" s="1035">
        <f>'FC-4_PASIVO'!G73-'FC-4_PASIVO'!F73</f>
        <v>-622088.9500000001</v>
      </c>
      <c r="G191" s="1113"/>
      <c r="H191" s="1007"/>
      <c r="I191" s="983"/>
      <c r="K191" s="1124"/>
    </row>
    <row r="192" spans="2:11" s="984" customFormat="1" ht="17.25" hidden="1">
      <c r="B192" s="981"/>
      <c r="C192" s="1003" t="s">
        <v>142</v>
      </c>
      <c r="D192" s="1022" t="s">
        <v>200</v>
      </c>
      <c r="E192" s="1006"/>
      <c r="F192" s="1035">
        <f>'FC-4_PASIVO'!G63-'FC-4_PASIVO'!F63</f>
        <v>0</v>
      </c>
      <c r="G192" s="1113"/>
      <c r="H192" s="1007"/>
      <c r="I192" s="983"/>
      <c r="K192" s="1124"/>
    </row>
    <row r="193" spans="2:11" s="984" customFormat="1" ht="17.25" hidden="1">
      <c r="B193" s="981"/>
      <c r="C193" s="1003" t="s">
        <v>142</v>
      </c>
      <c r="D193" s="1022" t="s">
        <v>203</v>
      </c>
      <c r="E193" s="1006"/>
      <c r="F193" s="1035">
        <f>'FC-4_PASIVO'!G83-'FC-4_PASIVO'!F83</f>
        <v>-240689.19</v>
      </c>
      <c r="G193" s="1113"/>
      <c r="H193" s="1007"/>
      <c r="I193" s="983"/>
      <c r="K193" s="1124"/>
    </row>
    <row r="194" spans="2:11" s="984" customFormat="1" ht="17.25" hidden="1">
      <c r="B194" s="981"/>
      <c r="C194" s="1095" t="s">
        <v>134</v>
      </c>
      <c r="D194" s="1022"/>
      <c r="E194" s="1006"/>
      <c r="F194" s="1096">
        <f>F195</f>
        <v>-516342.32</v>
      </c>
      <c r="G194" s="1096">
        <f>G195</f>
        <v>0</v>
      </c>
      <c r="H194" s="1097">
        <f>F194+G194</f>
        <v>-516342.32</v>
      </c>
      <c r="I194" s="983"/>
      <c r="K194" s="1124"/>
    </row>
    <row r="195" spans="2:11" s="984" customFormat="1" ht="17.25" hidden="1">
      <c r="B195" s="981"/>
      <c r="C195" s="1003" t="s">
        <v>142</v>
      </c>
      <c r="D195" s="1022" t="s">
        <v>113</v>
      </c>
      <c r="E195" s="1006"/>
      <c r="F195" s="1035">
        <f>'FC-9_TRANS_SUBV'!J33</f>
        <v>-516342.32</v>
      </c>
      <c r="G195" s="1035">
        <v>0</v>
      </c>
      <c r="H195" s="1007"/>
      <c r="I195" s="983"/>
      <c r="K195" s="1124"/>
    </row>
    <row r="196" spans="2:11" s="984" customFormat="1" ht="17.25" hidden="1">
      <c r="B196" s="981"/>
      <c r="C196" s="1095" t="s">
        <v>174</v>
      </c>
      <c r="D196" s="1022"/>
      <c r="E196" s="1006"/>
      <c r="F196" s="1096">
        <f>SUM(F197:F201)</f>
        <v>0</v>
      </c>
      <c r="G196" s="1096">
        <f>SUM(G197:G201)</f>
        <v>0</v>
      </c>
      <c r="H196" s="1096">
        <f>SUM(F196:G196)</f>
        <v>0</v>
      </c>
      <c r="I196" s="983"/>
      <c r="K196" s="1124"/>
    </row>
    <row r="197" spans="2:11" s="984" customFormat="1" ht="17.25" hidden="1">
      <c r="B197" s="981"/>
      <c r="C197" s="1119"/>
      <c r="D197" s="1120"/>
      <c r="E197" s="1006"/>
      <c r="F197" s="1113"/>
      <c r="G197" s="1113"/>
      <c r="H197" s="1007"/>
      <c r="I197" s="983"/>
      <c r="K197" s="1124"/>
    </row>
    <row r="198" spans="2:11" s="984" customFormat="1" ht="17.25" hidden="1">
      <c r="B198" s="981"/>
      <c r="C198" s="1119"/>
      <c r="D198" s="1120"/>
      <c r="E198" s="1006"/>
      <c r="F198" s="1113"/>
      <c r="G198" s="1113"/>
      <c r="H198" s="1007"/>
      <c r="I198" s="983"/>
      <c r="K198" s="1124"/>
    </row>
    <row r="199" spans="2:11" s="984" customFormat="1" ht="17.25" hidden="1">
      <c r="B199" s="981"/>
      <c r="C199" s="1119"/>
      <c r="D199" s="1120"/>
      <c r="E199" s="1006"/>
      <c r="F199" s="1113"/>
      <c r="G199" s="1113"/>
      <c r="H199" s="1007"/>
      <c r="I199" s="983"/>
      <c r="K199" s="1124"/>
    </row>
    <row r="200" spans="2:11" s="984" customFormat="1" ht="17.25" hidden="1">
      <c r="B200" s="981"/>
      <c r="C200" s="1121"/>
      <c r="D200" s="1120"/>
      <c r="E200" s="1071"/>
      <c r="F200" s="1115"/>
      <c r="G200" s="1115"/>
      <c r="H200" s="1007"/>
      <c r="I200" s="983"/>
      <c r="K200" s="1124"/>
    </row>
    <row r="201" spans="2:11" s="984" customFormat="1" ht="18" hidden="1" thickBot="1">
      <c r="B201" s="981"/>
      <c r="C201" s="1122"/>
      <c r="D201" s="1123"/>
      <c r="E201" s="1099"/>
      <c r="F201" s="1118"/>
      <c r="G201" s="1118"/>
      <c r="H201" s="1100"/>
      <c r="I201" s="983"/>
      <c r="K201" s="1124"/>
    </row>
    <row r="202" spans="2:9" s="984" customFormat="1" ht="15">
      <c r="B202" s="981"/>
      <c r="C202" s="1050"/>
      <c r="D202" s="1087"/>
      <c r="E202" s="1087"/>
      <c r="F202" s="1087"/>
      <c r="G202" s="1087"/>
      <c r="H202" s="1091"/>
      <c r="I202" s="983"/>
    </row>
    <row r="203" spans="2:11" ht="15" thickBot="1">
      <c r="B203" s="1101"/>
      <c r="C203" s="1393"/>
      <c r="D203" s="1393"/>
      <c r="E203" s="1102"/>
      <c r="F203" s="1102"/>
      <c r="G203" s="1102"/>
      <c r="H203" s="1103"/>
      <c r="I203" s="1104"/>
      <c r="K203" s="984"/>
    </row>
    <row r="204" spans="3:8" ht="12.75">
      <c r="C204" s="563"/>
      <c r="D204" s="563"/>
      <c r="E204" s="978"/>
      <c r="F204" s="978"/>
      <c r="G204" s="978"/>
      <c r="H204" s="563"/>
    </row>
    <row r="205" spans="3:8" ht="12.75">
      <c r="C205" s="1105" t="s">
        <v>451</v>
      </c>
      <c r="D205" s="563"/>
      <c r="E205" s="978"/>
      <c r="F205" s="978"/>
      <c r="G205" s="978"/>
      <c r="H205" s="968" t="s">
        <v>173</v>
      </c>
    </row>
    <row r="206" spans="3:8" ht="12.75">
      <c r="C206" s="1106" t="s">
        <v>452</v>
      </c>
      <c r="D206" s="563"/>
      <c r="E206" s="978"/>
      <c r="F206" s="978"/>
      <c r="G206" s="978"/>
      <c r="H206" s="563"/>
    </row>
    <row r="207" spans="3:8" ht="12.75">
      <c r="C207" s="1106" t="s">
        <v>453</v>
      </c>
      <c r="D207" s="563"/>
      <c r="E207" s="978"/>
      <c r="F207" s="978"/>
      <c r="G207" s="978"/>
      <c r="H207" s="563"/>
    </row>
    <row r="208" spans="3:8" ht="12.75">
      <c r="C208" s="1106" t="s">
        <v>454</v>
      </c>
      <c r="D208" s="563"/>
      <c r="E208" s="978"/>
      <c r="F208" s="978"/>
      <c r="G208" s="978"/>
      <c r="H208" s="563"/>
    </row>
    <row r="209" spans="3:8" ht="12.75">
      <c r="C209" s="1106" t="s">
        <v>455</v>
      </c>
      <c r="D209" s="563"/>
      <c r="E209" s="978"/>
      <c r="F209" s="978"/>
      <c r="G209" s="978"/>
      <c r="H209" s="563"/>
    </row>
    <row r="210" spans="3:8" ht="12.75">
      <c r="C210" s="563"/>
      <c r="D210" s="563"/>
      <c r="E210" s="978"/>
      <c r="F210" s="978"/>
      <c r="G210" s="978"/>
      <c r="H210" s="563"/>
    </row>
    <row r="211" spans="3:8" ht="12.75">
      <c r="C211" s="563"/>
      <c r="D211" s="563"/>
      <c r="E211" s="978"/>
      <c r="F211" s="978"/>
      <c r="G211" s="978"/>
      <c r="H211" s="563"/>
    </row>
    <row r="212" spans="3:8" ht="12.75">
      <c r="C212" s="563"/>
      <c r="D212" s="563"/>
      <c r="E212" s="978"/>
      <c r="F212" s="978"/>
      <c r="G212" s="978"/>
      <c r="H212" s="563"/>
    </row>
    <row r="213" spans="3:8" s="1016" customFormat="1" ht="21">
      <c r="C213" s="1107" t="s">
        <v>147</v>
      </c>
      <c r="D213" s="563"/>
      <c r="E213" s="978"/>
      <c r="F213" s="1108"/>
      <c r="G213" s="1108"/>
      <c r="H213" s="977"/>
    </row>
    <row r="214" spans="3:8" ht="12.75">
      <c r="C214" s="563"/>
      <c r="D214" s="563"/>
      <c r="E214" s="978"/>
      <c r="H214" s="563"/>
    </row>
    <row r="215" spans="3:5" ht="12.75">
      <c r="C215" s="563"/>
      <c r="D215" s="563"/>
      <c r="E215" s="978"/>
    </row>
    <row r="216" spans="3:5" ht="18" thickBot="1">
      <c r="C216" s="1074" t="s">
        <v>114</v>
      </c>
      <c r="D216" s="1075"/>
      <c r="E216" s="1076"/>
    </row>
    <row r="217" spans="3:5" ht="22.5" customHeight="1" thickTop="1">
      <c r="C217" s="563"/>
      <c r="D217" s="563" t="s">
        <v>148</v>
      </c>
      <c r="E217" s="978">
        <f>+E166</f>
        <v>2818259.620000001</v>
      </c>
    </row>
    <row r="218" spans="4:5" ht="22.5" customHeight="1">
      <c r="D218" s="555" t="s">
        <v>149</v>
      </c>
      <c r="E218" s="970">
        <f>+'FC-3_CPyG'!G84</f>
        <v>2818259.6199999982</v>
      </c>
    </row>
    <row r="219" ht="22.5" customHeight="1">
      <c r="E219" s="1109" t="str">
        <f>IF(ROUND(E217-E218,2)=0,"OK","Mal, revísalo")</f>
        <v>OK</v>
      </c>
    </row>
    <row r="221" spans="4:5" ht="22.5" customHeight="1">
      <c r="D221" s="555" t="s">
        <v>150</v>
      </c>
      <c r="E221" s="970">
        <f>+H166</f>
        <v>-3447888.6599999964</v>
      </c>
    </row>
    <row r="222" spans="4:5" ht="22.5" customHeight="1">
      <c r="D222" s="555" t="s">
        <v>151</v>
      </c>
      <c r="E222" s="970">
        <f>+H168</f>
        <v>3447888.6600000015</v>
      </c>
    </row>
    <row r="223" ht="22.5" customHeight="1">
      <c r="E223" s="1109" t="str">
        <f>IF(ROUND(E221+E222,2)=0,"OK","Revísalo")</f>
        <v>OK</v>
      </c>
    </row>
  </sheetData>
  <sheetProtection password="C494" sheet="1" objects="1" scenarios="1" selectLockedCells="1" selectUnlockedCells="1"/>
  <mergeCells count="22">
    <mergeCell ref="H169:H171"/>
    <mergeCell ref="G169:G171"/>
    <mergeCell ref="C50:D50"/>
    <mergeCell ref="H6:H7"/>
    <mergeCell ref="D9:H9"/>
    <mergeCell ref="C12:D12"/>
    <mergeCell ref="C14:D14"/>
    <mergeCell ref="C39:D39"/>
    <mergeCell ref="C146:D146"/>
    <mergeCell ref="C151:D151"/>
    <mergeCell ref="C68:D68"/>
    <mergeCell ref="C70:D70"/>
    <mergeCell ref="C72:D72"/>
    <mergeCell ref="C82:D82"/>
    <mergeCell ref="C85:D85"/>
    <mergeCell ref="C115:D115"/>
    <mergeCell ref="C126:D126"/>
    <mergeCell ref="C144:D144"/>
    <mergeCell ref="C168:D168"/>
    <mergeCell ref="F169:F171"/>
    <mergeCell ref="C203:D203"/>
    <mergeCell ref="C164:D16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zoomScalePageLayoutView="0" workbookViewId="0" topLeftCell="A1">
      <selection activeCell="E35" sqref="E35"/>
    </sheetView>
  </sheetViews>
  <sheetFormatPr defaultColWidth="10.6640625" defaultRowHeight="22.5" customHeight="1"/>
  <cols>
    <col min="1" max="1" width="4.6640625" style="2" bestFit="1" customWidth="1"/>
    <col min="2" max="2" width="3.3359375" style="2" customWidth="1"/>
    <col min="3" max="3" width="12.3359375" style="2" customWidth="1"/>
    <col min="4" max="4" width="7.5546875" style="2" customWidth="1"/>
    <col min="5" max="5" width="15.3359375" style="2" customWidth="1"/>
    <col min="6" max="7" width="18.3359375" style="2" customWidth="1"/>
    <col min="8" max="8" width="12.99609375" style="2" customWidth="1"/>
    <col min="9" max="9" width="3.5546875" style="2" customWidth="1"/>
    <col min="10" max="16384" width="10.6640625" style="2" customWidth="1"/>
  </cols>
  <sheetData>
    <row r="1" ht="22.5" customHeight="1">
      <c r="E1" s="3"/>
    </row>
    <row r="2" ht="22.5" customHeight="1">
      <c r="D2" s="61" t="s">
        <v>410</v>
      </c>
    </row>
    <row r="3" ht="22.5" customHeight="1">
      <c r="D3" s="61" t="s">
        <v>411</v>
      </c>
    </row>
    <row r="4" ht="22.5" customHeight="1" thickBot="1">
      <c r="A4" s="901" t="s">
        <v>153</v>
      </c>
    </row>
    <row r="5" spans="2:24" ht="9" customHeight="1">
      <c r="B5" s="5"/>
      <c r="C5" s="6"/>
      <c r="D5" s="6"/>
      <c r="E5" s="6"/>
      <c r="F5" s="6"/>
      <c r="G5" s="6"/>
      <c r="H5" s="6"/>
      <c r="I5" s="7"/>
      <c r="K5" s="362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4"/>
    </row>
    <row r="6" spans="2:24" ht="30" customHeight="1">
      <c r="B6" s="8"/>
      <c r="C6" s="1" t="s">
        <v>379</v>
      </c>
      <c r="D6" s="23"/>
      <c r="E6" s="23"/>
      <c r="F6" s="23"/>
      <c r="G6" s="3"/>
      <c r="H6" s="1226">
        <f>ejercicio</f>
        <v>2019</v>
      </c>
      <c r="I6" s="9"/>
      <c r="K6" s="365"/>
      <c r="L6" s="366" t="s">
        <v>1067</v>
      </c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8"/>
    </row>
    <row r="7" spans="2:24" ht="30" customHeight="1">
      <c r="B7" s="8"/>
      <c r="C7" s="1" t="s">
        <v>380</v>
      </c>
      <c r="D7" s="3"/>
      <c r="E7" s="3"/>
      <c r="F7" s="3"/>
      <c r="G7" s="3"/>
      <c r="H7" s="1226">
        <v>2018</v>
      </c>
      <c r="I7" s="9"/>
      <c r="K7" s="365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8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365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8"/>
    </row>
    <row r="9" spans="2:24" ht="30" customHeight="1">
      <c r="B9" s="8"/>
      <c r="C9" s="39" t="s">
        <v>381</v>
      </c>
      <c r="D9" s="1231" t="str">
        <f>Entidad</f>
        <v>INSTITUTO TECNOLOGICO Y DE ENERGIAS RENOVABLES S.A.</v>
      </c>
      <c r="E9" s="1231"/>
      <c r="F9" s="1231"/>
      <c r="G9" s="1231"/>
      <c r="H9" s="1231"/>
      <c r="I9" s="9"/>
      <c r="K9" s="369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1"/>
    </row>
    <row r="10" spans="2:24" ht="6.75" customHeight="1">
      <c r="B10" s="8"/>
      <c r="C10" s="3"/>
      <c r="D10" s="3"/>
      <c r="E10" s="3"/>
      <c r="F10" s="3"/>
      <c r="G10" s="3"/>
      <c r="H10" s="10"/>
      <c r="I10" s="9"/>
      <c r="K10" s="365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8"/>
    </row>
    <row r="11" spans="2:24" s="12" customFormat="1" ht="30" customHeight="1">
      <c r="B11" s="24"/>
      <c r="C11" s="11" t="s">
        <v>450</v>
      </c>
      <c r="D11" s="11"/>
      <c r="E11" s="11"/>
      <c r="F11" s="11"/>
      <c r="G11" s="11"/>
      <c r="H11" s="11"/>
      <c r="I11" s="25"/>
      <c r="K11" s="372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4"/>
    </row>
    <row r="12" spans="2:24" ht="22.5" customHeight="1">
      <c r="B12" s="8"/>
      <c r="C12" s="3"/>
      <c r="D12" s="3"/>
      <c r="E12" s="3"/>
      <c r="F12" s="3"/>
      <c r="G12" s="3"/>
      <c r="H12" s="3"/>
      <c r="I12" s="9"/>
      <c r="K12" s="372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4"/>
    </row>
    <row r="13" spans="2:24" ht="22.5" customHeight="1">
      <c r="B13" s="8"/>
      <c r="C13" s="13" t="s">
        <v>1047</v>
      </c>
      <c r="D13" s="13"/>
      <c r="E13" s="13"/>
      <c r="F13" s="13"/>
      <c r="G13" s="13"/>
      <c r="H13" s="480">
        <f>+H15+H19</f>
        <v>11</v>
      </c>
      <c r="I13" s="9"/>
      <c r="K13" s="365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8"/>
    </row>
    <row r="14" spans="2:24" ht="22.5" customHeight="1">
      <c r="B14" s="8"/>
      <c r="C14" s="3"/>
      <c r="D14" s="3"/>
      <c r="E14" s="3"/>
      <c r="F14" s="3"/>
      <c r="G14" s="3"/>
      <c r="H14" s="3"/>
      <c r="I14" s="9"/>
      <c r="K14" s="365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8"/>
    </row>
    <row r="15" spans="2:24" ht="22.5" customHeight="1">
      <c r="B15" s="8"/>
      <c r="C15" s="3"/>
      <c r="D15" s="481" t="s">
        <v>1048</v>
      </c>
      <c r="E15" s="481"/>
      <c r="F15" s="481"/>
      <c r="G15" s="481"/>
      <c r="H15" s="482">
        <f>H16+H17</f>
        <v>11</v>
      </c>
      <c r="I15" s="9"/>
      <c r="K15" s="365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8"/>
    </row>
    <row r="16" spans="2:24" ht="22.5" customHeight="1">
      <c r="B16" s="8"/>
      <c r="C16" s="3"/>
      <c r="D16" s="3"/>
      <c r="E16" s="26" t="s">
        <v>382</v>
      </c>
      <c r="F16" s="26"/>
      <c r="G16" s="26"/>
      <c r="H16" s="394">
        <v>10</v>
      </c>
      <c r="I16" s="9"/>
      <c r="K16" s="365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8"/>
    </row>
    <row r="17" spans="2:24" ht="22.5" customHeight="1">
      <c r="B17" s="8"/>
      <c r="C17" s="3"/>
      <c r="D17" s="3"/>
      <c r="E17" s="26" t="s">
        <v>383</v>
      </c>
      <c r="F17" s="26"/>
      <c r="G17" s="26"/>
      <c r="H17" s="394">
        <v>1</v>
      </c>
      <c r="I17" s="9"/>
      <c r="K17" s="365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8"/>
    </row>
    <row r="18" spans="2:24" ht="22.5" customHeight="1">
      <c r="B18" s="8"/>
      <c r="C18" s="3"/>
      <c r="D18" s="3"/>
      <c r="E18" s="3"/>
      <c r="F18" s="3"/>
      <c r="G18" s="3"/>
      <c r="H18" s="3"/>
      <c r="I18" s="9"/>
      <c r="K18" s="365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8"/>
    </row>
    <row r="19" spans="2:24" ht="22.5" customHeight="1">
      <c r="B19" s="8"/>
      <c r="C19" s="3"/>
      <c r="D19" s="481" t="s">
        <v>1049</v>
      </c>
      <c r="E19" s="481"/>
      <c r="F19" s="481"/>
      <c r="G19" s="481"/>
      <c r="H19" s="483"/>
      <c r="I19" s="9"/>
      <c r="K19" s="365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8"/>
    </row>
    <row r="20" spans="2:24" ht="22.5" customHeight="1">
      <c r="B20" s="8"/>
      <c r="C20" s="3"/>
      <c r="D20" s="3"/>
      <c r="E20" s="3"/>
      <c r="F20" s="3"/>
      <c r="G20" s="3"/>
      <c r="H20" s="3"/>
      <c r="I20" s="9"/>
      <c r="K20" s="365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8"/>
    </row>
    <row r="21" spans="2:24" ht="22.5" customHeight="1">
      <c r="B21" s="8"/>
      <c r="C21" s="3"/>
      <c r="D21" s="3"/>
      <c r="E21" s="3"/>
      <c r="F21" s="3"/>
      <c r="G21" s="3"/>
      <c r="H21" s="3"/>
      <c r="I21" s="9"/>
      <c r="K21" s="365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8"/>
    </row>
    <row r="22" spans="2:24" ht="30.75" customHeight="1">
      <c r="B22" s="8"/>
      <c r="C22" s="27" t="s">
        <v>385</v>
      </c>
      <c r="D22" s="27" t="s">
        <v>384</v>
      </c>
      <c r="E22" s="27"/>
      <c r="F22" s="27"/>
      <c r="G22" s="27"/>
      <c r="H22" s="28" t="s">
        <v>386</v>
      </c>
      <c r="I22" s="9"/>
      <c r="K22" s="365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8"/>
    </row>
    <row r="23" spans="2:24" ht="22.5" customHeight="1">
      <c r="B23" s="8"/>
      <c r="C23" s="29" t="s">
        <v>1050</v>
      </c>
      <c r="D23" s="1201" t="s">
        <v>317</v>
      </c>
      <c r="E23" s="1202"/>
      <c r="F23" s="484"/>
      <c r="G23" s="484"/>
      <c r="H23" s="1206">
        <v>42278</v>
      </c>
      <c r="I23" s="9"/>
      <c r="K23" s="365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8"/>
    </row>
    <row r="24" spans="2:24" ht="22.5" customHeight="1">
      <c r="B24" s="8"/>
      <c r="C24" s="30" t="s">
        <v>1051</v>
      </c>
      <c r="D24" s="1201" t="s">
        <v>318</v>
      </c>
      <c r="E24" s="1201"/>
      <c r="F24" s="485"/>
      <c r="G24" s="485"/>
      <c r="H24" s="1205">
        <v>42278</v>
      </c>
      <c r="I24" s="9"/>
      <c r="K24" s="365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8"/>
    </row>
    <row r="25" spans="2:24" ht="22.5" customHeight="1">
      <c r="B25" s="8"/>
      <c r="C25" s="30" t="s">
        <v>1052</v>
      </c>
      <c r="D25" s="1201" t="s">
        <v>328</v>
      </c>
      <c r="E25" s="1201"/>
      <c r="F25" s="485"/>
      <c r="G25" s="485"/>
      <c r="H25" s="395">
        <v>43084</v>
      </c>
      <c r="I25" s="9"/>
      <c r="K25" s="365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8"/>
    </row>
    <row r="26" spans="2:24" ht="22.5" customHeight="1">
      <c r="B26" s="8"/>
      <c r="C26" s="30" t="s">
        <v>1053</v>
      </c>
      <c r="D26" s="1201"/>
      <c r="E26" s="1201"/>
      <c r="F26" s="485"/>
      <c r="G26" s="485"/>
      <c r="H26" s="395"/>
      <c r="I26" s="9"/>
      <c r="K26" s="365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8"/>
    </row>
    <row r="27" spans="2:24" ht="22.5" customHeight="1">
      <c r="B27" s="8"/>
      <c r="C27" s="30" t="s">
        <v>387</v>
      </c>
      <c r="D27" s="1201" t="s">
        <v>319</v>
      </c>
      <c r="E27" s="1201"/>
      <c r="F27" s="485"/>
      <c r="G27" s="485"/>
      <c r="H27" s="1205">
        <v>42278</v>
      </c>
      <c r="I27" s="9"/>
      <c r="K27" s="365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8"/>
    </row>
    <row r="28" spans="2:24" ht="22.5" customHeight="1">
      <c r="B28" s="8"/>
      <c r="C28" s="30" t="s">
        <v>388</v>
      </c>
      <c r="D28" s="1201" t="s">
        <v>320</v>
      </c>
      <c r="E28" s="1201"/>
      <c r="F28" s="485"/>
      <c r="G28" s="485"/>
      <c r="H28" s="1205">
        <v>42278</v>
      </c>
      <c r="I28" s="9"/>
      <c r="K28" s="365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8"/>
    </row>
    <row r="29" spans="2:24" ht="22.5" customHeight="1">
      <c r="B29" s="8"/>
      <c r="C29" s="30" t="s">
        <v>389</v>
      </c>
      <c r="D29" s="1201" t="s">
        <v>321</v>
      </c>
      <c r="E29" s="1201"/>
      <c r="F29" s="485"/>
      <c r="G29" s="485"/>
      <c r="H29" s="1205">
        <v>42278</v>
      </c>
      <c r="I29" s="9"/>
      <c r="K29" s="365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8"/>
    </row>
    <row r="30" spans="2:24" ht="22.5" customHeight="1">
      <c r="B30" s="8"/>
      <c r="C30" s="30" t="s">
        <v>390</v>
      </c>
      <c r="D30" s="1201" t="s">
        <v>322</v>
      </c>
      <c r="E30" s="1201"/>
      <c r="F30" s="485"/>
      <c r="G30" s="485"/>
      <c r="H30" s="1205">
        <v>42278</v>
      </c>
      <c r="I30" s="9"/>
      <c r="K30" s="375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7"/>
    </row>
    <row r="31" spans="2:24" ht="22.5" customHeight="1">
      <c r="B31" s="8"/>
      <c r="C31" s="30" t="s">
        <v>391</v>
      </c>
      <c r="D31" s="1201" t="s">
        <v>323</v>
      </c>
      <c r="E31" s="1201"/>
      <c r="F31" s="485"/>
      <c r="G31" s="485"/>
      <c r="H31" s="1205">
        <v>42278</v>
      </c>
      <c r="I31" s="9"/>
      <c r="K31" s="375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6"/>
      <c r="X31" s="377"/>
    </row>
    <row r="32" spans="2:24" ht="22.5" customHeight="1">
      <c r="B32" s="8"/>
      <c r="C32" s="30" t="s">
        <v>392</v>
      </c>
      <c r="D32" s="1201" t="s">
        <v>324</v>
      </c>
      <c r="E32" s="1201"/>
      <c r="F32" s="485"/>
      <c r="G32" s="485"/>
      <c r="H32" s="1205">
        <v>42278</v>
      </c>
      <c r="I32" s="9"/>
      <c r="K32" s="365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8"/>
    </row>
    <row r="33" spans="2:24" ht="22.5" customHeight="1">
      <c r="B33" s="8"/>
      <c r="C33" s="30" t="s">
        <v>393</v>
      </c>
      <c r="D33" s="1201" t="s">
        <v>325</v>
      </c>
      <c r="E33" s="1201"/>
      <c r="F33" s="485"/>
      <c r="G33" s="485"/>
      <c r="H33" s="1205">
        <v>42278</v>
      </c>
      <c r="I33" s="9"/>
      <c r="K33" s="365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8"/>
    </row>
    <row r="34" spans="2:24" ht="22.5" customHeight="1">
      <c r="B34" s="8"/>
      <c r="C34" s="30" t="s">
        <v>394</v>
      </c>
      <c r="D34" s="485" t="s">
        <v>329</v>
      </c>
      <c r="E34" s="485"/>
      <c r="F34" s="485"/>
      <c r="G34" s="485"/>
      <c r="H34" s="395">
        <v>42888</v>
      </c>
      <c r="I34" s="9"/>
      <c r="K34" s="365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8"/>
    </row>
    <row r="35" spans="2:24" ht="22.5" customHeight="1">
      <c r="B35" s="8"/>
      <c r="C35" s="30" t="s">
        <v>395</v>
      </c>
      <c r="D35" s="485" t="s">
        <v>330</v>
      </c>
      <c r="E35" s="485"/>
      <c r="F35" s="485"/>
      <c r="G35" s="485"/>
      <c r="H35" s="395">
        <v>43084</v>
      </c>
      <c r="I35" s="9"/>
      <c r="K35" s="365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8"/>
    </row>
    <row r="36" spans="2:24" ht="22.5" customHeight="1">
      <c r="B36" s="8"/>
      <c r="C36" s="30" t="s">
        <v>396</v>
      </c>
      <c r="D36" s="485"/>
      <c r="E36" s="485"/>
      <c r="F36" s="485"/>
      <c r="G36" s="485"/>
      <c r="H36" s="395"/>
      <c r="I36" s="9"/>
      <c r="K36" s="378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80"/>
    </row>
    <row r="37" spans="2:24" ht="22.5" customHeight="1">
      <c r="B37" s="8"/>
      <c r="C37" s="30" t="s">
        <v>397</v>
      </c>
      <c r="D37" s="485"/>
      <c r="E37" s="485"/>
      <c r="F37" s="485"/>
      <c r="G37" s="485"/>
      <c r="H37" s="395"/>
      <c r="I37" s="9"/>
      <c r="K37" s="378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80"/>
    </row>
    <row r="38" spans="2:24" ht="22.5" customHeight="1">
      <c r="B38" s="8"/>
      <c r="C38" s="30" t="s">
        <v>398</v>
      </c>
      <c r="D38" s="485"/>
      <c r="E38" s="485"/>
      <c r="F38" s="485"/>
      <c r="G38" s="485"/>
      <c r="H38" s="395"/>
      <c r="I38" s="9"/>
      <c r="K38" s="378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80"/>
    </row>
    <row r="39" spans="2:24" ht="22.5" customHeight="1">
      <c r="B39" s="8"/>
      <c r="C39" s="31"/>
      <c r="D39" s="32"/>
      <c r="E39" s="32"/>
      <c r="F39" s="32"/>
      <c r="G39" s="32"/>
      <c r="H39" s="33"/>
      <c r="I39" s="9"/>
      <c r="K39" s="378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80"/>
    </row>
    <row r="40" spans="2:24" ht="22.5" customHeight="1">
      <c r="B40" s="8"/>
      <c r="C40" s="34" t="s">
        <v>1054</v>
      </c>
      <c r="D40" s="1203" t="s">
        <v>326</v>
      </c>
      <c r="E40" s="1203"/>
      <c r="F40" s="1203"/>
      <c r="G40" s="486"/>
      <c r="H40" s="396"/>
      <c r="I40" s="9"/>
      <c r="K40" s="365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8"/>
    </row>
    <row r="41" spans="2:24" ht="22.5" customHeight="1">
      <c r="B41" s="8"/>
      <c r="C41" s="34" t="s">
        <v>415</v>
      </c>
      <c r="D41" s="1204" t="s">
        <v>327</v>
      </c>
      <c r="E41" s="1201"/>
      <c r="F41" s="1201"/>
      <c r="G41" s="485"/>
      <c r="H41" s="396"/>
      <c r="I41" s="9"/>
      <c r="K41" s="365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8"/>
    </row>
    <row r="42" spans="2:24" ht="22.5" customHeight="1" thickBot="1">
      <c r="B42" s="18"/>
      <c r="C42" s="19"/>
      <c r="D42" s="19"/>
      <c r="E42" s="19"/>
      <c r="F42" s="19"/>
      <c r="G42" s="35"/>
      <c r="H42" s="19"/>
      <c r="I42" s="20"/>
      <c r="K42" s="381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3"/>
    </row>
    <row r="43" spans="7:10" ht="22.5" customHeight="1">
      <c r="G43" s="36"/>
      <c r="J43" s="901" t="s">
        <v>154</v>
      </c>
    </row>
    <row r="44" spans="3:25" s="42" customFormat="1" ht="15">
      <c r="C44" s="37" t="s">
        <v>451</v>
      </c>
      <c r="G44" s="43"/>
      <c r="H44" s="41" t="s">
        <v>416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3:25" s="42" customFormat="1" ht="15">
      <c r="C45" s="38" t="s">
        <v>452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3:25" s="42" customFormat="1" ht="15">
      <c r="C46" s="38" t="s">
        <v>453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3:25" s="42" customFormat="1" ht="15">
      <c r="C47" s="38" t="s">
        <v>454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s="42" customFormat="1" ht="15">
      <c r="C48" s="38" t="s">
        <v>455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22.5" customHeight="1">
      <c r="G49" s="36"/>
    </row>
    <row r="50" ht="22.5" customHeight="1">
      <c r="G50" s="36"/>
    </row>
    <row r="51" ht="22.5" customHeight="1">
      <c r="G51" s="36"/>
    </row>
    <row r="52" ht="22.5" customHeight="1">
      <c r="G52" s="36"/>
    </row>
    <row r="53" ht="22.5" customHeight="1">
      <c r="G53" s="36"/>
    </row>
    <row r="54" ht="22.5" customHeight="1">
      <c r="G54" s="36"/>
    </row>
    <row r="55" ht="22.5" customHeight="1">
      <c r="G55" s="36"/>
    </row>
  </sheetData>
  <sheetProtection password="C494" sheet="1" objects="1" scenarios="1"/>
  <mergeCells count="2">
    <mergeCell ref="H6:H7"/>
    <mergeCell ref="D9:H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7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PageLayoutView="0" workbookViewId="0" topLeftCell="A7">
      <selection activeCell="L17" sqref="L17:L18"/>
    </sheetView>
  </sheetViews>
  <sheetFormatPr defaultColWidth="10.6640625" defaultRowHeight="22.5" customHeight="1"/>
  <cols>
    <col min="1" max="1" width="4.3359375" style="659" bestFit="1" customWidth="1"/>
    <col min="2" max="2" width="3.3359375" style="659" customWidth="1"/>
    <col min="3" max="3" width="13.5546875" style="659" customWidth="1"/>
    <col min="4" max="4" width="16.3359375" style="659" customWidth="1"/>
    <col min="5" max="5" width="13.99609375" style="659" customWidth="1"/>
    <col min="6" max="7" width="16.3359375" style="659" customWidth="1"/>
    <col min="8" max="8" width="10.3359375" style="659" customWidth="1"/>
    <col min="9" max="9" width="12.99609375" style="659" customWidth="1"/>
    <col min="10" max="10" width="10.6640625" style="659" customWidth="1"/>
    <col min="11" max="11" width="1.99609375" style="659" customWidth="1"/>
    <col min="12" max="12" width="12.6640625" style="659" customWidth="1"/>
    <col min="13" max="15" width="10.6640625" style="659" customWidth="1"/>
    <col min="16" max="16" width="30.4453125" style="659" customWidth="1"/>
    <col min="17" max="17" width="3.3359375" style="659" customWidth="1"/>
    <col min="18" max="16384" width="10.6640625" style="659" customWidth="1"/>
  </cols>
  <sheetData>
    <row r="1" ht="22.5" customHeight="1">
      <c r="D1" s="660"/>
    </row>
    <row r="2" ht="22.5" customHeight="1">
      <c r="D2" s="661" t="s">
        <v>410</v>
      </c>
    </row>
    <row r="3" ht="22.5" customHeight="1">
      <c r="D3" s="661" t="s">
        <v>411</v>
      </c>
    </row>
    <row r="4" ht="22.5" customHeight="1" thickBot="1">
      <c r="A4" s="659" t="s">
        <v>153</v>
      </c>
    </row>
    <row r="5" spans="2:32" ht="9" customHeight="1">
      <c r="B5" s="662"/>
      <c r="C5" s="663"/>
      <c r="D5" s="663"/>
      <c r="E5" s="663"/>
      <c r="F5" s="663"/>
      <c r="G5" s="663"/>
      <c r="H5" s="663"/>
      <c r="I5" s="663"/>
      <c r="J5" s="663"/>
      <c r="K5" s="663"/>
      <c r="L5" s="663"/>
      <c r="M5" s="663"/>
      <c r="N5" s="663"/>
      <c r="O5" s="663"/>
      <c r="P5" s="663"/>
      <c r="Q5" s="664"/>
      <c r="S5" s="362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4"/>
    </row>
    <row r="6" spans="2:32" ht="30" customHeight="1">
      <c r="B6" s="665"/>
      <c r="C6" s="666" t="s">
        <v>379</v>
      </c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P6" s="1232">
        <f>ejercicio</f>
        <v>2019</v>
      </c>
      <c r="Q6" s="667"/>
      <c r="S6" s="365"/>
      <c r="T6" s="366" t="s">
        <v>1067</v>
      </c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8"/>
    </row>
    <row r="7" spans="2:32" ht="30" customHeight="1">
      <c r="B7" s="665"/>
      <c r="C7" s="666" t="s">
        <v>380</v>
      </c>
      <c r="D7" s="660"/>
      <c r="E7" s="660"/>
      <c r="F7" s="660"/>
      <c r="G7" s="660"/>
      <c r="H7" s="660"/>
      <c r="I7" s="660"/>
      <c r="J7" s="660"/>
      <c r="K7" s="660"/>
      <c r="L7" s="660"/>
      <c r="M7" s="668"/>
      <c r="N7" s="660"/>
      <c r="P7" s="1232"/>
      <c r="Q7" s="667"/>
      <c r="S7" s="365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8"/>
    </row>
    <row r="8" spans="2:32" ht="30" customHeight="1">
      <c r="B8" s="665"/>
      <c r="C8" s="669"/>
      <c r="D8" s="660"/>
      <c r="E8" s="660"/>
      <c r="F8" s="660"/>
      <c r="G8" s="660"/>
      <c r="H8" s="660"/>
      <c r="I8" s="660"/>
      <c r="J8" s="660"/>
      <c r="K8" s="660"/>
      <c r="L8" s="660"/>
      <c r="M8" s="668"/>
      <c r="N8" s="660"/>
      <c r="O8" s="670"/>
      <c r="P8" s="670"/>
      <c r="Q8" s="667"/>
      <c r="S8" s="365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8"/>
    </row>
    <row r="9" spans="2:32" s="674" customFormat="1" ht="30" customHeight="1">
      <c r="B9" s="671"/>
      <c r="C9" s="672" t="s">
        <v>381</v>
      </c>
      <c r="D9" s="1234" t="str">
        <f>Entidad</f>
        <v>INSTITUTO TECNOLOGICO Y DE ENERGIAS RENOVABLES S.A.</v>
      </c>
      <c r="E9" s="1234"/>
      <c r="F9" s="1234"/>
      <c r="G9" s="1234"/>
      <c r="H9" s="1234"/>
      <c r="I9" s="1234"/>
      <c r="J9" s="1234"/>
      <c r="K9" s="1234"/>
      <c r="L9" s="1234"/>
      <c r="M9" s="1234"/>
      <c r="N9" s="1234"/>
      <c r="O9" s="1234"/>
      <c r="P9" s="654"/>
      <c r="Q9" s="673"/>
      <c r="S9" s="369"/>
      <c r="T9" s="370"/>
      <c r="U9" s="370"/>
      <c r="V9" s="370"/>
      <c r="W9" s="370"/>
      <c r="X9" s="370"/>
      <c r="Y9" s="370"/>
      <c r="Z9" s="370"/>
      <c r="AA9" s="370"/>
      <c r="AB9" s="370"/>
      <c r="AC9" s="370"/>
      <c r="AD9" s="370"/>
      <c r="AE9" s="370"/>
      <c r="AF9" s="371"/>
    </row>
    <row r="10" spans="2:32" ht="6.75" customHeight="1">
      <c r="B10" s="665"/>
      <c r="C10" s="660"/>
      <c r="D10" s="660"/>
      <c r="E10" s="660"/>
      <c r="F10" s="660"/>
      <c r="G10" s="660"/>
      <c r="H10" s="660"/>
      <c r="I10" s="668"/>
      <c r="J10" s="660"/>
      <c r="K10" s="660"/>
      <c r="L10" s="660"/>
      <c r="M10" s="660"/>
      <c r="N10" s="660"/>
      <c r="O10" s="660"/>
      <c r="P10" s="660"/>
      <c r="Q10" s="667"/>
      <c r="S10" s="365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8"/>
    </row>
    <row r="11" spans="2:32" s="678" customFormat="1" ht="30" customHeight="1">
      <c r="B11" s="675"/>
      <c r="C11" s="676" t="s">
        <v>457</v>
      </c>
      <c r="D11" s="676"/>
      <c r="E11" s="676"/>
      <c r="F11" s="676"/>
      <c r="G11" s="676"/>
      <c r="H11" s="676"/>
      <c r="I11" s="676"/>
      <c r="J11" s="676"/>
      <c r="K11" s="676"/>
      <c r="L11" s="676"/>
      <c r="M11" s="676"/>
      <c r="N11" s="676"/>
      <c r="O11" s="676"/>
      <c r="P11" s="676"/>
      <c r="Q11" s="677"/>
      <c r="S11" s="372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4"/>
    </row>
    <row r="12" spans="2:32" ht="22.5" customHeight="1">
      <c r="B12" s="665"/>
      <c r="C12" s="660"/>
      <c r="D12" s="660"/>
      <c r="E12" s="660"/>
      <c r="F12" s="660"/>
      <c r="G12" s="660"/>
      <c r="H12" s="660"/>
      <c r="I12" s="660"/>
      <c r="J12" s="660"/>
      <c r="K12" s="660"/>
      <c r="L12" s="660"/>
      <c r="M12" s="660"/>
      <c r="N12" s="660"/>
      <c r="O12" s="660"/>
      <c r="P12" s="660"/>
      <c r="Q12" s="667"/>
      <c r="S12" s="372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4"/>
    </row>
    <row r="13" spans="2:32" ht="22.5" customHeight="1">
      <c r="B13" s="665"/>
      <c r="C13" s="679" t="s">
        <v>155</v>
      </c>
      <c r="D13" s="679"/>
      <c r="E13" s="679"/>
      <c r="F13" s="679"/>
      <c r="G13" s="679"/>
      <c r="H13" s="679"/>
      <c r="I13" s="679"/>
      <c r="J13" s="679"/>
      <c r="K13" s="679"/>
      <c r="L13" s="679"/>
      <c r="M13" s="679"/>
      <c r="N13" s="679"/>
      <c r="O13" s="679"/>
      <c r="P13" s="679"/>
      <c r="Q13" s="667"/>
      <c r="S13" s="365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8"/>
    </row>
    <row r="14" spans="2:32" ht="22.5" customHeight="1">
      <c r="B14" s="665"/>
      <c r="C14" s="669"/>
      <c r="D14" s="669"/>
      <c r="E14" s="669"/>
      <c r="F14" s="669"/>
      <c r="G14" s="669"/>
      <c r="H14" s="669"/>
      <c r="I14" s="669"/>
      <c r="J14" s="669"/>
      <c r="K14" s="669"/>
      <c r="L14" s="669"/>
      <c r="M14" s="669"/>
      <c r="N14" s="669"/>
      <c r="O14" s="669"/>
      <c r="P14" s="669"/>
      <c r="Q14" s="667"/>
      <c r="S14" s="365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8"/>
    </row>
    <row r="15" spans="2:32" ht="22.5" customHeight="1">
      <c r="B15" s="665"/>
      <c r="C15" s="660"/>
      <c r="D15" s="660"/>
      <c r="E15" s="660"/>
      <c r="F15" s="1237" t="s">
        <v>1110</v>
      </c>
      <c r="G15" s="1237"/>
      <c r="H15" s="1237"/>
      <c r="I15" s="680">
        <f>ejercicio-2</f>
        <v>2017</v>
      </c>
      <c r="J15" s="681"/>
      <c r="K15" s="660"/>
      <c r="L15" s="1237" t="s">
        <v>1109</v>
      </c>
      <c r="M15" s="1237"/>
      <c r="N15" s="1237"/>
      <c r="O15" s="682">
        <f>ejercicio-1</f>
        <v>2018</v>
      </c>
      <c r="P15" s="683"/>
      <c r="Q15" s="667"/>
      <c r="S15" s="365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8"/>
    </row>
    <row r="16" spans="2:32" s="691" customFormat="1" ht="51" customHeight="1">
      <c r="B16" s="684"/>
      <c r="C16" s="685" t="s">
        <v>399</v>
      </c>
      <c r="D16" s="685"/>
      <c r="E16" s="686" t="s">
        <v>400</v>
      </c>
      <c r="F16" s="686" t="s">
        <v>401</v>
      </c>
      <c r="G16" s="686" t="s">
        <v>1107</v>
      </c>
      <c r="H16" s="687" t="s">
        <v>1106</v>
      </c>
      <c r="I16" s="686" t="s">
        <v>158</v>
      </c>
      <c r="J16" s="686" t="s">
        <v>159</v>
      </c>
      <c r="K16" s="686"/>
      <c r="L16" s="688" t="s">
        <v>1111</v>
      </c>
      <c r="M16" s="688" t="s">
        <v>403</v>
      </c>
      <c r="N16" s="688" t="s">
        <v>1112</v>
      </c>
      <c r="O16" s="688" t="s">
        <v>405</v>
      </c>
      <c r="P16" s="689" t="s">
        <v>954</v>
      </c>
      <c r="Q16" s="690"/>
      <c r="S16" s="365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8"/>
    </row>
    <row r="17" spans="2:32" ht="22.5" customHeight="1">
      <c r="B17" s="665"/>
      <c r="C17" s="1207" t="s">
        <v>451</v>
      </c>
      <c r="D17" s="1207"/>
      <c r="E17" s="1218" t="s">
        <v>351</v>
      </c>
      <c r="F17" s="1209">
        <v>0.9286</v>
      </c>
      <c r="G17" s="1210">
        <v>413761</v>
      </c>
      <c r="H17" s="1211" t="s">
        <v>352</v>
      </c>
      <c r="I17" s="1212">
        <v>60.1</v>
      </c>
      <c r="J17" s="397">
        <f>'FC-4_PASIVO'!E16/446192</f>
        <v>258.3997991447628</v>
      </c>
      <c r="K17" s="397"/>
      <c r="L17" s="397">
        <v>6848034.4</v>
      </c>
      <c r="M17" s="397">
        <f>16005+97939</f>
        <v>113944</v>
      </c>
      <c r="N17" s="397"/>
      <c r="O17" s="397"/>
      <c r="P17" s="397" t="s">
        <v>357</v>
      </c>
      <c r="Q17" s="667"/>
      <c r="S17" s="365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8"/>
    </row>
    <row r="18" spans="2:32" ht="22.5" customHeight="1">
      <c r="B18" s="665"/>
      <c r="C18" s="1207" t="s">
        <v>451</v>
      </c>
      <c r="D18" s="1213"/>
      <c r="E18" s="1218" t="s">
        <v>351</v>
      </c>
      <c r="F18" s="1215">
        <v>0.0096</v>
      </c>
      <c r="G18" s="1216">
        <v>3800</v>
      </c>
      <c r="H18" s="1211" t="s">
        <v>353</v>
      </c>
      <c r="I18" s="1212">
        <v>60.1</v>
      </c>
      <c r="J18" s="401">
        <f>J17</f>
        <v>258.3997991447628</v>
      </c>
      <c r="K18" s="401"/>
      <c r="L18" s="401">
        <v>270930.8</v>
      </c>
      <c r="M18" s="401">
        <f>633+3875</f>
        <v>4508</v>
      </c>
      <c r="N18" s="401"/>
      <c r="O18" s="401"/>
      <c r="P18" s="401" t="s">
        <v>358</v>
      </c>
      <c r="Q18" s="667"/>
      <c r="S18" s="365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8"/>
    </row>
    <row r="19" spans="2:32" ht="22.5" customHeight="1">
      <c r="B19" s="665"/>
      <c r="C19" s="1213" t="s">
        <v>354</v>
      </c>
      <c r="D19" s="1213"/>
      <c r="E19" s="1214" t="s">
        <v>355</v>
      </c>
      <c r="F19" s="1215">
        <v>0.0272</v>
      </c>
      <c r="G19" s="1216">
        <v>12574</v>
      </c>
      <c r="H19" s="1211" t="s">
        <v>353</v>
      </c>
      <c r="I19" s="1212">
        <v>60.1</v>
      </c>
      <c r="J19" s="401">
        <f>J18</f>
        <v>258.3997991447628</v>
      </c>
      <c r="K19" s="401"/>
      <c r="L19" s="401"/>
      <c r="M19" s="401"/>
      <c r="N19" s="401"/>
      <c r="O19" s="401"/>
      <c r="P19" s="401" t="s">
        <v>359</v>
      </c>
      <c r="Q19" s="667"/>
      <c r="S19" s="365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8"/>
    </row>
    <row r="20" spans="2:32" ht="22.5" customHeight="1">
      <c r="B20" s="665"/>
      <c r="C20" s="1213" t="s">
        <v>356</v>
      </c>
      <c r="D20" s="1213"/>
      <c r="E20" s="1218" t="s">
        <v>333</v>
      </c>
      <c r="F20" s="1215">
        <v>0.0347</v>
      </c>
      <c r="G20" s="1216">
        <v>16057</v>
      </c>
      <c r="H20" s="1216" t="s">
        <v>353</v>
      </c>
      <c r="I20" s="1212">
        <v>60.1</v>
      </c>
      <c r="J20" s="401">
        <f>J19</f>
        <v>258.3997991447628</v>
      </c>
      <c r="K20" s="401"/>
      <c r="L20" s="401"/>
      <c r="M20" s="401"/>
      <c r="N20" s="401"/>
      <c r="O20" s="401"/>
      <c r="P20" s="401" t="s">
        <v>360</v>
      </c>
      <c r="Q20" s="667"/>
      <c r="S20" s="365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8"/>
    </row>
    <row r="21" spans="2:32" ht="22.5" customHeight="1">
      <c r="B21" s="665"/>
      <c r="C21" s="1213"/>
      <c r="D21" s="1213"/>
      <c r="E21" s="1214"/>
      <c r="F21" s="1215"/>
      <c r="G21" s="1216"/>
      <c r="H21" s="1211"/>
      <c r="I21" s="1217"/>
      <c r="J21" s="401"/>
      <c r="K21" s="401"/>
      <c r="L21" s="401"/>
      <c r="M21" s="401"/>
      <c r="N21" s="401"/>
      <c r="O21" s="401"/>
      <c r="P21" s="401"/>
      <c r="Q21" s="667"/>
      <c r="S21" s="365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8"/>
    </row>
    <row r="22" spans="2:32" ht="22.5" customHeight="1">
      <c r="B22" s="665"/>
      <c r="C22" s="398"/>
      <c r="D22" s="398"/>
      <c r="E22" s="701"/>
      <c r="F22" s="399"/>
      <c r="G22" s="700"/>
      <c r="H22" s="700"/>
      <c r="I22" s="401"/>
      <c r="J22" s="401"/>
      <c r="K22" s="401"/>
      <c r="L22" s="401"/>
      <c r="M22" s="401"/>
      <c r="N22" s="401"/>
      <c r="O22" s="401"/>
      <c r="P22" s="401"/>
      <c r="Q22" s="667"/>
      <c r="S22" s="365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8"/>
    </row>
    <row r="23" spans="2:32" ht="22.5" customHeight="1">
      <c r="B23" s="665"/>
      <c r="C23" s="398"/>
      <c r="D23" s="398"/>
      <c r="E23" s="701"/>
      <c r="F23" s="399"/>
      <c r="G23" s="700"/>
      <c r="H23" s="700"/>
      <c r="I23" s="401"/>
      <c r="J23" s="401"/>
      <c r="K23" s="401"/>
      <c r="L23" s="401"/>
      <c r="M23" s="401"/>
      <c r="N23" s="401"/>
      <c r="O23" s="401"/>
      <c r="P23" s="401"/>
      <c r="Q23" s="667"/>
      <c r="S23" s="365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8"/>
    </row>
    <row r="24" spans="2:32" ht="22.5" customHeight="1">
      <c r="B24" s="665"/>
      <c r="C24" s="398"/>
      <c r="D24" s="398"/>
      <c r="E24" s="701"/>
      <c r="F24" s="399"/>
      <c r="G24" s="700"/>
      <c r="H24" s="700"/>
      <c r="I24" s="401"/>
      <c r="J24" s="401"/>
      <c r="K24" s="401"/>
      <c r="L24" s="401"/>
      <c r="M24" s="401"/>
      <c r="N24" s="401"/>
      <c r="O24" s="401"/>
      <c r="P24" s="401"/>
      <c r="Q24" s="667"/>
      <c r="S24" s="365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8"/>
    </row>
    <row r="25" spans="2:32" ht="22.5" customHeight="1">
      <c r="B25" s="665"/>
      <c r="C25" s="398"/>
      <c r="D25" s="398"/>
      <c r="E25" s="701"/>
      <c r="F25" s="399"/>
      <c r="G25" s="700"/>
      <c r="H25" s="700"/>
      <c r="I25" s="401"/>
      <c r="J25" s="401"/>
      <c r="K25" s="401"/>
      <c r="L25" s="401"/>
      <c r="M25" s="401"/>
      <c r="N25" s="401"/>
      <c r="O25" s="401"/>
      <c r="P25" s="401"/>
      <c r="Q25" s="667"/>
      <c r="S25" s="365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8"/>
    </row>
    <row r="26" spans="2:32" ht="22.5" customHeight="1">
      <c r="B26" s="665"/>
      <c r="C26" s="398"/>
      <c r="D26" s="398"/>
      <c r="E26" s="701"/>
      <c r="F26" s="399"/>
      <c r="G26" s="700"/>
      <c r="H26" s="700"/>
      <c r="I26" s="401"/>
      <c r="J26" s="401"/>
      <c r="K26" s="401"/>
      <c r="L26" s="401"/>
      <c r="M26" s="401"/>
      <c r="N26" s="401"/>
      <c r="O26" s="401"/>
      <c r="P26" s="401"/>
      <c r="Q26" s="667"/>
      <c r="S26" s="365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8"/>
    </row>
    <row r="27" spans="2:32" ht="22.5" customHeight="1">
      <c r="B27" s="665"/>
      <c r="C27" s="398"/>
      <c r="D27" s="398"/>
      <c r="E27" s="701"/>
      <c r="F27" s="399"/>
      <c r="G27" s="700"/>
      <c r="H27" s="700"/>
      <c r="I27" s="401"/>
      <c r="J27" s="401"/>
      <c r="K27" s="401"/>
      <c r="L27" s="401"/>
      <c r="M27" s="401"/>
      <c r="N27" s="401"/>
      <c r="O27" s="401"/>
      <c r="P27" s="401"/>
      <c r="Q27" s="667"/>
      <c r="S27" s="365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8"/>
    </row>
    <row r="28" spans="2:32" ht="22.5" customHeight="1">
      <c r="B28" s="665"/>
      <c r="C28" s="660"/>
      <c r="D28" s="660"/>
      <c r="E28" s="660"/>
      <c r="F28" s="660"/>
      <c r="G28" s="660"/>
      <c r="H28" s="660"/>
      <c r="I28" s="660"/>
      <c r="J28" s="660"/>
      <c r="K28" s="660"/>
      <c r="L28" s="660"/>
      <c r="M28" s="660"/>
      <c r="N28" s="660"/>
      <c r="O28" s="660"/>
      <c r="P28" s="660"/>
      <c r="Q28" s="667"/>
      <c r="S28" s="365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8"/>
    </row>
    <row r="29" spans="2:32" ht="22.5" customHeight="1">
      <c r="B29" s="665"/>
      <c r="C29" s="679" t="s">
        <v>406</v>
      </c>
      <c r="D29" s="679"/>
      <c r="E29" s="679"/>
      <c r="F29" s="679"/>
      <c r="G29" s="679"/>
      <c r="H29" s="679"/>
      <c r="I29" s="679"/>
      <c r="J29" s="679"/>
      <c r="K29" s="679"/>
      <c r="L29" s="679"/>
      <c r="M29" s="679"/>
      <c r="N29" s="679"/>
      <c r="O29" s="679"/>
      <c r="P29" s="679"/>
      <c r="Q29" s="667"/>
      <c r="S29" s="365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8"/>
    </row>
    <row r="30" spans="2:32" ht="22.5" customHeight="1">
      <c r="B30" s="665"/>
      <c r="C30" s="669"/>
      <c r="D30" s="669"/>
      <c r="E30" s="669"/>
      <c r="F30" s="669"/>
      <c r="G30" s="669"/>
      <c r="H30" s="669"/>
      <c r="I30" s="669"/>
      <c r="J30" s="669"/>
      <c r="K30" s="669"/>
      <c r="L30" s="669"/>
      <c r="M30" s="669"/>
      <c r="N30" s="669"/>
      <c r="O30" s="669"/>
      <c r="P30" s="669"/>
      <c r="Q30" s="667"/>
      <c r="S30" s="375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7"/>
    </row>
    <row r="31" spans="2:32" ht="22.5" customHeight="1">
      <c r="B31" s="665"/>
      <c r="C31" s="660"/>
      <c r="D31" s="660"/>
      <c r="E31" s="660"/>
      <c r="F31" s="1237" t="s">
        <v>1110</v>
      </c>
      <c r="G31" s="1237"/>
      <c r="H31" s="1237"/>
      <c r="I31" s="680">
        <f>ejercicio-2</f>
        <v>2017</v>
      </c>
      <c r="J31" s="681"/>
      <c r="K31" s="660"/>
      <c r="L31" s="1238" t="s">
        <v>1109</v>
      </c>
      <c r="M31" s="1238"/>
      <c r="N31" s="1238"/>
      <c r="O31" s="692">
        <f>ejercicio-1</f>
        <v>2018</v>
      </c>
      <c r="Q31" s="667"/>
      <c r="S31" s="375"/>
      <c r="T31" s="376"/>
      <c r="U31" s="376"/>
      <c r="V31" s="376"/>
      <c r="W31" s="376"/>
      <c r="X31" s="376"/>
      <c r="Y31" s="376"/>
      <c r="Z31" s="376"/>
      <c r="AA31" s="376"/>
      <c r="AB31" s="376"/>
      <c r="AC31" s="376"/>
      <c r="AD31" s="376"/>
      <c r="AE31" s="376"/>
      <c r="AF31" s="377"/>
    </row>
    <row r="32" spans="2:32" ht="43.5" customHeight="1">
      <c r="B32" s="665"/>
      <c r="C32" s="685" t="s">
        <v>399</v>
      </c>
      <c r="D32" s="685"/>
      <c r="E32" s="686" t="s">
        <v>400</v>
      </c>
      <c r="F32" s="686" t="s">
        <v>401</v>
      </c>
      <c r="G32" s="686" t="s">
        <v>1107</v>
      </c>
      <c r="H32" s="687" t="s">
        <v>1106</v>
      </c>
      <c r="I32" s="686" t="s">
        <v>158</v>
      </c>
      <c r="J32" s="686" t="s">
        <v>407</v>
      </c>
      <c r="K32" s="686"/>
      <c r="L32" s="686" t="s">
        <v>402</v>
      </c>
      <c r="M32" s="686" t="s">
        <v>403</v>
      </c>
      <c r="N32" s="686" t="s">
        <v>404</v>
      </c>
      <c r="O32" s="686" t="s">
        <v>405</v>
      </c>
      <c r="P32" s="689" t="s">
        <v>954</v>
      </c>
      <c r="Q32" s="667"/>
      <c r="S32" s="365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8"/>
    </row>
    <row r="33" spans="2:32" ht="22.5" customHeight="1">
      <c r="B33" s="665"/>
      <c r="C33" s="1207" t="s">
        <v>331</v>
      </c>
      <c r="D33" s="1207"/>
      <c r="E33" s="1208" t="s">
        <v>332</v>
      </c>
      <c r="F33" s="1209">
        <v>0.5</v>
      </c>
      <c r="G33" s="1210">
        <v>35</v>
      </c>
      <c r="H33" s="1211" t="s">
        <v>333</v>
      </c>
      <c r="I33" s="1212">
        <v>6010.12</v>
      </c>
      <c r="J33" s="1212"/>
      <c r="K33" s="1212"/>
      <c r="L33" s="1212"/>
      <c r="M33" s="1212"/>
      <c r="N33" s="1212"/>
      <c r="O33" s="397"/>
      <c r="P33" s="397"/>
      <c r="Q33" s="667"/>
      <c r="S33" s="365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8"/>
    </row>
    <row r="34" spans="2:32" ht="22.5" customHeight="1">
      <c r="B34" s="665"/>
      <c r="C34" s="1213" t="s">
        <v>334</v>
      </c>
      <c r="D34" s="1213"/>
      <c r="E34" s="1214" t="s">
        <v>335</v>
      </c>
      <c r="F34" s="1215">
        <v>0.3994</v>
      </c>
      <c r="G34" s="1216">
        <v>1626810</v>
      </c>
      <c r="H34" s="1211" t="s">
        <v>333</v>
      </c>
      <c r="I34" s="1217">
        <v>1</v>
      </c>
      <c r="J34" s="1217"/>
      <c r="K34" s="1217"/>
      <c r="L34" s="1217"/>
      <c r="M34" s="1217"/>
      <c r="N34" s="1217"/>
      <c r="O34" s="401"/>
      <c r="P34" s="401"/>
      <c r="Q34" s="667"/>
      <c r="S34" s="365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8"/>
    </row>
    <row r="35" spans="2:32" ht="22.5" customHeight="1">
      <c r="B35" s="665"/>
      <c r="C35" s="1213" t="s">
        <v>336</v>
      </c>
      <c r="D35" s="1213"/>
      <c r="E35" s="1214" t="s">
        <v>337</v>
      </c>
      <c r="F35" s="1215">
        <v>0.3</v>
      </c>
      <c r="G35" s="1216">
        <v>2250000</v>
      </c>
      <c r="H35" s="1211" t="s">
        <v>333</v>
      </c>
      <c r="I35" s="1217">
        <v>1</v>
      </c>
      <c r="J35" s="1217"/>
      <c r="K35" s="1217"/>
      <c r="L35" s="1217"/>
      <c r="M35" s="1217"/>
      <c r="N35" s="1217"/>
      <c r="O35" s="401"/>
      <c r="P35" s="401"/>
      <c r="Q35" s="667"/>
      <c r="S35" s="365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8"/>
    </row>
    <row r="36" spans="2:32" ht="22.5" customHeight="1">
      <c r="B36" s="665"/>
      <c r="C36" s="1213" t="s">
        <v>338</v>
      </c>
      <c r="D36" s="1213"/>
      <c r="E36" s="1214" t="s">
        <v>339</v>
      </c>
      <c r="F36" s="1215">
        <v>0.212</v>
      </c>
      <c r="G36" s="1216">
        <v>9741</v>
      </c>
      <c r="H36" s="1216" t="s">
        <v>340</v>
      </c>
      <c r="I36" s="1217">
        <v>100</v>
      </c>
      <c r="J36" s="1217"/>
      <c r="K36" s="1217"/>
      <c r="L36" s="1217">
        <v>0.0003</v>
      </c>
      <c r="M36" s="1217">
        <v>238</v>
      </c>
      <c r="N36" s="1217"/>
      <c r="O36" s="401"/>
      <c r="P36" s="401">
        <f>G36+M36</f>
        <v>9979</v>
      </c>
      <c r="Q36" s="667"/>
      <c r="S36" s="378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80"/>
    </row>
    <row r="37" spans="2:32" ht="22.5" customHeight="1">
      <c r="B37" s="665"/>
      <c r="C37" s="1213" t="s">
        <v>341</v>
      </c>
      <c r="D37" s="1213"/>
      <c r="E37" s="1214" t="s">
        <v>342</v>
      </c>
      <c r="F37" s="1215">
        <v>0.03</v>
      </c>
      <c r="G37" s="1216">
        <v>266</v>
      </c>
      <c r="H37" s="1211" t="s">
        <v>333</v>
      </c>
      <c r="I37" s="1217">
        <v>60.1</v>
      </c>
      <c r="J37" s="1217"/>
      <c r="K37" s="1217"/>
      <c r="L37" s="1217"/>
      <c r="M37" s="1217"/>
      <c r="N37" s="1217"/>
      <c r="O37" s="401"/>
      <c r="P37" s="401"/>
      <c r="Q37" s="667"/>
      <c r="S37" s="378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80"/>
    </row>
    <row r="38" spans="2:32" ht="22.5" customHeight="1">
      <c r="B38" s="665"/>
      <c r="C38" s="1213" t="s">
        <v>343</v>
      </c>
      <c r="D38" s="1213"/>
      <c r="E38" s="1214" t="s">
        <v>344</v>
      </c>
      <c r="F38" s="1215">
        <v>0.3</v>
      </c>
      <c r="G38" s="1216">
        <v>180</v>
      </c>
      <c r="H38" s="1211" t="s">
        <v>333</v>
      </c>
      <c r="I38" s="1217">
        <v>1000</v>
      </c>
      <c r="J38" s="1217">
        <v>180000</v>
      </c>
      <c r="K38" s="1217"/>
      <c r="L38" s="1217"/>
      <c r="M38" s="1217"/>
      <c r="N38" s="1217"/>
      <c r="O38" s="401"/>
      <c r="P38" s="401"/>
      <c r="Q38" s="667"/>
      <c r="S38" s="378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80"/>
    </row>
    <row r="39" spans="2:32" ht="22.5" customHeight="1">
      <c r="B39" s="665"/>
      <c r="C39" s="1213" t="s">
        <v>345</v>
      </c>
      <c r="D39" s="1213"/>
      <c r="E39" s="1214" t="s">
        <v>346</v>
      </c>
      <c r="F39" s="1215">
        <v>1</v>
      </c>
      <c r="G39" s="1216">
        <v>602</v>
      </c>
      <c r="H39" s="1211" t="s">
        <v>333</v>
      </c>
      <c r="I39" s="1217"/>
      <c r="J39" s="1217"/>
      <c r="K39" s="1217"/>
      <c r="L39" s="1217"/>
      <c r="M39" s="1217"/>
      <c r="N39" s="1217"/>
      <c r="O39" s="401"/>
      <c r="P39" s="401"/>
      <c r="Q39" s="667"/>
      <c r="S39" s="378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80"/>
    </row>
    <row r="40" spans="2:32" ht="22.5" customHeight="1">
      <c r="B40" s="665"/>
      <c r="C40" s="1213" t="s">
        <v>347</v>
      </c>
      <c r="D40" s="1213"/>
      <c r="E40" s="1214" t="s">
        <v>348</v>
      </c>
      <c r="F40" s="1215">
        <v>0.12</v>
      </c>
      <c r="G40" s="1216">
        <v>120</v>
      </c>
      <c r="H40" s="1211" t="s">
        <v>333</v>
      </c>
      <c r="I40" s="1217">
        <v>60.2</v>
      </c>
      <c r="J40" s="1217">
        <v>5418</v>
      </c>
      <c r="K40" s="1217"/>
      <c r="L40" s="1217"/>
      <c r="M40" s="1217"/>
      <c r="N40" s="1217"/>
      <c r="O40" s="401"/>
      <c r="P40" s="401"/>
      <c r="Q40" s="667"/>
      <c r="S40" s="378"/>
      <c r="T40" s="379"/>
      <c r="U40" s="379"/>
      <c r="V40" s="379"/>
      <c r="W40" s="379"/>
      <c r="X40" s="379"/>
      <c r="Y40" s="379"/>
      <c r="Z40" s="379"/>
      <c r="AA40" s="379"/>
      <c r="AB40" s="379"/>
      <c r="AC40" s="379"/>
      <c r="AD40" s="379"/>
      <c r="AE40" s="379"/>
      <c r="AF40" s="380"/>
    </row>
    <row r="41" spans="2:32" ht="22.5" customHeight="1">
      <c r="B41" s="665"/>
      <c r="C41" s="1213" t="s">
        <v>349</v>
      </c>
      <c r="D41" s="1213"/>
      <c r="E41" s="1214" t="s">
        <v>350</v>
      </c>
      <c r="F41" s="1215">
        <v>1</v>
      </c>
      <c r="G41" s="1216">
        <v>10676</v>
      </c>
      <c r="H41" s="1211" t="s">
        <v>333</v>
      </c>
      <c r="I41" s="1217"/>
      <c r="J41" s="1217"/>
      <c r="K41" s="1217"/>
      <c r="L41" s="1217"/>
      <c r="M41" s="1217"/>
      <c r="N41" s="1217"/>
      <c r="O41" s="401"/>
      <c r="P41" s="401"/>
      <c r="Q41" s="667"/>
      <c r="S41" s="378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380"/>
    </row>
    <row r="42" spans="2:32" ht="22.5" customHeight="1">
      <c r="B42" s="665"/>
      <c r="C42" s="398"/>
      <c r="D42" s="398"/>
      <c r="E42" s="701"/>
      <c r="F42" s="487"/>
      <c r="G42" s="700"/>
      <c r="H42" s="400"/>
      <c r="I42" s="401"/>
      <c r="J42" s="401"/>
      <c r="K42" s="401"/>
      <c r="L42" s="401"/>
      <c r="M42" s="401"/>
      <c r="N42" s="401"/>
      <c r="O42" s="401"/>
      <c r="P42" s="401"/>
      <c r="Q42" s="667"/>
      <c r="S42" s="378"/>
      <c r="T42" s="379"/>
      <c r="U42" s="379"/>
      <c r="V42" s="379"/>
      <c r="W42" s="379"/>
      <c r="X42" s="379"/>
      <c r="Y42" s="379"/>
      <c r="Z42" s="379"/>
      <c r="AA42" s="379"/>
      <c r="AB42" s="379"/>
      <c r="AC42" s="379"/>
      <c r="AD42" s="379"/>
      <c r="AE42" s="379"/>
      <c r="AF42" s="380"/>
    </row>
    <row r="43" spans="2:32" ht="22.5" customHeight="1">
      <c r="B43" s="665"/>
      <c r="C43" s="398"/>
      <c r="D43" s="398"/>
      <c r="E43" s="701"/>
      <c r="F43" s="487"/>
      <c r="G43" s="700"/>
      <c r="H43" s="400"/>
      <c r="I43" s="401"/>
      <c r="J43" s="401"/>
      <c r="K43" s="401"/>
      <c r="L43" s="401"/>
      <c r="M43" s="401"/>
      <c r="N43" s="401"/>
      <c r="O43" s="401"/>
      <c r="P43" s="401"/>
      <c r="Q43" s="667"/>
      <c r="S43" s="378"/>
      <c r="T43" s="379"/>
      <c r="U43" s="379"/>
      <c r="V43" s="379"/>
      <c r="W43" s="379"/>
      <c r="X43" s="379"/>
      <c r="Y43" s="379"/>
      <c r="Z43" s="379"/>
      <c r="AA43" s="379"/>
      <c r="AB43" s="379"/>
      <c r="AC43" s="379"/>
      <c r="AD43" s="379"/>
      <c r="AE43" s="379"/>
      <c r="AF43" s="380"/>
    </row>
    <row r="44" spans="2:32" ht="22.5" customHeight="1">
      <c r="B44" s="665"/>
      <c r="C44" s="660"/>
      <c r="D44" s="660"/>
      <c r="E44" s="660"/>
      <c r="F44" s="660"/>
      <c r="G44" s="660"/>
      <c r="H44" s="660"/>
      <c r="I44" s="660"/>
      <c r="J44" s="660"/>
      <c r="K44" s="660"/>
      <c r="L44" s="660"/>
      <c r="M44" s="660"/>
      <c r="N44" s="660"/>
      <c r="O44" s="660"/>
      <c r="P44" s="660"/>
      <c r="Q44" s="667"/>
      <c r="S44" s="378"/>
      <c r="T44" s="379"/>
      <c r="U44" s="379"/>
      <c r="V44" s="379"/>
      <c r="W44" s="379"/>
      <c r="X44" s="379"/>
      <c r="Y44" s="379"/>
      <c r="Z44" s="379"/>
      <c r="AA44" s="379"/>
      <c r="AB44" s="379"/>
      <c r="AC44" s="379"/>
      <c r="AD44" s="379"/>
      <c r="AE44" s="379"/>
      <c r="AF44" s="380"/>
    </row>
    <row r="45" spans="2:32" ht="22.5" customHeight="1">
      <c r="B45" s="665"/>
      <c r="C45" s="679" t="s">
        <v>408</v>
      </c>
      <c r="D45" s="679"/>
      <c r="E45" s="679"/>
      <c r="F45" s="679"/>
      <c r="G45" s="679"/>
      <c r="H45" s="679"/>
      <c r="I45" s="679"/>
      <c r="J45" s="679"/>
      <c r="K45" s="679"/>
      <c r="L45" s="679"/>
      <c r="M45" s="679"/>
      <c r="N45" s="679"/>
      <c r="O45" s="679"/>
      <c r="P45" s="666"/>
      <c r="Q45" s="667"/>
      <c r="S45" s="378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80"/>
    </row>
    <row r="46" spans="2:32" ht="22.5" customHeight="1">
      <c r="B46" s="665"/>
      <c r="C46" s="666"/>
      <c r="D46" s="666"/>
      <c r="E46" s="666"/>
      <c r="F46" s="666"/>
      <c r="G46" s="666"/>
      <c r="H46" s="666"/>
      <c r="I46" s="666"/>
      <c r="J46" s="666"/>
      <c r="K46" s="666"/>
      <c r="L46" s="666"/>
      <c r="M46" s="666"/>
      <c r="N46" s="666"/>
      <c r="O46" s="666"/>
      <c r="P46" s="666"/>
      <c r="Q46" s="667"/>
      <c r="S46" s="378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80"/>
    </row>
    <row r="47" spans="2:32" ht="22.5" customHeight="1">
      <c r="B47" s="665"/>
      <c r="C47" s="1235" t="s">
        <v>409</v>
      </c>
      <c r="D47" s="1235"/>
      <c r="E47" s="685"/>
      <c r="F47" s="686"/>
      <c r="G47" s="693"/>
      <c r="H47" s="693"/>
      <c r="I47" s="693"/>
      <c r="J47" s="693"/>
      <c r="K47" s="693"/>
      <c r="L47" s="693"/>
      <c r="M47" s="693"/>
      <c r="N47" s="693"/>
      <c r="O47" s="693"/>
      <c r="P47" s="693"/>
      <c r="Q47" s="667"/>
      <c r="S47" s="378"/>
      <c r="T47" s="379"/>
      <c r="U47" s="379"/>
      <c r="V47" s="379"/>
      <c r="W47" s="379"/>
      <c r="X47" s="379"/>
      <c r="Y47" s="379"/>
      <c r="Z47" s="379"/>
      <c r="AA47" s="379"/>
      <c r="AB47" s="379"/>
      <c r="AC47" s="379"/>
      <c r="AD47" s="379"/>
      <c r="AE47" s="379"/>
      <c r="AF47" s="380"/>
    </row>
    <row r="48" spans="2:32" ht="22.5" customHeight="1">
      <c r="B48" s="665"/>
      <c r="C48" s="1236" t="s">
        <v>224</v>
      </c>
      <c r="D48" s="1236"/>
      <c r="E48" s="1236"/>
      <c r="F48" s="1236"/>
      <c r="G48" s="660"/>
      <c r="H48" s="660"/>
      <c r="I48" s="660"/>
      <c r="J48" s="660"/>
      <c r="K48" s="660"/>
      <c r="L48" s="660"/>
      <c r="M48" s="660"/>
      <c r="N48" s="660"/>
      <c r="O48" s="660"/>
      <c r="P48" s="660"/>
      <c r="Q48" s="667"/>
      <c r="S48" s="378"/>
      <c r="T48" s="379"/>
      <c r="U48" s="379"/>
      <c r="V48" s="379"/>
      <c r="W48" s="379"/>
      <c r="X48" s="379"/>
      <c r="Y48" s="379"/>
      <c r="Z48" s="379"/>
      <c r="AA48" s="379"/>
      <c r="AB48" s="379"/>
      <c r="AC48" s="379"/>
      <c r="AD48" s="379"/>
      <c r="AE48" s="379"/>
      <c r="AF48" s="380"/>
    </row>
    <row r="49" spans="2:32" ht="22.5" customHeight="1">
      <c r="B49" s="665"/>
      <c r="C49" s="562"/>
      <c r="D49" s="562"/>
      <c r="E49" s="562"/>
      <c r="F49" s="562"/>
      <c r="G49" s="660"/>
      <c r="H49" s="660"/>
      <c r="I49" s="660"/>
      <c r="J49" s="660"/>
      <c r="K49" s="660"/>
      <c r="L49" s="660"/>
      <c r="M49" s="660"/>
      <c r="N49" s="660"/>
      <c r="O49" s="660"/>
      <c r="P49" s="660"/>
      <c r="Q49" s="667"/>
      <c r="S49" s="378"/>
      <c r="T49" s="379"/>
      <c r="U49" s="379"/>
      <c r="V49" s="379"/>
      <c r="W49" s="379"/>
      <c r="X49" s="379"/>
      <c r="Y49" s="379"/>
      <c r="Z49" s="379"/>
      <c r="AA49" s="379"/>
      <c r="AB49" s="379"/>
      <c r="AC49" s="379"/>
      <c r="AD49" s="379"/>
      <c r="AE49" s="379"/>
      <c r="AF49" s="380"/>
    </row>
    <row r="50" spans="2:32" ht="22.5" customHeight="1">
      <c r="B50" s="665"/>
      <c r="C50" s="562"/>
      <c r="D50" s="562"/>
      <c r="E50" s="562"/>
      <c r="F50" s="562"/>
      <c r="G50" s="660"/>
      <c r="H50" s="660"/>
      <c r="I50" s="660"/>
      <c r="J50" s="660"/>
      <c r="K50" s="660"/>
      <c r="L50" s="660"/>
      <c r="M50" s="660"/>
      <c r="N50" s="660"/>
      <c r="O50" s="660"/>
      <c r="P50" s="660"/>
      <c r="Q50" s="667"/>
      <c r="S50" s="378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80"/>
    </row>
    <row r="51" spans="2:32" ht="22.5" customHeight="1">
      <c r="B51" s="665"/>
      <c r="C51" s="632" t="s">
        <v>788</v>
      </c>
      <c r="D51" s="562"/>
      <c r="E51" s="562"/>
      <c r="F51" s="562"/>
      <c r="G51" s="660"/>
      <c r="H51" s="660"/>
      <c r="I51" s="660"/>
      <c r="J51" s="660"/>
      <c r="K51" s="660"/>
      <c r="L51" s="660"/>
      <c r="M51" s="660"/>
      <c r="N51" s="660"/>
      <c r="O51" s="660"/>
      <c r="P51" s="660"/>
      <c r="Q51" s="667"/>
      <c r="S51" s="378"/>
      <c r="T51" s="379"/>
      <c r="U51" s="379"/>
      <c r="V51" s="379"/>
      <c r="W51" s="379"/>
      <c r="X51" s="379"/>
      <c r="Y51" s="379"/>
      <c r="Z51" s="379"/>
      <c r="AA51" s="379"/>
      <c r="AB51" s="379"/>
      <c r="AC51" s="379"/>
      <c r="AD51" s="379"/>
      <c r="AE51" s="379"/>
      <c r="AF51" s="380"/>
    </row>
    <row r="52" spans="2:32" ht="22.5" customHeight="1">
      <c r="B52" s="665"/>
      <c r="C52" s="633"/>
      <c r="D52" s="562"/>
      <c r="E52" s="562"/>
      <c r="F52" s="562"/>
      <c r="G52" s="660"/>
      <c r="H52" s="660"/>
      <c r="I52" s="660"/>
      <c r="J52" s="660"/>
      <c r="K52" s="660"/>
      <c r="L52" s="660"/>
      <c r="M52" s="660"/>
      <c r="N52" s="660"/>
      <c r="O52" s="660"/>
      <c r="P52" s="660"/>
      <c r="Q52" s="667"/>
      <c r="S52" s="378"/>
      <c r="T52" s="379"/>
      <c r="U52" s="379"/>
      <c r="V52" s="379"/>
      <c r="W52" s="379"/>
      <c r="X52" s="379"/>
      <c r="Y52" s="379"/>
      <c r="Z52" s="379"/>
      <c r="AA52" s="379"/>
      <c r="AB52" s="379"/>
      <c r="AC52" s="379"/>
      <c r="AD52" s="379"/>
      <c r="AE52" s="379"/>
      <c r="AF52" s="380"/>
    </row>
    <row r="53" spans="2:32" ht="22.5" customHeight="1">
      <c r="B53" s="665"/>
      <c r="C53" s="694" t="s">
        <v>156</v>
      </c>
      <c r="D53" s="562"/>
      <c r="E53" s="562"/>
      <c r="F53" s="562"/>
      <c r="G53" s="660"/>
      <c r="H53" s="660"/>
      <c r="I53" s="660"/>
      <c r="J53" s="660"/>
      <c r="K53" s="660"/>
      <c r="L53" s="660"/>
      <c r="M53" s="660"/>
      <c r="N53" s="660"/>
      <c r="O53" s="660"/>
      <c r="P53" s="660"/>
      <c r="Q53" s="667"/>
      <c r="S53" s="378"/>
      <c r="T53" s="379"/>
      <c r="U53" s="379"/>
      <c r="V53" s="379"/>
      <c r="W53" s="379"/>
      <c r="X53" s="379"/>
      <c r="Y53" s="379"/>
      <c r="Z53" s="379"/>
      <c r="AA53" s="379"/>
      <c r="AB53" s="379"/>
      <c r="AC53" s="379"/>
      <c r="AD53" s="379"/>
      <c r="AE53" s="379"/>
      <c r="AF53" s="380"/>
    </row>
    <row r="54" spans="2:32" ht="22.5" customHeight="1">
      <c r="B54" s="665"/>
      <c r="C54" s="694" t="s">
        <v>157</v>
      </c>
      <c r="D54" s="562"/>
      <c r="E54" s="562"/>
      <c r="F54" s="562"/>
      <c r="G54" s="660"/>
      <c r="H54" s="660"/>
      <c r="I54" s="660"/>
      <c r="J54" s="660"/>
      <c r="K54" s="660"/>
      <c r="L54" s="660"/>
      <c r="M54" s="660"/>
      <c r="N54" s="660"/>
      <c r="O54" s="660"/>
      <c r="P54" s="660"/>
      <c r="Q54" s="667"/>
      <c r="S54" s="378"/>
      <c r="T54" s="379"/>
      <c r="U54" s="379"/>
      <c r="V54" s="379"/>
      <c r="W54" s="379"/>
      <c r="X54" s="379"/>
      <c r="Y54" s="379"/>
      <c r="Z54" s="379"/>
      <c r="AA54" s="379"/>
      <c r="AB54" s="379"/>
      <c r="AC54" s="379"/>
      <c r="AD54" s="379"/>
      <c r="AE54" s="379"/>
      <c r="AF54" s="380"/>
    </row>
    <row r="55" spans="2:32" ht="22.5" customHeight="1" thickBot="1">
      <c r="B55" s="695"/>
      <c r="C55" s="1233"/>
      <c r="D55" s="1233"/>
      <c r="E55" s="1233"/>
      <c r="F55" s="1233"/>
      <c r="G55" s="696"/>
      <c r="H55" s="696"/>
      <c r="I55" s="696"/>
      <c r="J55" s="696"/>
      <c r="K55" s="696"/>
      <c r="L55" s="696"/>
      <c r="M55" s="696"/>
      <c r="N55" s="696"/>
      <c r="O55" s="696"/>
      <c r="P55" s="696"/>
      <c r="Q55" s="697"/>
      <c r="S55" s="381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3"/>
    </row>
    <row r="56" spans="3:18" ht="22.5" customHeight="1">
      <c r="C56" s="660"/>
      <c r="D56" s="660"/>
      <c r="E56" s="660"/>
      <c r="F56" s="660"/>
      <c r="G56" s="660"/>
      <c r="H56" s="660"/>
      <c r="I56" s="660"/>
      <c r="J56" s="660"/>
      <c r="K56" s="660"/>
      <c r="L56" s="660"/>
      <c r="M56" s="660"/>
      <c r="N56" s="660"/>
      <c r="O56" s="660"/>
      <c r="P56" s="660"/>
      <c r="R56" s="659" t="s">
        <v>154</v>
      </c>
    </row>
    <row r="57" spans="3:16" ht="12.75">
      <c r="C57" s="698" t="s">
        <v>451</v>
      </c>
      <c r="D57" s="660"/>
      <c r="E57" s="660"/>
      <c r="F57" s="660"/>
      <c r="G57" s="660"/>
      <c r="H57" s="660"/>
      <c r="I57" s="660"/>
      <c r="J57" s="660"/>
      <c r="K57" s="660"/>
      <c r="L57" s="660"/>
      <c r="M57" s="660"/>
      <c r="N57" s="660"/>
      <c r="P57" s="639" t="s">
        <v>458</v>
      </c>
    </row>
    <row r="58" spans="3:16" ht="12.75">
      <c r="C58" s="699" t="s">
        <v>452</v>
      </c>
      <c r="D58" s="660"/>
      <c r="E58" s="660"/>
      <c r="F58" s="660"/>
      <c r="G58" s="660"/>
      <c r="H58" s="660"/>
      <c r="I58" s="660"/>
      <c r="J58" s="660"/>
      <c r="K58" s="660"/>
      <c r="L58" s="660"/>
      <c r="M58" s="660"/>
      <c r="N58" s="660"/>
      <c r="O58" s="660"/>
      <c r="P58" s="660"/>
    </row>
    <row r="59" spans="3:16" ht="12.75">
      <c r="C59" s="699" t="s">
        <v>453</v>
      </c>
      <c r="D59" s="660"/>
      <c r="E59" s="660"/>
      <c r="F59" s="660"/>
      <c r="G59" s="660"/>
      <c r="H59" s="660"/>
      <c r="I59" s="660"/>
      <c r="J59" s="660"/>
      <c r="K59" s="660"/>
      <c r="L59" s="660"/>
      <c r="M59" s="660"/>
      <c r="N59" s="660"/>
      <c r="O59" s="660"/>
      <c r="P59" s="660"/>
    </row>
    <row r="60" spans="3:16" ht="12.75">
      <c r="C60" s="699" t="s">
        <v>454</v>
      </c>
      <c r="D60" s="660"/>
      <c r="E60" s="660"/>
      <c r="F60" s="660"/>
      <c r="G60" s="660"/>
      <c r="H60" s="660"/>
      <c r="I60" s="660"/>
      <c r="J60" s="660"/>
      <c r="K60" s="660"/>
      <c r="L60" s="660"/>
      <c r="M60" s="660"/>
      <c r="N60" s="660"/>
      <c r="O60" s="660"/>
      <c r="P60" s="660"/>
    </row>
    <row r="61" spans="3:16" ht="12.75">
      <c r="C61" s="699" t="s">
        <v>455</v>
      </c>
      <c r="D61" s="660"/>
      <c r="E61" s="660"/>
      <c r="F61" s="660"/>
      <c r="G61" s="660"/>
      <c r="H61" s="660"/>
      <c r="I61" s="660"/>
      <c r="J61" s="660"/>
      <c r="K61" s="660"/>
      <c r="L61" s="660"/>
      <c r="M61" s="660"/>
      <c r="N61" s="660"/>
      <c r="O61" s="660"/>
      <c r="P61" s="660"/>
    </row>
    <row r="62" spans="3:16" ht="22.5" customHeight="1">
      <c r="C62" s="660"/>
      <c r="D62" s="660"/>
      <c r="E62" s="660"/>
      <c r="F62" s="660"/>
      <c r="G62" s="660"/>
      <c r="H62" s="660"/>
      <c r="I62" s="660"/>
      <c r="J62" s="660"/>
      <c r="K62" s="660"/>
      <c r="L62" s="660"/>
      <c r="M62" s="660"/>
      <c r="N62" s="660"/>
      <c r="O62" s="660"/>
      <c r="P62" s="660"/>
    </row>
    <row r="63" spans="3:16" ht="22.5" customHeight="1">
      <c r="C63" s="660"/>
      <c r="D63" s="660"/>
      <c r="E63" s="660"/>
      <c r="F63" s="660"/>
      <c r="G63" s="660"/>
      <c r="H63" s="660"/>
      <c r="I63" s="660"/>
      <c r="J63" s="660"/>
      <c r="K63" s="660"/>
      <c r="L63" s="660"/>
      <c r="M63" s="660"/>
      <c r="N63" s="660"/>
      <c r="O63" s="660"/>
      <c r="P63" s="660"/>
    </row>
    <row r="64" spans="3:16" ht="22.5" customHeight="1">
      <c r="C64" s="660"/>
      <c r="D64" s="660"/>
      <c r="E64" s="660"/>
      <c r="F64" s="660"/>
      <c r="G64" s="660"/>
      <c r="H64" s="660"/>
      <c r="I64" s="660"/>
      <c r="J64" s="660"/>
      <c r="K64" s="660"/>
      <c r="L64" s="660"/>
      <c r="M64" s="660"/>
      <c r="N64" s="660"/>
      <c r="O64" s="660"/>
      <c r="P64" s="660"/>
    </row>
    <row r="65" spans="3:16" ht="22.5" customHeight="1">
      <c r="C65" s="660"/>
      <c r="D65" s="660"/>
      <c r="E65" s="660"/>
      <c r="F65" s="660"/>
      <c r="G65" s="660"/>
      <c r="H65" s="660"/>
      <c r="I65" s="660"/>
      <c r="J65" s="660"/>
      <c r="K65" s="660"/>
      <c r="L65" s="660"/>
      <c r="M65" s="660"/>
      <c r="N65" s="660"/>
      <c r="O65" s="660"/>
      <c r="P65" s="660"/>
    </row>
    <row r="66" spans="6:16" ht="22.5" customHeight="1">
      <c r="F66" s="660"/>
      <c r="G66" s="660"/>
      <c r="H66" s="660"/>
      <c r="I66" s="660"/>
      <c r="J66" s="660"/>
      <c r="K66" s="660"/>
      <c r="L66" s="660"/>
      <c r="M66" s="660"/>
      <c r="N66" s="660"/>
      <c r="O66" s="660"/>
      <c r="P66" s="660"/>
    </row>
  </sheetData>
  <sheetProtection password="C494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zoomScalePageLayoutView="0" workbookViewId="0" topLeftCell="A26">
      <selection activeCell="G58" sqref="G58"/>
    </sheetView>
  </sheetViews>
  <sheetFormatPr defaultColWidth="10.6640625" defaultRowHeight="22.5" customHeight="1"/>
  <cols>
    <col min="1" max="1" width="4.3359375" style="42" bestFit="1" customWidth="1"/>
    <col min="2" max="2" width="3.3359375" style="42" customWidth="1"/>
    <col min="3" max="3" width="13.5546875" style="42" customWidth="1"/>
    <col min="4" max="4" width="76.6640625" style="42" customWidth="1"/>
    <col min="5" max="7" width="18.3359375" style="42" customWidth="1"/>
    <col min="8" max="8" width="3.3359375" style="42" customWidth="1"/>
    <col min="9" max="16384" width="10.6640625" style="42" customWidth="1"/>
  </cols>
  <sheetData>
    <row r="1" ht="22.5" customHeight="1">
      <c r="D1" s="44"/>
    </row>
    <row r="2" ht="22.5" customHeight="1">
      <c r="D2" s="61" t="s">
        <v>410</v>
      </c>
    </row>
    <row r="3" ht="22.5" customHeight="1">
      <c r="D3" s="61" t="s">
        <v>411</v>
      </c>
    </row>
    <row r="4" ht="22.5" customHeight="1" thickBot="1">
      <c r="A4" s="42" t="s">
        <v>153</v>
      </c>
    </row>
    <row r="5" spans="2:23" ht="9" customHeight="1">
      <c r="B5" s="45"/>
      <c r="C5" s="46"/>
      <c r="D5" s="46"/>
      <c r="E5" s="46"/>
      <c r="F5" s="46"/>
      <c r="G5" s="46"/>
      <c r="H5" s="47"/>
      <c r="J5" s="362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4"/>
    </row>
    <row r="6" spans="2:23" ht="30" customHeight="1">
      <c r="B6" s="48"/>
      <c r="C6" s="1" t="s">
        <v>379</v>
      </c>
      <c r="D6" s="44"/>
      <c r="E6" s="44"/>
      <c r="F6" s="44"/>
      <c r="G6" s="1226">
        <f>ejercicio</f>
        <v>2019</v>
      </c>
      <c r="H6" s="50"/>
      <c r="J6" s="365"/>
      <c r="K6" s="366" t="s">
        <v>1067</v>
      </c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8"/>
    </row>
    <row r="7" spans="2:23" ht="30" customHeight="1">
      <c r="B7" s="48"/>
      <c r="C7" s="1" t="s">
        <v>380</v>
      </c>
      <c r="D7" s="44"/>
      <c r="E7" s="44"/>
      <c r="F7" s="44"/>
      <c r="G7" s="1226"/>
      <c r="H7" s="50"/>
      <c r="J7" s="365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8"/>
    </row>
    <row r="8" spans="2:23" ht="30" customHeight="1">
      <c r="B8" s="48"/>
      <c r="C8" s="49"/>
      <c r="D8" s="44"/>
      <c r="E8" s="44"/>
      <c r="F8" s="44"/>
      <c r="G8" s="51"/>
      <c r="H8" s="50"/>
      <c r="J8" s="365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8"/>
    </row>
    <row r="9" spans="2:23" s="58" customFormat="1" ht="30" customHeight="1">
      <c r="B9" s="56"/>
      <c r="C9" s="39" t="s">
        <v>381</v>
      </c>
      <c r="D9" s="1240" t="str">
        <f>Entidad</f>
        <v>INSTITUTO TECNOLOGICO Y DE ENERGIAS RENOVABLES S.A.</v>
      </c>
      <c r="E9" s="1240"/>
      <c r="F9" s="1240"/>
      <c r="G9" s="1240"/>
      <c r="H9" s="57"/>
      <c r="J9" s="369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1"/>
    </row>
    <row r="10" spans="2:23" ht="6.75" customHeight="1">
      <c r="B10" s="48"/>
      <c r="C10" s="44"/>
      <c r="D10" s="44"/>
      <c r="E10" s="44"/>
      <c r="F10" s="44"/>
      <c r="G10" s="44"/>
      <c r="H10" s="50"/>
      <c r="J10" s="365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8"/>
    </row>
    <row r="11" spans="2:23" s="60" customFormat="1" ht="30" customHeight="1">
      <c r="B11" s="24"/>
      <c r="C11" s="11" t="s">
        <v>459</v>
      </c>
      <c r="D11" s="11"/>
      <c r="E11" s="11"/>
      <c r="F11" s="11"/>
      <c r="G11" s="11"/>
      <c r="H11" s="59"/>
      <c r="J11" s="372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4"/>
    </row>
    <row r="12" spans="2:23" s="60" customFormat="1" ht="30" customHeight="1">
      <c r="B12" s="24"/>
      <c r="C12" s="66"/>
      <c r="D12" s="66"/>
      <c r="E12" s="66"/>
      <c r="F12" s="66"/>
      <c r="G12" s="66"/>
      <c r="H12" s="59"/>
      <c r="J12" s="372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4"/>
    </row>
    <row r="13" spans="2:23" ht="22.5" customHeight="1">
      <c r="B13" s="48"/>
      <c r="C13" s="202"/>
      <c r="D13" s="203"/>
      <c r="E13" s="204" t="s">
        <v>557</v>
      </c>
      <c r="F13" s="204" t="s">
        <v>558</v>
      </c>
      <c r="G13" s="307" t="s">
        <v>559</v>
      </c>
      <c r="H13" s="50"/>
      <c r="J13" s="365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8"/>
    </row>
    <row r="14" spans="2:23" ht="22.5" customHeight="1">
      <c r="B14" s="48"/>
      <c r="C14" s="205"/>
      <c r="D14" s="68"/>
      <c r="E14" s="206">
        <f>ejercicio-2</f>
        <v>2017</v>
      </c>
      <c r="F14" s="206">
        <f>ejercicio-1</f>
        <v>2018</v>
      </c>
      <c r="G14" s="306">
        <f>ejercicio</f>
        <v>2019</v>
      </c>
      <c r="H14" s="50"/>
      <c r="J14" s="365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8"/>
    </row>
    <row r="15" spans="2:23" ht="22.5" customHeight="1">
      <c r="B15" s="48"/>
      <c r="C15" s="137" t="s">
        <v>460</v>
      </c>
      <c r="D15" s="86" t="s">
        <v>461</v>
      </c>
      <c r="E15" s="130"/>
      <c r="F15" s="130"/>
      <c r="G15" s="130"/>
      <c r="H15" s="50"/>
      <c r="J15" s="365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8"/>
    </row>
    <row r="16" spans="2:23" ht="22.5" customHeight="1">
      <c r="B16" s="48"/>
      <c r="C16" s="139" t="s">
        <v>462</v>
      </c>
      <c r="D16" s="70" t="s">
        <v>1098</v>
      </c>
      <c r="E16" s="132">
        <f>SUM(E17:E19)</f>
        <v>8783433.74</v>
      </c>
      <c r="F16" s="132">
        <f>SUM(F17:F19)</f>
        <v>8247821.1</v>
      </c>
      <c r="G16" s="132">
        <f>SUM(G17:G19)</f>
        <v>16436900.91</v>
      </c>
      <c r="H16" s="50"/>
      <c r="J16" s="365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8"/>
    </row>
    <row r="17" spans="2:23" ht="22.5" customHeight="1">
      <c r="B17" s="48"/>
      <c r="C17" s="140" t="s">
        <v>463</v>
      </c>
      <c r="D17" s="71" t="s">
        <v>464</v>
      </c>
      <c r="E17" s="402">
        <v>772284.85</v>
      </c>
      <c r="F17" s="402">
        <v>740987.1</v>
      </c>
      <c r="G17" s="402">
        <v>8866259.8</v>
      </c>
      <c r="H17" s="50"/>
      <c r="J17" s="365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8"/>
    </row>
    <row r="18" spans="2:23" ht="22.5" customHeight="1">
      <c r="B18" s="48"/>
      <c r="C18" s="141" t="s">
        <v>465</v>
      </c>
      <c r="D18" s="72" t="s">
        <v>466</v>
      </c>
      <c r="E18" s="403">
        <v>8011148.89</v>
      </c>
      <c r="F18" s="403">
        <v>7506834</v>
      </c>
      <c r="G18" s="403">
        <v>7570641.11</v>
      </c>
      <c r="H18" s="50"/>
      <c r="J18" s="365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8"/>
    </row>
    <row r="19" spans="2:23" ht="22.5" customHeight="1">
      <c r="B19" s="48"/>
      <c r="C19" s="141" t="s">
        <v>467</v>
      </c>
      <c r="D19" s="72" t="s">
        <v>468</v>
      </c>
      <c r="E19" s="403"/>
      <c r="F19" s="403"/>
      <c r="G19" s="403"/>
      <c r="H19" s="50"/>
      <c r="J19" s="365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8"/>
    </row>
    <row r="20" spans="2:23" ht="22.5" customHeight="1">
      <c r="B20" s="48"/>
      <c r="C20" s="139" t="s">
        <v>469</v>
      </c>
      <c r="D20" s="70" t="s">
        <v>470</v>
      </c>
      <c r="E20" s="404">
        <v>-85365</v>
      </c>
      <c r="F20" s="404"/>
      <c r="G20" s="404">
        <v>-900</v>
      </c>
      <c r="H20" s="50"/>
      <c r="J20" s="365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8"/>
    </row>
    <row r="21" spans="2:23" ht="22.5" customHeight="1">
      <c r="B21" s="48"/>
      <c r="C21" s="139" t="s">
        <v>471</v>
      </c>
      <c r="D21" s="70" t="s">
        <v>472</v>
      </c>
      <c r="E21" s="404">
        <v>497326.47</v>
      </c>
      <c r="F21" s="404">
        <v>702406.21</v>
      </c>
      <c r="G21" s="404">
        <v>410140.11</v>
      </c>
      <c r="H21" s="50"/>
      <c r="J21" s="365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8"/>
    </row>
    <row r="22" spans="2:23" ht="22.5" customHeight="1">
      <c r="B22" s="48"/>
      <c r="C22" s="139" t="s">
        <v>473</v>
      </c>
      <c r="D22" s="70" t="s">
        <v>474</v>
      </c>
      <c r="E22" s="132">
        <f>SUM(E23:E26)</f>
        <v>-858695.79</v>
      </c>
      <c r="F22" s="132">
        <f>SUM(F23:F26)</f>
        <v>-747345.01</v>
      </c>
      <c r="G22" s="132">
        <f>SUM(G23:G26)</f>
        <v>-466449.6</v>
      </c>
      <c r="H22" s="50"/>
      <c r="J22" s="365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8"/>
    </row>
    <row r="23" spans="2:23" ht="22.5" customHeight="1">
      <c r="B23" s="48"/>
      <c r="C23" s="140" t="s">
        <v>463</v>
      </c>
      <c r="D23" s="71" t="s">
        <v>475</v>
      </c>
      <c r="E23" s="402">
        <v>-12509.44</v>
      </c>
      <c r="F23" s="402"/>
      <c r="G23" s="402"/>
      <c r="H23" s="50"/>
      <c r="J23" s="365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8"/>
    </row>
    <row r="24" spans="2:23" ht="22.5" customHeight="1">
      <c r="B24" s="48"/>
      <c r="C24" s="141" t="s">
        <v>465</v>
      </c>
      <c r="D24" s="72" t="s">
        <v>476</v>
      </c>
      <c r="E24" s="403">
        <v>-382249.55</v>
      </c>
      <c r="F24" s="403">
        <v>-308343.23</v>
      </c>
      <c r="G24" s="403">
        <v>-310000</v>
      </c>
      <c r="H24" s="50"/>
      <c r="J24" s="365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8"/>
    </row>
    <row r="25" spans="2:23" ht="22.5" customHeight="1">
      <c r="B25" s="48"/>
      <c r="C25" s="141" t="s">
        <v>467</v>
      </c>
      <c r="D25" s="72" t="s">
        <v>477</v>
      </c>
      <c r="E25" s="403">
        <v>-463936.8</v>
      </c>
      <c r="F25" s="403">
        <v>-439001.78</v>
      </c>
      <c r="G25" s="403">
        <v>-156449.6</v>
      </c>
      <c r="H25" s="50"/>
      <c r="J25" s="365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8"/>
    </row>
    <row r="26" spans="2:23" ht="22.5" customHeight="1">
      <c r="B26" s="48"/>
      <c r="C26" s="141" t="s">
        <v>478</v>
      </c>
      <c r="D26" s="72" t="s">
        <v>479</v>
      </c>
      <c r="E26" s="403"/>
      <c r="F26" s="403"/>
      <c r="G26" s="403"/>
      <c r="H26" s="50"/>
      <c r="J26" s="365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8"/>
    </row>
    <row r="27" spans="2:23" ht="22.5" customHeight="1">
      <c r="B27" s="48"/>
      <c r="C27" s="139" t="s">
        <v>480</v>
      </c>
      <c r="D27" s="70" t="s">
        <v>1101</v>
      </c>
      <c r="E27" s="132">
        <f>SUM(E28:E29)</f>
        <v>2681411.91</v>
      </c>
      <c r="F27" s="132">
        <f>SUM(F28:F29)</f>
        <v>3307326.06</v>
      </c>
      <c r="G27" s="132">
        <f>SUM(G28:G29)</f>
        <v>3960321.48</v>
      </c>
      <c r="H27" s="50"/>
      <c r="J27" s="365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8"/>
    </row>
    <row r="28" spans="2:23" ht="22.5" customHeight="1">
      <c r="B28" s="48"/>
      <c r="C28" s="140" t="s">
        <v>463</v>
      </c>
      <c r="D28" s="71" t="s">
        <v>481</v>
      </c>
      <c r="E28" s="402">
        <v>59332.99</v>
      </c>
      <c r="F28" s="402">
        <v>1136.22</v>
      </c>
      <c r="G28" s="402"/>
      <c r="H28" s="50"/>
      <c r="J28" s="365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8"/>
    </row>
    <row r="29" spans="2:23" ht="22.5" customHeight="1">
      <c r="B29" s="48"/>
      <c r="C29" s="141" t="s">
        <v>465</v>
      </c>
      <c r="D29" s="72" t="s">
        <v>482</v>
      </c>
      <c r="E29" s="403">
        <v>2622078.92</v>
      </c>
      <c r="F29" s="403">
        <v>3306189.84</v>
      </c>
      <c r="G29" s="403">
        <v>3960321.48</v>
      </c>
      <c r="H29" s="50"/>
      <c r="J29" s="365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8"/>
    </row>
    <row r="30" spans="2:23" ht="22.5" customHeight="1">
      <c r="B30" s="48"/>
      <c r="C30" s="139" t="s">
        <v>483</v>
      </c>
      <c r="D30" s="70" t="s">
        <v>484</v>
      </c>
      <c r="E30" s="132">
        <f>SUM(E31:E33)</f>
        <v>-5097918.57</v>
      </c>
      <c r="F30" s="132">
        <f>SUM(F31:F33)</f>
        <v>-5573758.71</v>
      </c>
      <c r="G30" s="132">
        <f>SUM(G31:G33)</f>
        <v>-6625812.960000001</v>
      </c>
      <c r="H30" s="50"/>
      <c r="J30" s="375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7"/>
    </row>
    <row r="31" spans="2:23" ht="22.5" customHeight="1">
      <c r="B31" s="48"/>
      <c r="C31" s="140" t="s">
        <v>463</v>
      </c>
      <c r="D31" s="71" t="s">
        <v>485</v>
      </c>
      <c r="E31" s="402">
        <v>-3860410.7</v>
      </c>
      <c r="F31" s="402">
        <v>-4195000.59</v>
      </c>
      <c r="G31" s="402">
        <v>-4945502.15</v>
      </c>
      <c r="H31" s="50"/>
      <c r="J31" s="375"/>
      <c r="K31" s="376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7"/>
    </row>
    <row r="32" spans="2:23" ht="22.5" customHeight="1">
      <c r="B32" s="48"/>
      <c r="C32" s="141" t="s">
        <v>465</v>
      </c>
      <c r="D32" s="72" t="s">
        <v>486</v>
      </c>
      <c r="E32" s="403">
        <v>-1237507.87</v>
      </c>
      <c r="F32" s="403">
        <v>-1378758.12</v>
      </c>
      <c r="G32" s="403">
        <v>-1680310.81</v>
      </c>
      <c r="H32" s="50"/>
      <c r="J32" s="365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8"/>
    </row>
    <row r="33" spans="2:23" ht="22.5" customHeight="1">
      <c r="B33" s="48"/>
      <c r="C33" s="141" t="s">
        <v>467</v>
      </c>
      <c r="D33" s="72" t="s">
        <v>487</v>
      </c>
      <c r="E33" s="403"/>
      <c r="F33" s="403"/>
      <c r="G33" s="403"/>
      <c r="H33" s="50"/>
      <c r="J33" s="365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8"/>
    </row>
    <row r="34" spans="2:23" ht="22.5" customHeight="1">
      <c r="B34" s="48"/>
      <c r="C34" s="139" t="s">
        <v>488</v>
      </c>
      <c r="D34" s="70" t="s">
        <v>489</v>
      </c>
      <c r="E34" s="132">
        <f>SUM(E35:E39)</f>
        <v>-2677341.75</v>
      </c>
      <c r="F34" s="132">
        <f>SUM(F35:F39)</f>
        <v>-3597751.0900000003</v>
      </c>
      <c r="G34" s="132">
        <f>SUM(G35:G39)</f>
        <v>-7254678.739999999</v>
      </c>
      <c r="H34" s="50"/>
      <c r="J34" s="365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8"/>
    </row>
    <row r="35" spans="2:23" ht="22.5" customHeight="1">
      <c r="B35" s="48"/>
      <c r="C35" s="140" t="s">
        <v>463</v>
      </c>
      <c r="D35" s="71" t="s">
        <v>490</v>
      </c>
      <c r="E35" s="402">
        <v>-2557478.65</v>
      </c>
      <c r="F35" s="402">
        <v>-3460045.12</v>
      </c>
      <c r="G35" s="402">
        <v>-6539423.35</v>
      </c>
      <c r="H35" s="50"/>
      <c r="J35" s="1219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8"/>
    </row>
    <row r="36" spans="2:23" ht="22.5" customHeight="1">
      <c r="B36" s="48"/>
      <c r="C36" s="141" t="s">
        <v>465</v>
      </c>
      <c r="D36" s="72" t="s">
        <v>491</v>
      </c>
      <c r="E36" s="403">
        <v>-119863.1</v>
      </c>
      <c r="F36" s="403">
        <v>-137705.97</v>
      </c>
      <c r="G36" s="403">
        <v>-715255.39</v>
      </c>
      <c r="H36" s="50"/>
      <c r="J36" s="378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80"/>
    </row>
    <row r="37" spans="2:23" ht="22.5" customHeight="1">
      <c r="B37" s="48"/>
      <c r="C37" s="141" t="s">
        <v>467</v>
      </c>
      <c r="D37" s="72" t="s">
        <v>492</v>
      </c>
      <c r="E37" s="403"/>
      <c r="F37" s="403"/>
      <c r="G37" s="403"/>
      <c r="H37" s="50"/>
      <c r="J37" s="378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80"/>
    </row>
    <row r="38" spans="2:23" ht="22.5" customHeight="1">
      <c r="B38" s="48"/>
      <c r="C38" s="141" t="s">
        <v>478</v>
      </c>
      <c r="D38" s="72" t="s">
        <v>493</v>
      </c>
      <c r="E38" s="403"/>
      <c r="F38" s="403"/>
      <c r="G38" s="403"/>
      <c r="H38" s="50"/>
      <c r="J38" s="378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80"/>
    </row>
    <row r="39" spans="2:23" ht="22.5" customHeight="1">
      <c r="B39" s="48"/>
      <c r="C39" s="141" t="s">
        <v>494</v>
      </c>
      <c r="D39" s="72" t="s">
        <v>495</v>
      </c>
      <c r="E39" s="403"/>
      <c r="F39" s="403"/>
      <c r="G39" s="403"/>
      <c r="H39" s="50"/>
      <c r="J39" s="378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80"/>
    </row>
    <row r="40" spans="2:23" ht="22.5" customHeight="1">
      <c r="B40" s="48"/>
      <c r="C40" s="139" t="s">
        <v>496</v>
      </c>
      <c r="D40" s="70" t="s">
        <v>497</v>
      </c>
      <c r="E40" s="404">
        <v>-3924675</v>
      </c>
      <c r="F40" s="404">
        <v>-4003820.22</v>
      </c>
      <c r="G40" s="404">
        <v>-6298878.45</v>
      </c>
      <c r="H40" s="50"/>
      <c r="J40" s="378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80"/>
    </row>
    <row r="41" spans="2:23" ht="22.5" customHeight="1">
      <c r="B41" s="48"/>
      <c r="C41" s="139" t="s">
        <v>498</v>
      </c>
      <c r="D41" s="70" t="s">
        <v>499</v>
      </c>
      <c r="E41" s="404">
        <v>419505.1</v>
      </c>
      <c r="F41" s="404">
        <v>488937.59</v>
      </c>
      <c r="G41" s="404">
        <v>710085.74</v>
      </c>
      <c r="H41" s="50"/>
      <c r="J41" s="378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79"/>
      <c r="V41" s="379"/>
      <c r="W41" s="380"/>
    </row>
    <row r="42" spans="2:23" ht="22.5" customHeight="1">
      <c r="B42" s="48"/>
      <c r="C42" s="139" t="s">
        <v>500</v>
      </c>
      <c r="D42" s="70" t="s">
        <v>501</v>
      </c>
      <c r="E42" s="404"/>
      <c r="F42" s="404"/>
      <c r="G42" s="404"/>
      <c r="H42" s="50"/>
      <c r="J42" s="378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80"/>
    </row>
    <row r="43" spans="2:23" ht="22.5" customHeight="1">
      <c r="B43" s="48"/>
      <c r="C43" s="139" t="s">
        <v>502</v>
      </c>
      <c r="D43" s="70" t="s">
        <v>503</v>
      </c>
      <c r="E43" s="132">
        <f>SUM(E44:E46)</f>
        <v>0</v>
      </c>
      <c r="F43" s="132">
        <f>SUM(F44:F46)</f>
        <v>0</v>
      </c>
      <c r="G43" s="132">
        <f>SUM(G44:G46)</f>
        <v>0</v>
      </c>
      <c r="H43" s="50"/>
      <c r="J43" s="378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80"/>
    </row>
    <row r="44" spans="2:23" ht="22.5" customHeight="1">
      <c r="B44" s="48"/>
      <c r="C44" s="140" t="s">
        <v>463</v>
      </c>
      <c r="D44" s="71" t="s">
        <v>504</v>
      </c>
      <c r="E44" s="402"/>
      <c r="F44" s="402"/>
      <c r="G44" s="402"/>
      <c r="H44" s="50"/>
      <c r="J44" s="378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80"/>
    </row>
    <row r="45" spans="2:23" ht="22.5" customHeight="1">
      <c r="B45" s="48"/>
      <c r="C45" s="141" t="s">
        <v>465</v>
      </c>
      <c r="D45" s="72" t="s">
        <v>505</v>
      </c>
      <c r="E45" s="403"/>
      <c r="F45" s="403"/>
      <c r="G45" s="403"/>
      <c r="H45" s="50"/>
      <c r="J45" s="378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80"/>
    </row>
    <row r="46" spans="2:23" ht="22.5" customHeight="1">
      <c r="B46" s="48"/>
      <c r="C46" s="141" t="s">
        <v>467</v>
      </c>
      <c r="D46" s="72" t="s">
        <v>506</v>
      </c>
      <c r="E46" s="403"/>
      <c r="F46" s="403"/>
      <c r="G46" s="403"/>
      <c r="H46" s="50"/>
      <c r="J46" s="378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80"/>
    </row>
    <row r="47" spans="2:23" ht="22.5" customHeight="1">
      <c r="B47" s="48"/>
      <c r="C47" s="139" t="s">
        <v>507</v>
      </c>
      <c r="D47" s="70" t="s">
        <v>508</v>
      </c>
      <c r="E47" s="404"/>
      <c r="F47" s="404"/>
      <c r="G47" s="404"/>
      <c r="H47" s="50"/>
      <c r="J47" s="378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80"/>
    </row>
    <row r="48" spans="2:23" ht="22.5" customHeight="1">
      <c r="B48" s="48"/>
      <c r="C48" s="139" t="s">
        <v>509</v>
      </c>
      <c r="D48" s="70" t="s">
        <v>1102</v>
      </c>
      <c r="E48" s="404"/>
      <c r="F48" s="404">
        <v>-93.03</v>
      </c>
      <c r="G48" s="404"/>
      <c r="H48" s="50"/>
      <c r="J48" s="378"/>
      <c r="K48" s="379"/>
      <c r="L48" s="379"/>
      <c r="M48" s="379"/>
      <c r="N48" s="379"/>
      <c r="O48" s="379"/>
      <c r="P48" s="379"/>
      <c r="Q48" s="379"/>
      <c r="R48" s="379"/>
      <c r="S48" s="379"/>
      <c r="T48" s="379"/>
      <c r="U48" s="379"/>
      <c r="V48" s="379"/>
      <c r="W48" s="380"/>
    </row>
    <row r="49" spans="2:23" s="75" customFormat="1" ht="22.5" customHeight="1" thickBot="1">
      <c r="B49" s="24"/>
      <c r="C49" s="145" t="s">
        <v>510</v>
      </c>
      <c r="D49" s="83" t="s">
        <v>511</v>
      </c>
      <c r="E49" s="320">
        <f>E16+E20+E21+E22+E27+E30+E34+E40+E41+E42+E43+E47+E48</f>
        <v>-262318.8899999984</v>
      </c>
      <c r="F49" s="320">
        <f>F16+F20+F21+F22+F27+F30+F34+F40+F41+F42+F43+F47+F48</f>
        <v>-1176277.100000001</v>
      </c>
      <c r="G49" s="320">
        <f>G16+G20+G21+G22+G27+G30+G34+G40+G41+G42+G43+G47+G48</f>
        <v>870728.4899999981</v>
      </c>
      <c r="H49" s="59"/>
      <c r="I49" s="42"/>
      <c r="J49" s="378"/>
      <c r="K49" s="379"/>
      <c r="L49" s="379"/>
      <c r="M49" s="379"/>
      <c r="N49" s="379"/>
      <c r="O49" s="379"/>
      <c r="P49" s="379"/>
      <c r="Q49" s="379"/>
      <c r="R49" s="379"/>
      <c r="S49" s="379"/>
      <c r="T49" s="379"/>
      <c r="U49" s="379"/>
      <c r="V49" s="379"/>
      <c r="W49" s="380"/>
    </row>
    <row r="50" spans="2:23" ht="22.5" customHeight="1">
      <c r="B50" s="48"/>
      <c r="C50" s="143"/>
      <c r="D50" s="1"/>
      <c r="E50" s="130"/>
      <c r="F50" s="130"/>
      <c r="G50" s="130"/>
      <c r="H50" s="50"/>
      <c r="J50" s="378"/>
      <c r="K50" s="379"/>
      <c r="L50" s="379"/>
      <c r="M50" s="379"/>
      <c r="N50" s="379"/>
      <c r="O50" s="379"/>
      <c r="P50" s="379"/>
      <c r="Q50" s="379"/>
      <c r="R50" s="379"/>
      <c r="S50" s="379"/>
      <c r="T50" s="379"/>
      <c r="U50" s="379"/>
      <c r="V50" s="379"/>
      <c r="W50" s="380"/>
    </row>
    <row r="51" spans="2:23" ht="22.5" customHeight="1">
      <c r="B51" s="48"/>
      <c r="C51" s="139" t="s">
        <v>512</v>
      </c>
      <c r="D51" s="70" t="s">
        <v>513</v>
      </c>
      <c r="E51" s="132">
        <f>E52+E55+E58</f>
        <v>1722058.58</v>
      </c>
      <c r="F51" s="132">
        <f>F52+F55+F58</f>
        <v>1844749.9</v>
      </c>
      <c r="G51" s="132">
        <f>G52+G55+G58</f>
        <v>1694338.2</v>
      </c>
      <c r="H51" s="50"/>
      <c r="J51" s="378"/>
      <c r="K51" s="379"/>
      <c r="L51" s="379"/>
      <c r="M51" s="379"/>
      <c r="N51" s="379"/>
      <c r="O51" s="379"/>
      <c r="P51" s="379"/>
      <c r="Q51" s="379"/>
      <c r="R51" s="379"/>
      <c r="S51" s="379"/>
      <c r="T51" s="379"/>
      <c r="U51" s="379"/>
      <c r="V51" s="379"/>
      <c r="W51" s="380"/>
    </row>
    <row r="52" spans="2:23" ht="22.5" customHeight="1">
      <c r="B52" s="48"/>
      <c r="C52" s="140" t="s">
        <v>463</v>
      </c>
      <c r="D52" s="71" t="s">
        <v>514</v>
      </c>
      <c r="E52" s="133">
        <f>SUM(E53:E54)</f>
        <v>1086104.76</v>
      </c>
      <c r="F52" s="133">
        <f>SUM(F53:F54)</f>
        <v>1311501.7</v>
      </c>
      <c r="G52" s="133">
        <f>SUM(G53:G54)</f>
        <v>1230950</v>
      </c>
      <c r="H52" s="50"/>
      <c r="J52" s="378"/>
      <c r="K52" s="379"/>
      <c r="L52" s="379"/>
      <c r="M52" s="379"/>
      <c r="N52" s="379"/>
      <c r="O52" s="379"/>
      <c r="P52" s="379"/>
      <c r="Q52" s="379"/>
      <c r="R52" s="379"/>
      <c r="S52" s="379"/>
      <c r="T52" s="379"/>
      <c r="U52" s="379"/>
      <c r="V52" s="379"/>
      <c r="W52" s="380"/>
    </row>
    <row r="53" spans="2:23" ht="22.5" customHeight="1">
      <c r="B53" s="48"/>
      <c r="C53" s="314" t="s">
        <v>515</v>
      </c>
      <c r="D53" s="78" t="s">
        <v>516</v>
      </c>
      <c r="E53" s="652">
        <v>94952.07</v>
      </c>
      <c r="F53" s="652">
        <v>187007.05</v>
      </c>
      <c r="G53" s="652">
        <v>80000</v>
      </c>
      <c r="H53" s="50"/>
      <c r="J53" s="378"/>
      <c r="K53" s="379"/>
      <c r="L53" s="379"/>
      <c r="M53" s="379"/>
      <c r="N53" s="379"/>
      <c r="O53" s="379"/>
      <c r="P53" s="379"/>
      <c r="Q53" s="379"/>
      <c r="R53" s="379"/>
      <c r="S53" s="379"/>
      <c r="T53" s="379"/>
      <c r="U53" s="379"/>
      <c r="V53" s="379"/>
      <c r="W53" s="380"/>
    </row>
    <row r="54" spans="2:23" ht="22.5" customHeight="1">
      <c r="B54" s="48"/>
      <c r="C54" s="314" t="s">
        <v>517</v>
      </c>
      <c r="D54" s="78" t="s">
        <v>518</v>
      </c>
      <c r="E54" s="652">
        <v>991152.69</v>
      </c>
      <c r="F54" s="652">
        <v>1124494.65</v>
      </c>
      <c r="G54" s="652">
        <f>498950+650000+2000</f>
        <v>1150950</v>
      </c>
      <c r="H54" s="50"/>
      <c r="J54" s="378"/>
      <c r="K54" s="379"/>
      <c r="L54" s="379"/>
      <c r="M54" s="379"/>
      <c r="N54" s="379"/>
      <c r="O54" s="379"/>
      <c r="P54" s="379"/>
      <c r="Q54" s="379"/>
      <c r="R54" s="379"/>
      <c r="S54" s="379"/>
      <c r="T54" s="379"/>
      <c r="U54" s="379"/>
      <c r="V54" s="379"/>
      <c r="W54" s="380"/>
    </row>
    <row r="55" spans="2:23" ht="22.5" customHeight="1">
      <c r="B55" s="48"/>
      <c r="C55" s="315" t="s">
        <v>465</v>
      </c>
      <c r="D55" s="73" t="s">
        <v>519</v>
      </c>
      <c r="E55" s="321">
        <f>SUM(E56:E57)</f>
        <v>635953.82</v>
      </c>
      <c r="F55" s="321">
        <f>SUM(F56:F57)</f>
        <v>533248.2</v>
      </c>
      <c r="G55" s="321">
        <f>SUM(G56:G57)</f>
        <v>463388.19999999995</v>
      </c>
      <c r="H55" s="50"/>
      <c r="J55" s="378"/>
      <c r="K55" s="379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80"/>
    </row>
    <row r="56" spans="2:23" ht="22.5" customHeight="1">
      <c r="B56" s="48"/>
      <c r="C56" s="314" t="s">
        <v>520</v>
      </c>
      <c r="D56" s="78" t="s">
        <v>521</v>
      </c>
      <c r="E56" s="652">
        <v>634378.22</v>
      </c>
      <c r="F56" s="652">
        <v>533248.2</v>
      </c>
      <c r="G56" s="652">
        <f>1113388.2-650000</f>
        <v>463388.19999999995</v>
      </c>
      <c r="H56" s="50"/>
      <c r="J56" s="378"/>
      <c r="K56" s="379"/>
      <c r="L56" s="379"/>
      <c r="M56" s="379"/>
      <c r="N56" s="379"/>
      <c r="O56" s="379"/>
      <c r="P56" s="379"/>
      <c r="Q56" s="379"/>
      <c r="R56" s="379"/>
      <c r="S56" s="379"/>
      <c r="T56" s="379"/>
      <c r="U56" s="379"/>
      <c r="V56" s="379"/>
      <c r="W56" s="380"/>
    </row>
    <row r="57" spans="2:23" ht="22.5" customHeight="1">
      <c r="B57" s="48"/>
      <c r="C57" s="314" t="s">
        <v>522</v>
      </c>
      <c r="D57" s="78" t="s">
        <v>523</v>
      </c>
      <c r="E57" s="652">
        <v>1575.6</v>
      </c>
      <c r="F57" s="652"/>
      <c r="G57" s="652">
        <v>0</v>
      </c>
      <c r="H57" s="50"/>
      <c r="J57" s="378"/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80"/>
    </row>
    <row r="58" spans="2:23" ht="22.5" customHeight="1">
      <c r="B58" s="48"/>
      <c r="C58" s="315" t="s">
        <v>467</v>
      </c>
      <c r="D58" s="73" t="s">
        <v>524</v>
      </c>
      <c r="E58" s="405"/>
      <c r="F58" s="405"/>
      <c r="G58" s="405"/>
      <c r="H58" s="50"/>
      <c r="J58" s="378"/>
      <c r="K58" s="379"/>
      <c r="L58" s="379"/>
      <c r="M58" s="379"/>
      <c r="N58" s="379"/>
      <c r="O58" s="379"/>
      <c r="P58" s="379"/>
      <c r="Q58" s="379"/>
      <c r="R58" s="379"/>
      <c r="S58" s="379"/>
      <c r="T58" s="379"/>
      <c r="U58" s="379"/>
      <c r="V58" s="379"/>
      <c r="W58" s="380"/>
    </row>
    <row r="59" spans="2:23" ht="22.5" customHeight="1">
      <c r="B59" s="48"/>
      <c r="C59" s="139" t="s">
        <v>525</v>
      </c>
      <c r="D59" s="70" t="s">
        <v>526</v>
      </c>
      <c r="E59" s="132">
        <f>SUM(E60:E62)</f>
        <v>-183014.83000000002</v>
      </c>
      <c r="F59" s="132">
        <f>SUM(F60:F62)</f>
        <v>-190221.25</v>
      </c>
      <c r="G59" s="132">
        <f>SUM(G60:G62)</f>
        <v>-357117.96</v>
      </c>
      <c r="H59" s="50"/>
      <c r="J59" s="378"/>
      <c r="K59" s="379"/>
      <c r="L59" s="379"/>
      <c r="M59" s="379"/>
      <c r="N59" s="379"/>
      <c r="O59" s="379"/>
      <c r="P59" s="379"/>
      <c r="Q59" s="379"/>
      <c r="R59" s="379"/>
      <c r="S59" s="379"/>
      <c r="T59" s="379"/>
      <c r="U59" s="379"/>
      <c r="V59" s="379"/>
      <c r="W59" s="380"/>
    </row>
    <row r="60" spans="2:23" ht="22.5" customHeight="1">
      <c r="B60" s="48"/>
      <c r="C60" s="315" t="s">
        <v>463</v>
      </c>
      <c r="D60" s="73" t="s">
        <v>527</v>
      </c>
      <c r="E60" s="405"/>
      <c r="F60" s="405"/>
      <c r="G60" s="405"/>
      <c r="H60" s="50"/>
      <c r="J60" s="378"/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79"/>
      <c r="V60" s="379"/>
      <c r="W60" s="380"/>
    </row>
    <row r="61" spans="2:23" ht="22.5" customHeight="1">
      <c r="B61" s="48"/>
      <c r="C61" s="315" t="s">
        <v>465</v>
      </c>
      <c r="D61" s="73" t="s">
        <v>528</v>
      </c>
      <c r="E61" s="405">
        <v>-182688.16</v>
      </c>
      <c r="F61" s="405">
        <v>-189021.25</v>
      </c>
      <c r="G61" s="405">
        <v>-355917.96</v>
      </c>
      <c r="H61" s="50"/>
      <c r="J61" s="378"/>
      <c r="K61" s="379"/>
      <c r="L61" s="379"/>
      <c r="M61" s="379"/>
      <c r="N61" s="379"/>
      <c r="O61" s="379"/>
      <c r="P61" s="379"/>
      <c r="Q61" s="379"/>
      <c r="R61" s="379"/>
      <c r="S61" s="379"/>
      <c r="T61" s="379"/>
      <c r="U61" s="379"/>
      <c r="V61" s="379"/>
      <c r="W61" s="380"/>
    </row>
    <row r="62" spans="2:23" ht="22.5" customHeight="1">
      <c r="B62" s="48"/>
      <c r="C62" s="315" t="s">
        <v>467</v>
      </c>
      <c r="D62" s="73" t="s">
        <v>529</v>
      </c>
      <c r="E62" s="405">
        <v>-326.67</v>
      </c>
      <c r="F62" s="405">
        <v>-1200</v>
      </c>
      <c r="G62" s="405">
        <v>-1200</v>
      </c>
      <c r="H62" s="50"/>
      <c r="J62" s="378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80"/>
    </row>
    <row r="63" spans="2:23" ht="22.5" customHeight="1">
      <c r="B63" s="48"/>
      <c r="C63" s="139" t="s">
        <v>530</v>
      </c>
      <c r="D63" s="70" t="s">
        <v>531</v>
      </c>
      <c r="E63" s="132">
        <f>SUM(E64:E65)</f>
        <v>0</v>
      </c>
      <c r="F63" s="132">
        <f>SUM(F64:F65)</f>
        <v>0</v>
      </c>
      <c r="G63" s="132">
        <f>SUM(G64:G65)</f>
        <v>0</v>
      </c>
      <c r="H63" s="50"/>
      <c r="J63" s="378"/>
      <c r="K63" s="379"/>
      <c r="L63" s="379"/>
      <c r="M63" s="379"/>
      <c r="N63" s="379"/>
      <c r="O63" s="379"/>
      <c r="P63" s="379"/>
      <c r="Q63" s="379"/>
      <c r="R63" s="379"/>
      <c r="S63" s="379"/>
      <c r="T63" s="379"/>
      <c r="U63" s="379"/>
      <c r="V63" s="379"/>
      <c r="W63" s="380"/>
    </row>
    <row r="64" spans="2:23" ht="22.5" customHeight="1">
      <c r="B64" s="48"/>
      <c r="C64" s="315" t="s">
        <v>463</v>
      </c>
      <c r="D64" s="73" t="s">
        <v>532</v>
      </c>
      <c r="E64" s="405"/>
      <c r="F64" s="405"/>
      <c r="G64" s="405"/>
      <c r="H64" s="50"/>
      <c r="J64" s="378"/>
      <c r="K64" s="379"/>
      <c r="L64" s="379"/>
      <c r="M64" s="379"/>
      <c r="N64" s="379"/>
      <c r="O64" s="379"/>
      <c r="P64" s="379"/>
      <c r="Q64" s="379"/>
      <c r="R64" s="379"/>
      <c r="S64" s="379"/>
      <c r="T64" s="379"/>
      <c r="U64" s="379"/>
      <c r="V64" s="379"/>
      <c r="W64" s="380"/>
    </row>
    <row r="65" spans="2:23" ht="22.5" customHeight="1">
      <c r="B65" s="48"/>
      <c r="C65" s="315" t="s">
        <v>465</v>
      </c>
      <c r="D65" s="73" t="s">
        <v>533</v>
      </c>
      <c r="E65" s="405"/>
      <c r="F65" s="405"/>
      <c r="G65" s="405"/>
      <c r="H65" s="50"/>
      <c r="J65" s="378"/>
      <c r="K65" s="379"/>
      <c r="L65" s="379"/>
      <c r="M65" s="379"/>
      <c r="N65" s="379"/>
      <c r="O65" s="379"/>
      <c r="P65" s="379"/>
      <c r="Q65" s="379"/>
      <c r="R65" s="379"/>
      <c r="S65" s="379"/>
      <c r="T65" s="379"/>
      <c r="U65" s="379"/>
      <c r="V65" s="379"/>
      <c r="W65" s="380"/>
    </row>
    <row r="66" spans="2:23" ht="22.5" customHeight="1">
      <c r="B66" s="48"/>
      <c r="C66" s="139" t="s">
        <v>534</v>
      </c>
      <c r="D66" s="70" t="s">
        <v>535</v>
      </c>
      <c r="E66" s="132">
        <v>0</v>
      </c>
      <c r="F66" s="132">
        <v>0</v>
      </c>
      <c r="G66" s="132">
        <v>0</v>
      </c>
      <c r="H66" s="50"/>
      <c r="J66" s="378"/>
      <c r="K66" s="379"/>
      <c r="L66" s="379"/>
      <c r="M66" s="379"/>
      <c r="N66" s="379"/>
      <c r="O66" s="379"/>
      <c r="P66" s="379"/>
      <c r="Q66" s="379"/>
      <c r="R66" s="379"/>
      <c r="S66" s="379"/>
      <c r="T66" s="379"/>
      <c r="U66" s="379"/>
      <c r="V66" s="379"/>
      <c r="W66" s="380"/>
    </row>
    <row r="67" spans="2:23" ht="22.5" customHeight="1">
      <c r="B67" s="48"/>
      <c r="C67" s="139" t="s">
        <v>536</v>
      </c>
      <c r="D67" s="70" t="s">
        <v>537</v>
      </c>
      <c r="E67" s="132">
        <f>SUM(E68:E69)</f>
        <v>0</v>
      </c>
      <c r="F67" s="132">
        <f>SUM(F68:F69)</f>
        <v>0</v>
      </c>
      <c r="G67" s="132">
        <f>SUM(G68:G69)</f>
        <v>0</v>
      </c>
      <c r="H67" s="50"/>
      <c r="J67" s="378"/>
      <c r="K67" s="379"/>
      <c r="L67" s="379"/>
      <c r="M67" s="379"/>
      <c r="N67" s="379"/>
      <c r="O67" s="379"/>
      <c r="P67" s="379"/>
      <c r="Q67" s="379"/>
      <c r="R67" s="379"/>
      <c r="S67" s="379"/>
      <c r="T67" s="379"/>
      <c r="U67" s="379"/>
      <c r="V67" s="379"/>
      <c r="W67" s="380"/>
    </row>
    <row r="68" spans="2:23" ht="22.5" customHeight="1">
      <c r="B68" s="48"/>
      <c r="C68" s="315" t="s">
        <v>463</v>
      </c>
      <c r="D68" s="73" t="s">
        <v>538</v>
      </c>
      <c r="E68" s="405"/>
      <c r="F68" s="405"/>
      <c r="G68" s="405"/>
      <c r="H68" s="50"/>
      <c r="J68" s="378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79"/>
      <c r="V68" s="379"/>
      <c r="W68" s="380"/>
    </row>
    <row r="69" spans="2:23" ht="22.5" customHeight="1">
      <c r="B69" s="48"/>
      <c r="C69" s="315" t="s">
        <v>465</v>
      </c>
      <c r="D69" s="73" t="s">
        <v>505</v>
      </c>
      <c r="E69" s="405"/>
      <c r="F69" s="405"/>
      <c r="G69" s="405"/>
      <c r="H69" s="50"/>
      <c r="J69" s="378"/>
      <c r="K69" s="379"/>
      <c r="L69" s="379"/>
      <c r="M69" s="379"/>
      <c r="N69" s="379"/>
      <c r="O69" s="379"/>
      <c r="P69" s="379"/>
      <c r="Q69" s="379"/>
      <c r="R69" s="379"/>
      <c r="S69" s="379"/>
      <c r="T69" s="379"/>
      <c r="U69" s="379"/>
      <c r="V69" s="379"/>
      <c r="W69" s="380"/>
    </row>
    <row r="70" spans="2:23" ht="22.5" customHeight="1">
      <c r="B70" s="48"/>
      <c r="C70" s="139" t="s">
        <v>539</v>
      </c>
      <c r="D70" s="70" t="s">
        <v>540</v>
      </c>
      <c r="E70" s="132">
        <f>SUM(E71:E73)</f>
        <v>-1001.78</v>
      </c>
      <c r="F70" s="132">
        <f>SUM(F71:F73)</f>
        <v>-48.25</v>
      </c>
      <c r="G70" s="132">
        <f>SUM(G71:G73)</f>
        <v>0</v>
      </c>
      <c r="H70" s="50"/>
      <c r="J70" s="378"/>
      <c r="K70" s="379"/>
      <c r="L70" s="379"/>
      <c r="M70" s="379"/>
      <c r="N70" s="379"/>
      <c r="O70" s="379"/>
      <c r="P70" s="379"/>
      <c r="Q70" s="379"/>
      <c r="R70" s="379"/>
      <c r="S70" s="379"/>
      <c r="T70" s="379"/>
      <c r="U70" s="379"/>
      <c r="V70" s="379"/>
      <c r="W70" s="380"/>
    </row>
    <row r="71" spans="2:23" ht="22.5" customHeight="1">
      <c r="B71" s="48"/>
      <c r="C71" s="315" t="s">
        <v>463</v>
      </c>
      <c r="D71" s="73" t="s">
        <v>541</v>
      </c>
      <c r="E71" s="405"/>
      <c r="F71" s="405"/>
      <c r="G71" s="405"/>
      <c r="H71" s="50"/>
      <c r="J71" s="378"/>
      <c r="K71" s="379"/>
      <c r="L71" s="379"/>
      <c r="M71" s="379"/>
      <c r="N71" s="379"/>
      <c r="O71" s="379"/>
      <c r="P71" s="379"/>
      <c r="Q71" s="379"/>
      <c r="R71" s="379"/>
      <c r="S71" s="379"/>
      <c r="T71" s="379"/>
      <c r="U71" s="379"/>
      <c r="V71" s="379"/>
      <c r="W71" s="380"/>
    </row>
    <row r="72" spans="2:23" ht="22.5" customHeight="1">
      <c r="B72" s="48"/>
      <c r="C72" s="315" t="s">
        <v>465</v>
      </c>
      <c r="D72" s="73" t="s">
        <v>542</v>
      </c>
      <c r="E72" s="405"/>
      <c r="F72" s="405"/>
      <c r="G72" s="405"/>
      <c r="H72" s="50"/>
      <c r="J72" s="378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80"/>
    </row>
    <row r="73" spans="2:23" ht="22.5" customHeight="1">
      <c r="B73" s="48"/>
      <c r="C73" s="315" t="s">
        <v>467</v>
      </c>
      <c r="D73" s="73" t="s">
        <v>543</v>
      </c>
      <c r="E73" s="405">
        <v>-1001.78</v>
      </c>
      <c r="F73" s="405">
        <v>-48.25</v>
      </c>
      <c r="G73" s="405"/>
      <c r="H73" s="50"/>
      <c r="J73" s="378"/>
      <c r="K73" s="379"/>
      <c r="L73" s="379"/>
      <c r="M73" s="379"/>
      <c r="N73" s="379"/>
      <c r="O73" s="379"/>
      <c r="P73" s="379"/>
      <c r="Q73" s="379"/>
      <c r="R73" s="379"/>
      <c r="S73" s="379"/>
      <c r="T73" s="379"/>
      <c r="U73" s="379"/>
      <c r="V73" s="379"/>
      <c r="W73" s="380"/>
    </row>
    <row r="74" spans="2:23" s="75" customFormat="1" ht="22.5" customHeight="1" thickBot="1">
      <c r="B74" s="24"/>
      <c r="C74" s="316" t="s">
        <v>544</v>
      </c>
      <c r="D74" s="74" t="s">
        <v>545</v>
      </c>
      <c r="E74" s="320">
        <f>E51+E59+E63+E66+E67+E70</f>
        <v>1538041.97</v>
      </c>
      <c r="F74" s="320">
        <f>F51+F59+F63+F66+F67+F70</f>
        <v>1654480.4</v>
      </c>
      <c r="G74" s="320">
        <f>G51+G59+G63+G66+G67+G70</f>
        <v>1337220.24</v>
      </c>
      <c r="H74" s="59"/>
      <c r="J74" s="378"/>
      <c r="K74" s="379"/>
      <c r="L74" s="379"/>
      <c r="M74" s="379"/>
      <c r="N74" s="379"/>
      <c r="O74" s="379"/>
      <c r="P74" s="379"/>
      <c r="Q74" s="379"/>
      <c r="R74" s="379"/>
      <c r="S74" s="379"/>
      <c r="T74" s="379"/>
      <c r="U74" s="379"/>
      <c r="V74" s="379"/>
      <c r="W74" s="380"/>
    </row>
    <row r="75" spans="2:23" ht="22.5" customHeight="1">
      <c r="B75" s="48"/>
      <c r="C75" s="317"/>
      <c r="D75" s="77"/>
      <c r="E75" s="322"/>
      <c r="F75" s="322"/>
      <c r="G75" s="322"/>
      <c r="H75" s="50"/>
      <c r="J75" s="378"/>
      <c r="K75" s="379"/>
      <c r="L75" s="379"/>
      <c r="M75" s="379"/>
      <c r="N75" s="379"/>
      <c r="O75" s="379"/>
      <c r="P75" s="379"/>
      <c r="Q75" s="379"/>
      <c r="R75" s="379"/>
      <c r="S75" s="379"/>
      <c r="T75" s="379"/>
      <c r="U75" s="379"/>
      <c r="V75" s="379"/>
      <c r="W75" s="380"/>
    </row>
    <row r="76" spans="2:23" s="75" customFormat="1" ht="22.5" customHeight="1" thickBot="1">
      <c r="B76" s="24"/>
      <c r="C76" s="318" t="s">
        <v>546</v>
      </c>
      <c r="D76" s="76" t="s">
        <v>547</v>
      </c>
      <c r="E76" s="323">
        <f>E74+E49</f>
        <v>1275723.0800000015</v>
      </c>
      <c r="F76" s="323">
        <f>F74+F49</f>
        <v>478203.2999999989</v>
      </c>
      <c r="G76" s="323">
        <f>G74+G49</f>
        <v>2207948.729999998</v>
      </c>
      <c r="H76" s="59"/>
      <c r="J76" s="378"/>
      <c r="K76" s="379"/>
      <c r="L76" s="379"/>
      <c r="M76" s="379"/>
      <c r="N76" s="379"/>
      <c r="O76" s="379"/>
      <c r="P76" s="379"/>
      <c r="Q76" s="379"/>
      <c r="R76" s="379"/>
      <c r="S76" s="379"/>
      <c r="T76" s="379"/>
      <c r="U76" s="379"/>
      <c r="V76" s="379"/>
      <c r="W76" s="380"/>
    </row>
    <row r="77" spans="2:23" ht="22.5" customHeight="1">
      <c r="B77" s="48"/>
      <c r="C77" s="139" t="s">
        <v>548</v>
      </c>
      <c r="D77" s="70" t="s">
        <v>549</v>
      </c>
      <c r="E77" s="404">
        <v>1005626.11</v>
      </c>
      <c r="F77" s="404">
        <v>8722670.33</v>
      </c>
      <c r="G77" s="404">
        <v>610310.89</v>
      </c>
      <c r="H77" s="50"/>
      <c r="J77" s="378"/>
      <c r="K77" s="379"/>
      <c r="L77" s="379"/>
      <c r="M77" s="379"/>
      <c r="N77" s="379"/>
      <c r="O77" s="379"/>
      <c r="P77" s="379"/>
      <c r="Q77" s="379"/>
      <c r="R77" s="379"/>
      <c r="S77" s="379"/>
      <c r="T77" s="379"/>
      <c r="U77" s="379"/>
      <c r="V77" s="379"/>
      <c r="W77" s="380"/>
    </row>
    <row r="78" spans="2:23" ht="22.5" customHeight="1">
      <c r="B78" s="48"/>
      <c r="C78" s="142"/>
      <c r="D78" s="62"/>
      <c r="E78" s="130"/>
      <c r="F78" s="130"/>
      <c r="G78" s="130"/>
      <c r="H78" s="50"/>
      <c r="J78" s="378"/>
      <c r="K78" s="379"/>
      <c r="L78" s="379"/>
      <c r="M78" s="379"/>
      <c r="N78" s="379"/>
      <c r="O78" s="379"/>
      <c r="P78" s="379"/>
      <c r="Q78" s="379"/>
      <c r="R78" s="379"/>
      <c r="S78" s="379"/>
      <c r="T78" s="379"/>
      <c r="U78" s="379"/>
      <c r="V78" s="379"/>
      <c r="W78" s="380"/>
    </row>
    <row r="79" spans="2:23" s="75" customFormat="1" ht="22.5" customHeight="1" thickBot="1">
      <c r="B79" s="24"/>
      <c r="C79" s="318" t="s">
        <v>550</v>
      </c>
      <c r="D79" s="76" t="s">
        <v>560</v>
      </c>
      <c r="E79" s="323">
        <f>E76+E77</f>
        <v>2281349.1900000013</v>
      </c>
      <c r="F79" s="323">
        <f>F76+F77</f>
        <v>9200873.629999999</v>
      </c>
      <c r="G79" s="323">
        <f>G76+G77</f>
        <v>2818259.6199999982</v>
      </c>
      <c r="H79" s="59"/>
      <c r="J79" s="378"/>
      <c r="K79" s="379"/>
      <c r="L79" s="379"/>
      <c r="M79" s="379"/>
      <c r="N79" s="379"/>
      <c r="O79" s="379"/>
      <c r="P79" s="379"/>
      <c r="Q79" s="379"/>
      <c r="R79" s="379"/>
      <c r="S79" s="379"/>
      <c r="T79" s="379"/>
      <c r="U79" s="379"/>
      <c r="V79" s="379"/>
      <c r="W79" s="380"/>
    </row>
    <row r="80" spans="2:23" ht="22.5" customHeight="1">
      <c r="B80" s="48"/>
      <c r="C80" s="142"/>
      <c r="D80" s="62"/>
      <c r="E80" s="130"/>
      <c r="F80" s="130"/>
      <c r="G80" s="130"/>
      <c r="H80" s="50"/>
      <c r="J80" s="378"/>
      <c r="K80" s="379"/>
      <c r="L80" s="379"/>
      <c r="M80" s="379"/>
      <c r="N80" s="379"/>
      <c r="O80" s="379"/>
      <c r="P80" s="379"/>
      <c r="Q80" s="379"/>
      <c r="R80" s="379"/>
      <c r="S80" s="379"/>
      <c r="T80" s="379"/>
      <c r="U80" s="379"/>
      <c r="V80" s="379"/>
      <c r="W80" s="380"/>
    </row>
    <row r="81" spans="2:23" ht="22.5" customHeight="1">
      <c r="B81" s="48"/>
      <c r="C81" s="137" t="s">
        <v>551</v>
      </c>
      <c r="D81" s="86" t="s">
        <v>552</v>
      </c>
      <c r="E81" s="130"/>
      <c r="F81" s="130"/>
      <c r="G81" s="130"/>
      <c r="H81" s="50"/>
      <c r="J81" s="378"/>
      <c r="K81" s="379"/>
      <c r="L81" s="379"/>
      <c r="M81" s="379"/>
      <c r="N81" s="379"/>
      <c r="O81" s="379"/>
      <c r="P81" s="379"/>
      <c r="Q81" s="379"/>
      <c r="R81" s="379"/>
      <c r="S81" s="379"/>
      <c r="T81" s="379"/>
      <c r="U81" s="379"/>
      <c r="V81" s="379"/>
      <c r="W81" s="380"/>
    </row>
    <row r="82" spans="2:23" ht="22.5" customHeight="1">
      <c r="B82" s="48"/>
      <c r="C82" s="139" t="s">
        <v>553</v>
      </c>
      <c r="D82" s="70" t="s">
        <v>554</v>
      </c>
      <c r="E82" s="404"/>
      <c r="F82" s="404"/>
      <c r="G82" s="404"/>
      <c r="H82" s="50"/>
      <c r="J82" s="378"/>
      <c r="K82" s="379"/>
      <c r="L82" s="379"/>
      <c r="M82" s="379"/>
      <c r="N82" s="379"/>
      <c r="O82" s="379"/>
      <c r="P82" s="379"/>
      <c r="Q82" s="379"/>
      <c r="R82" s="379"/>
      <c r="S82" s="379"/>
      <c r="T82" s="379"/>
      <c r="U82" s="379"/>
      <c r="V82" s="379"/>
      <c r="W82" s="380"/>
    </row>
    <row r="83" spans="2:23" ht="22.5" customHeight="1">
      <c r="B83" s="48"/>
      <c r="C83" s="142"/>
      <c r="D83" s="62"/>
      <c r="E83" s="130"/>
      <c r="F83" s="130"/>
      <c r="G83" s="130"/>
      <c r="H83" s="50"/>
      <c r="J83" s="378"/>
      <c r="K83" s="379"/>
      <c r="L83" s="379"/>
      <c r="M83" s="379"/>
      <c r="N83" s="379"/>
      <c r="O83" s="379"/>
      <c r="P83" s="379"/>
      <c r="Q83" s="379"/>
      <c r="R83" s="379"/>
      <c r="S83" s="379"/>
      <c r="T83" s="379"/>
      <c r="U83" s="379"/>
      <c r="V83" s="379"/>
      <c r="W83" s="380"/>
    </row>
    <row r="84" spans="2:23" s="75" customFormat="1" ht="22.5" customHeight="1" thickBot="1">
      <c r="B84" s="24"/>
      <c r="C84" s="319" t="s">
        <v>555</v>
      </c>
      <c r="D84" s="79" t="s">
        <v>556</v>
      </c>
      <c r="E84" s="136">
        <f>E79+E82</f>
        <v>2281349.1900000013</v>
      </c>
      <c r="F84" s="136">
        <f>F79+F82</f>
        <v>9200873.629999999</v>
      </c>
      <c r="G84" s="136">
        <f>G79+G82</f>
        <v>2818259.6199999982</v>
      </c>
      <c r="H84" s="59"/>
      <c r="J84" s="378"/>
      <c r="K84" s="379"/>
      <c r="L84" s="379"/>
      <c r="M84" s="379"/>
      <c r="N84" s="379"/>
      <c r="O84" s="379"/>
      <c r="P84" s="379"/>
      <c r="Q84" s="379"/>
      <c r="R84" s="379"/>
      <c r="S84" s="379"/>
      <c r="T84" s="379"/>
      <c r="U84" s="379"/>
      <c r="V84" s="379"/>
      <c r="W84" s="380"/>
    </row>
    <row r="85" spans="2:23" ht="22.5" customHeight="1">
      <c r="B85" s="48"/>
      <c r="C85" s="44"/>
      <c r="D85" s="44"/>
      <c r="E85" s="44"/>
      <c r="F85" s="44"/>
      <c r="G85" s="44"/>
      <c r="H85" s="50"/>
      <c r="J85" s="378"/>
      <c r="K85" s="379"/>
      <c r="L85" s="379"/>
      <c r="M85" s="379"/>
      <c r="N85" s="379"/>
      <c r="O85" s="379"/>
      <c r="P85" s="379"/>
      <c r="Q85" s="379"/>
      <c r="R85" s="379"/>
      <c r="S85" s="379"/>
      <c r="T85" s="379"/>
      <c r="U85" s="379"/>
      <c r="V85" s="379"/>
      <c r="W85" s="380"/>
    </row>
    <row r="86" spans="2:23" ht="22.5" customHeight="1" thickBot="1">
      <c r="B86" s="52"/>
      <c r="C86" s="1239"/>
      <c r="D86" s="1239"/>
      <c r="E86" s="1239"/>
      <c r="F86" s="1239"/>
      <c r="G86" s="54"/>
      <c r="H86" s="55"/>
      <c r="J86" s="381"/>
      <c r="K86" s="382"/>
      <c r="L86" s="382"/>
      <c r="M86" s="382"/>
      <c r="N86" s="382"/>
      <c r="O86" s="382"/>
      <c r="P86" s="382"/>
      <c r="Q86" s="382"/>
      <c r="R86" s="382"/>
      <c r="S86" s="382"/>
      <c r="T86" s="382"/>
      <c r="U86" s="382"/>
      <c r="V86" s="382"/>
      <c r="W86" s="383"/>
    </row>
    <row r="87" spans="3:9" ht="22.5" customHeight="1">
      <c r="C87" s="44"/>
      <c r="D87" s="44"/>
      <c r="E87" s="44"/>
      <c r="F87" s="44"/>
      <c r="G87" s="44"/>
      <c r="I87" s="42" t="s">
        <v>154</v>
      </c>
    </row>
    <row r="88" spans="3:7" ht="12.75">
      <c r="C88" s="37" t="s">
        <v>451</v>
      </c>
      <c r="D88" s="44"/>
      <c r="E88" s="44"/>
      <c r="F88" s="44"/>
      <c r="G88" s="41" t="s">
        <v>420</v>
      </c>
    </row>
    <row r="89" spans="3:7" ht="12.75">
      <c r="C89" s="38" t="s">
        <v>452</v>
      </c>
      <c r="D89" s="44"/>
      <c r="E89" s="44"/>
      <c r="F89" s="44"/>
      <c r="G89" s="44"/>
    </row>
    <row r="90" spans="3:7" ht="12.75">
      <c r="C90" s="38" t="s">
        <v>453</v>
      </c>
      <c r="D90" s="44"/>
      <c r="E90" s="44"/>
      <c r="F90" s="44"/>
      <c r="G90" s="44"/>
    </row>
    <row r="91" spans="3:7" ht="12.75">
      <c r="C91" s="38" t="s">
        <v>454</v>
      </c>
      <c r="D91" s="44"/>
      <c r="E91" s="44"/>
      <c r="F91" s="44"/>
      <c r="G91" s="44"/>
    </row>
    <row r="92" spans="3:7" ht="12.75">
      <c r="C92" s="38" t="s">
        <v>455</v>
      </c>
      <c r="D92" s="44"/>
      <c r="E92" s="44"/>
      <c r="F92" s="44"/>
      <c r="G92" s="44"/>
    </row>
    <row r="93" spans="3:7" ht="22.5" customHeight="1">
      <c r="C93" s="44"/>
      <c r="D93" s="44"/>
      <c r="E93" s="44"/>
      <c r="F93" s="44"/>
      <c r="G93" s="44"/>
    </row>
    <row r="94" spans="3:7" ht="22.5" customHeight="1">
      <c r="C94" s="44"/>
      <c r="D94" s="44"/>
      <c r="E94" s="44"/>
      <c r="F94" s="44"/>
      <c r="G94" s="44"/>
    </row>
    <row r="95" spans="3:7" ht="22.5" customHeight="1">
      <c r="C95" s="44"/>
      <c r="D95" s="44"/>
      <c r="E95" s="44"/>
      <c r="F95" s="44"/>
      <c r="G95" s="44"/>
    </row>
    <row r="96" spans="3:7" ht="22.5" customHeight="1">
      <c r="C96" s="44"/>
      <c r="D96" s="44"/>
      <c r="E96" s="44"/>
      <c r="F96" s="44"/>
      <c r="G96" s="44"/>
    </row>
    <row r="97" spans="6:7" ht="22.5" customHeight="1">
      <c r="F97" s="44"/>
      <c r="G97" s="44"/>
    </row>
  </sheetData>
  <sheetProtection password="C494" sheet="1" objects="1" scenarios="1"/>
  <mergeCells count="3">
    <mergeCell ref="C86:F86"/>
    <mergeCell ref="G6:G7"/>
    <mergeCell ref="D9:G9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7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12"/>
  <sheetViews>
    <sheetView zoomScale="70" zoomScaleNormal="70" zoomScalePageLayoutView="0" workbookViewId="0" topLeftCell="A8">
      <selection activeCell="K32" sqref="K32"/>
    </sheetView>
  </sheetViews>
  <sheetFormatPr defaultColWidth="10.6640625" defaultRowHeight="22.5" customHeight="1"/>
  <cols>
    <col min="1" max="1" width="4.3359375" style="553" bestFit="1" customWidth="1"/>
    <col min="2" max="2" width="3.3359375" style="553" customWidth="1"/>
    <col min="3" max="3" width="13.5546875" style="553" customWidth="1"/>
    <col min="4" max="4" width="42.4453125" style="553" customWidth="1"/>
    <col min="5" max="6" width="15.6640625" style="555" customWidth="1"/>
    <col min="7" max="7" width="30.99609375" style="555" customWidth="1"/>
    <col min="8" max="8" width="15.5546875" style="555" customWidth="1"/>
    <col min="9" max="9" width="16.6640625" style="555" customWidth="1"/>
    <col min="10" max="10" width="30.5546875" style="555" customWidth="1"/>
    <col min="11" max="12" width="15.6640625" style="555" customWidth="1"/>
    <col min="13" max="13" width="27.3359375" style="555" customWidth="1"/>
    <col min="14" max="14" width="3.3359375" style="553" customWidth="1"/>
    <col min="15" max="16384" width="10.6640625" style="553" customWidth="1"/>
  </cols>
  <sheetData>
    <row r="2" ht="22.5" customHeight="1">
      <c r="D2" s="554" t="s">
        <v>753</v>
      </c>
    </row>
    <row r="3" ht="22.5" customHeight="1">
      <c r="D3" s="554" t="s">
        <v>754</v>
      </c>
    </row>
    <row r="4" ht="22.5" customHeight="1" thickBot="1">
      <c r="A4" s="553" t="s">
        <v>153</v>
      </c>
    </row>
    <row r="5" spans="2:29" ht="9" customHeight="1">
      <c r="B5" s="556"/>
      <c r="C5" s="557"/>
      <c r="D5" s="557"/>
      <c r="E5" s="558"/>
      <c r="F5" s="558"/>
      <c r="G5" s="558"/>
      <c r="H5" s="558"/>
      <c r="I5" s="558"/>
      <c r="J5" s="558"/>
      <c r="K5" s="558"/>
      <c r="L5" s="558"/>
      <c r="M5" s="558"/>
      <c r="N5" s="559"/>
      <c r="P5" s="362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4"/>
    </row>
    <row r="6" spans="2:29" ht="30" customHeight="1">
      <c r="B6" s="560"/>
      <c r="C6" s="561" t="s">
        <v>379</v>
      </c>
      <c r="D6" s="562"/>
      <c r="E6" s="563"/>
      <c r="F6" s="563"/>
      <c r="G6" s="563"/>
      <c r="H6" s="563"/>
      <c r="I6" s="563"/>
      <c r="J6" s="563"/>
      <c r="K6" s="563"/>
      <c r="L6" s="563"/>
      <c r="M6" s="1232">
        <f>ejercicio</f>
        <v>2019</v>
      </c>
      <c r="N6" s="564"/>
      <c r="P6" s="365"/>
      <c r="Q6" s="366" t="s">
        <v>1067</v>
      </c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8"/>
    </row>
    <row r="7" spans="2:29" ht="30" customHeight="1">
      <c r="B7" s="560"/>
      <c r="C7" s="561" t="s">
        <v>380</v>
      </c>
      <c r="D7" s="562"/>
      <c r="E7" s="563"/>
      <c r="F7" s="563"/>
      <c r="G7" s="563"/>
      <c r="H7" s="563"/>
      <c r="I7" s="563"/>
      <c r="J7" s="563"/>
      <c r="K7" s="563"/>
      <c r="L7" s="563"/>
      <c r="M7" s="1232"/>
      <c r="N7" s="565"/>
      <c r="P7" s="365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8"/>
    </row>
    <row r="8" spans="2:29" ht="30" customHeight="1">
      <c r="B8" s="560"/>
      <c r="C8" s="566"/>
      <c r="D8" s="562"/>
      <c r="E8" s="563"/>
      <c r="F8" s="563"/>
      <c r="G8" s="563"/>
      <c r="H8" s="563"/>
      <c r="I8" s="563"/>
      <c r="J8" s="563"/>
      <c r="K8" s="563"/>
      <c r="L8" s="563"/>
      <c r="M8" s="563"/>
      <c r="N8" s="565"/>
      <c r="P8" s="365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8"/>
    </row>
    <row r="9" spans="2:29" s="569" customFormat="1" ht="30" customHeight="1">
      <c r="B9" s="567"/>
      <c r="C9" s="568" t="s">
        <v>381</v>
      </c>
      <c r="D9" s="1234" t="str">
        <f>Entidad</f>
        <v>INSTITUTO TECNOLOGICO Y DE ENERGIAS RENOVABLES S.A.</v>
      </c>
      <c r="E9" s="1234"/>
      <c r="F9" s="1234"/>
      <c r="G9" s="1234"/>
      <c r="H9" s="1234"/>
      <c r="I9" s="1234"/>
      <c r="J9" s="1234"/>
      <c r="K9" s="1234"/>
      <c r="L9" s="1234"/>
      <c r="M9" s="1234"/>
      <c r="N9" s="565"/>
      <c r="P9" s="369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0"/>
      <c r="AC9" s="371"/>
    </row>
    <row r="10" spans="2:29" ht="6.75" customHeight="1">
      <c r="B10" s="560"/>
      <c r="C10" s="562"/>
      <c r="D10" s="562"/>
      <c r="E10" s="563"/>
      <c r="F10" s="563"/>
      <c r="G10" s="563"/>
      <c r="H10" s="563"/>
      <c r="I10" s="563"/>
      <c r="J10" s="563"/>
      <c r="K10" s="563"/>
      <c r="L10" s="563"/>
      <c r="M10" s="563"/>
      <c r="N10" s="565"/>
      <c r="P10" s="365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8"/>
    </row>
    <row r="11" spans="2:29" s="573" customFormat="1" ht="30" customHeight="1">
      <c r="B11" s="570"/>
      <c r="C11" s="571" t="s">
        <v>1019</v>
      </c>
      <c r="D11" s="571"/>
      <c r="E11" s="572"/>
      <c r="F11" s="572"/>
      <c r="G11" s="572"/>
      <c r="H11" s="572"/>
      <c r="I11" s="572"/>
      <c r="J11" s="572"/>
      <c r="K11" s="572"/>
      <c r="L11" s="572"/>
      <c r="M11" s="572"/>
      <c r="N11" s="565"/>
      <c r="P11" s="372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4"/>
    </row>
    <row r="12" spans="2:29" s="573" customFormat="1" ht="30" customHeight="1">
      <c r="B12" s="570"/>
      <c r="C12" s="1241"/>
      <c r="D12" s="1241"/>
      <c r="E12" s="574"/>
      <c r="F12" s="574"/>
      <c r="G12" s="574"/>
      <c r="H12" s="574"/>
      <c r="I12" s="574"/>
      <c r="J12" s="574"/>
      <c r="K12" s="574"/>
      <c r="L12" s="574"/>
      <c r="M12" s="574"/>
      <c r="N12" s="565"/>
      <c r="P12" s="372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4"/>
    </row>
    <row r="13" spans="2:29" s="573" customFormat="1" ht="30" customHeight="1">
      <c r="B13" s="570"/>
      <c r="D13" s="575"/>
      <c r="E13" s="574"/>
      <c r="F13" s="574"/>
      <c r="G13" s="574"/>
      <c r="H13" s="574"/>
      <c r="I13" s="574"/>
      <c r="J13" s="574"/>
      <c r="K13" s="574"/>
      <c r="L13" s="574"/>
      <c r="M13" s="574"/>
      <c r="N13" s="565"/>
      <c r="P13" s="365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8"/>
    </row>
    <row r="14" spans="2:29" s="583" customFormat="1" ht="22.5" customHeight="1">
      <c r="B14" s="576"/>
      <c r="C14" s="577"/>
      <c r="D14" s="578"/>
      <c r="E14" s="579"/>
      <c r="F14" s="580" t="s">
        <v>557</v>
      </c>
      <c r="G14" s="581">
        <f>ejercicio-2</f>
        <v>2017</v>
      </c>
      <c r="H14" s="579"/>
      <c r="I14" s="582" t="s">
        <v>558</v>
      </c>
      <c r="J14" s="581">
        <f>ejercicio-1</f>
        <v>2018</v>
      </c>
      <c r="K14" s="579"/>
      <c r="L14" s="580" t="s">
        <v>559</v>
      </c>
      <c r="M14" s="581">
        <f>ejercicio</f>
        <v>2019</v>
      </c>
      <c r="N14" s="565"/>
      <c r="P14" s="365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8"/>
    </row>
    <row r="15" spans="2:29" s="588" customFormat="1" ht="22.5" customHeight="1">
      <c r="B15" s="584"/>
      <c r="C15" s="585" t="s">
        <v>1036</v>
      </c>
      <c r="D15" s="586"/>
      <c r="E15" s="587" t="s">
        <v>1020</v>
      </c>
      <c r="F15" s="587" t="s">
        <v>1021</v>
      </c>
      <c r="G15" s="587" t="s">
        <v>954</v>
      </c>
      <c r="H15" s="587" t="s">
        <v>1020</v>
      </c>
      <c r="I15" s="587" t="s">
        <v>1021</v>
      </c>
      <c r="J15" s="587" t="s">
        <v>954</v>
      </c>
      <c r="K15" s="587" t="s">
        <v>1020</v>
      </c>
      <c r="L15" s="587" t="s">
        <v>1021</v>
      </c>
      <c r="M15" s="587" t="s">
        <v>954</v>
      </c>
      <c r="N15" s="565"/>
      <c r="P15" s="365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8"/>
    </row>
    <row r="16" spans="2:29" s="595" customFormat="1" ht="22.5" customHeight="1">
      <c r="B16" s="589"/>
      <c r="C16" s="590" t="s">
        <v>1022</v>
      </c>
      <c r="D16" s="591"/>
      <c r="E16" s="592">
        <f>SUM(E17:E18)</f>
        <v>898672.7383177569</v>
      </c>
      <c r="F16" s="592">
        <f>SUM(F17:F18)</f>
        <v>62907.09168224299</v>
      </c>
      <c r="G16" s="593"/>
      <c r="H16" s="592">
        <f>SUM(H17:H18)</f>
        <v>879908.985</v>
      </c>
      <c r="I16" s="592">
        <f>SUM(I17:I18)</f>
        <v>61593.628950000006</v>
      </c>
      <c r="J16" s="593"/>
      <c r="K16" s="592">
        <f>SUM(K17:K18)</f>
        <v>879908.96</v>
      </c>
      <c r="L16" s="592">
        <f>SUM(L17:L18)</f>
        <v>61593.6272</v>
      </c>
      <c r="M16" s="594"/>
      <c r="N16" s="565"/>
      <c r="P16" s="365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8"/>
    </row>
    <row r="17" spans="2:29" s="595" customFormat="1" ht="19.5" customHeight="1">
      <c r="B17" s="589"/>
      <c r="C17" s="727"/>
      <c r="D17" s="728" t="s">
        <v>1023</v>
      </c>
      <c r="E17" s="420"/>
      <c r="F17" s="420"/>
      <c r="G17" s="729"/>
      <c r="H17" s="420"/>
      <c r="I17" s="420"/>
      <c r="J17" s="729"/>
      <c r="K17" s="895"/>
      <c r="L17" s="420"/>
      <c r="M17" s="730"/>
      <c r="N17" s="630"/>
      <c r="P17" s="375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6"/>
      <c r="AC17" s="377"/>
    </row>
    <row r="18" spans="2:29" s="595" customFormat="1" ht="19.5" customHeight="1">
      <c r="B18" s="589"/>
      <c r="C18" s="731"/>
      <c r="D18" s="732" t="s">
        <v>1024</v>
      </c>
      <c r="E18" s="428">
        <f>961579.83/1.07</f>
        <v>898672.7383177569</v>
      </c>
      <c r="F18" s="428">
        <f>+E18*0.07</f>
        <v>62907.09168224299</v>
      </c>
      <c r="G18" s="733"/>
      <c r="H18" s="428">
        <f>219902.49+660006.495</f>
        <v>879908.985</v>
      </c>
      <c r="I18" s="428">
        <f>H18*0.07</f>
        <v>61593.628950000006</v>
      </c>
      <c r="J18" s="733"/>
      <c r="K18" s="428">
        <v>879908.96</v>
      </c>
      <c r="L18" s="428">
        <f>K18*0.07</f>
        <v>61593.6272</v>
      </c>
      <c r="M18" s="734"/>
      <c r="N18" s="630"/>
      <c r="P18" s="375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377"/>
    </row>
    <row r="19" spans="2:29" s="595" customFormat="1" ht="22.5" customHeight="1">
      <c r="B19" s="589"/>
      <c r="C19" s="590" t="s">
        <v>1025</v>
      </c>
      <c r="D19" s="591"/>
      <c r="E19" s="592">
        <f>+E20+E25</f>
        <v>1611485.9588785043</v>
      </c>
      <c r="F19" s="592">
        <f>+F20+F25</f>
        <v>112425.46552149532</v>
      </c>
      <c r="G19" s="593"/>
      <c r="H19" s="592">
        <f>+H20+H25</f>
        <v>1629599.3184</v>
      </c>
      <c r="I19" s="592">
        <f>+I20+I25</f>
        <v>113689.157988</v>
      </c>
      <c r="J19" s="593"/>
      <c r="K19" s="592">
        <f>+K20+K25</f>
        <v>1694895.5758878505</v>
      </c>
      <c r="L19" s="592">
        <f>+L20+L25</f>
        <v>118259.89601214952</v>
      </c>
      <c r="M19" s="594"/>
      <c r="N19" s="565"/>
      <c r="P19" s="365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8"/>
    </row>
    <row r="20" spans="2:29" s="595" customFormat="1" ht="19.5" customHeight="1">
      <c r="B20" s="589"/>
      <c r="C20" s="727"/>
      <c r="D20" s="728" t="s">
        <v>1154</v>
      </c>
      <c r="E20" s="735">
        <f>SUM(E21:E24)</f>
        <v>5407.88</v>
      </c>
      <c r="F20" s="735">
        <f>SUM(F21:F24)</f>
        <v>0</v>
      </c>
      <c r="G20" s="736"/>
      <c r="H20" s="735">
        <f>SUM(H21:H24)</f>
        <v>5468.49</v>
      </c>
      <c r="I20" s="735">
        <f>SUM(I21:I24)</f>
        <v>0</v>
      </c>
      <c r="J20" s="736"/>
      <c r="K20" s="735">
        <f>SUM(K21:K24)</f>
        <v>5468.49</v>
      </c>
      <c r="L20" s="735">
        <f>SUM(L21:L24)</f>
        <v>0</v>
      </c>
      <c r="M20" s="737"/>
      <c r="N20" s="630"/>
      <c r="P20" s="375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7"/>
    </row>
    <row r="21" spans="2:29" s="598" customFormat="1" ht="19.5" customHeight="1">
      <c r="B21" s="567"/>
      <c r="C21" s="1189" t="s">
        <v>907</v>
      </c>
      <c r="D21" s="500"/>
      <c r="E21" s="453">
        <v>5407.88</v>
      </c>
      <c r="F21" s="453">
        <v>0</v>
      </c>
      <c r="G21" s="490"/>
      <c r="H21" s="453">
        <v>5468.49</v>
      </c>
      <c r="I21" s="453">
        <v>0</v>
      </c>
      <c r="J21" s="490"/>
      <c r="K21" s="453">
        <v>5468.49</v>
      </c>
      <c r="L21" s="453">
        <v>0</v>
      </c>
      <c r="M21" s="460"/>
      <c r="N21" s="565"/>
      <c r="P21" s="365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8"/>
    </row>
    <row r="22" spans="2:29" s="598" customFormat="1" ht="19.5" customHeight="1">
      <c r="B22" s="567"/>
      <c r="C22" s="499"/>
      <c r="D22" s="500"/>
      <c r="E22" s="453"/>
      <c r="F22" s="453"/>
      <c r="G22" s="490"/>
      <c r="H22" s="453"/>
      <c r="I22" s="453"/>
      <c r="J22" s="490"/>
      <c r="K22" s="453"/>
      <c r="L22" s="453"/>
      <c r="M22" s="460"/>
      <c r="N22" s="565"/>
      <c r="P22" s="365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8"/>
    </row>
    <row r="23" spans="2:29" s="598" customFormat="1" ht="19.5" customHeight="1">
      <c r="B23" s="567"/>
      <c r="C23" s="499"/>
      <c r="D23" s="500"/>
      <c r="E23" s="453"/>
      <c r="F23" s="453"/>
      <c r="G23" s="490"/>
      <c r="H23" s="453"/>
      <c r="I23" s="453"/>
      <c r="J23" s="490"/>
      <c r="K23" s="453"/>
      <c r="L23" s="453"/>
      <c r="M23" s="460"/>
      <c r="N23" s="565"/>
      <c r="P23" s="365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8"/>
    </row>
    <row r="24" spans="2:29" s="598" customFormat="1" ht="19.5" customHeight="1">
      <c r="B24" s="567"/>
      <c r="C24" s="499"/>
      <c r="D24" s="500"/>
      <c r="E24" s="453"/>
      <c r="F24" s="453"/>
      <c r="G24" s="490"/>
      <c r="H24" s="453"/>
      <c r="I24" s="453"/>
      <c r="J24" s="490"/>
      <c r="K24" s="453"/>
      <c r="L24" s="453"/>
      <c r="M24" s="460"/>
      <c r="N24" s="565"/>
      <c r="P24" s="365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8"/>
    </row>
    <row r="25" spans="2:29" s="595" customFormat="1" ht="19.5" customHeight="1">
      <c r="B25" s="589"/>
      <c r="C25" s="738"/>
      <c r="D25" s="739" t="s">
        <v>1155</v>
      </c>
      <c r="E25" s="740">
        <f>SUM(E26:E36)</f>
        <v>1606078.0788785045</v>
      </c>
      <c r="F25" s="740">
        <f>SUM(F26:F36)</f>
        <v>112425.46552149532</v>
      </c>
      <c r="G25" s="741"/>
      <c r="H25" s="740">
        <f>SUM(H26:H36)</f>
        <v>1624130.8284</v>
      </c>
      <c r="I25" s="740">
        <f>SUM(I26:I36)</f>
        <v>113689.157988</v>
      </c>
      <c r="J25" s="741"/>
      <c r="K25" s="740">
        <f>SUM(K26:K36)</f>
        <v>1689427.0858878505</v>
      </c>
      <c r="L25" s="740">
        <f>SUM(L26:L36)</f>
        <v>118259.89601214952</v>
      </c>
      <c r="M25" s="742"/>
      <c r="N25" s="630"/>
      <c r="P25" s="375"/>
      <c r="Q25" s="376"/>
      <c r="R25" s="376"/>
      <c r="S25" s="376"/>
      <c r="T25" s="376"/>
      <c r="U25" s="376"/>
      <c r="V25" s="376"/>
      <c r="W25" s="376"/>
      <c r="X25" s="376"/>
      <c r="Y25" s="376"/>
      <c r="Z25" s="376"/>
      <c r="AA25" s="376"/>
      <c r="AB25" s="376"/>
      <c r="AC25" s="377"/>
    </row>
    <row r="26" spans="2:29" s="598" customFormat="1" ht="19.5" customHeight="1">
      <c r="B26" s="567"/>
      <c r="C26" s="1190" t="s">
        <v>920</v>
      </c>
      <c r="D26" s="500"/>
      <c r="E26" s="453">
        <f>16406.29/1.07</f>
        <v>15332.981308411216</v>
      </c>
      <c r="F26" s="453">
        <f>E26*0.07</f>
        <v>1073.3086915887852</v>
      </c>
      <c r="G26" s="490"/>
      <c r="H26" s="453">
        <v>15821.9688</v>
      </c>
      <c r="I26" s="453">
        <f aca="true" t="shared" si="0" ref="I26:I34">H26*0.07</f>
        <v>1107.5378160000002</v>
      </c>
      <c r="J26" s="490"/>
      <c r="K26" s="453">
        <v>14833.1</v>
      </c>
      <c r="L26" s="453">
        <f>K26*0.07</f>
        <v>1038.3170000000002</v>
      </c>
      <c r="M26" s="460"/>
      <c r="N26" s="565"/>
      <c r="P26" s="365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8"/>
    </row>
    <row r="27" spans="2:29" s="598" customFormat="1" ht="19.5" customHeight="1">
      <c r="B27" s="567"/>
      <c r="C27" s="1190" t="s">
        <v>924</v>
      </c>
      <c r="D27" s="500"/>
      <c r="E27" s="453">
        <v>1956.92</v>
      </c>
      <c r="F27" s="453">
        <f>E27*0.07</f>
        <v>136.98440000000002</v>
      </c>
      <c r="G27" s="490"/>
      <c r="H27" s="453">
        <v>29360.1869</v>
      </c>
      <c r="I27" s="453">
        <f t="shared" si="0"/>
        <v>2055.213083</v>
      </c>
      <c r="J27" s="490"/>
      <c r="K27" s="453"/>
      <c r="L27" s="453">
        <f aca="true" t="shared" si="1" ref="L27:L34">K27*0.07</f>
        <v>0</v>
      </c>
      <c r="M27" s="460"/>
      <c r="N27" s="565"/>
      <c r="P27" s="365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8"/>
    </row>
    <row r="28" spans="2:29" s="598" customFormat="1" ht="19.5" customHeight="1">
      <c r="B28" s="567"/>
      <c r="C28" s="1190" t="s">
        <v>226</v>
      </c>
      <c r="D28" s="500"/>
      <c r="E28" s="453">
        <f>1232729.31/1.07</f>
        <v>1152083.4672897195</v>
      </c>
      <c r="F28" s="1194">
        <f>E28*0.07</f>
        <v>80645.84271028037</v>
      </c>
      <c r="G28" s="490"/>
      <c r="H28" s="453">
        <f>128761.32+25000+130000+852548.421</f>
        <v>1136309.741</v>
      </c>
      <c r="I28" s="453">
        <f t="shared" si="0"/>
        <v>79541.68187</v>
      </c>
      <c r="J28" s="490"/>
      <c r="K28" s="453">
        <v>1136731.22</v>
      </c>
      <c r="L28" s="453">
        <v>79571.1854</v>
      </c>
      <c r="M28" s="460"/>
      <c r="N28" s="565"/>
      <c r="P28" s="365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8"/>
    </row>
    <row r="29" spans="2:29" s="598" customFormat="1" ht="19.5" customHeight="1">
      <c r="B29" s="567"/>
      <c r="C29" s="1190" t="s">
        <v>227</v>
      </c>
      <c r="D29" s="500"/>
      <c r="E29" s="453">
        <v>12147</v>
      </c>
      <c r="F29" s="453">
        <f>E29*0.07</f>
        <v>850.2900000000001</v>
      </c>
      <c r="G29" s="490"/>
      <c r="H29" s="453">
        <v>11659.5</v>
      </c>
      <c r="I29" s="453">
        <f t="shared" si="0"/>
        <v>816.1650000000001</v>
      </c>
      <c r="J29" s="490"/>
      <c r="K29" s="453">
        <v>11659.5</v>
      </c>
      <c r="L29" s="453">
        <f t="shared" si="1"/>
        <v>816.1650000000001</v>
      </c>
      <c r="M29" s="460"/>
      <c r="N29" s="565"/>
      <c r="P29" s="365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8"/>
    </row>
    <row r="30" spans="2:29" s="598" customFormat="1" ht="19.5" customHeight="1">
      <c r="B30" s="567"/>
      <c r="C30" s="1190" t="s">
        <v>228</v>
      </c>
      <c r="D30" s="500"/>
      <c r="E30" s="453">
        <f>63184.24/1.07</f>
        <v>59050.69158878504</v>
      </c>
      <c r="F30" s="1194">
        <f>+E30*0.07</f>
        <v>4133.548411214953</v>
      </c>
      <c r="G30" s="490"/>
      <c r="H30" s="453">
        <f>96603+1530</f>
        <v>98133</v>
      </c>
      <c r="I30" s="453">
        <f t="shared" si="0"/>
        <v>6869.31</v>
      </c>
      <c r="J30" s="490"/>
      <c r="K30" s="453">
        <f>96603+18743.5</f>
        <v>115346.5</v>
      </c>
      <c r="L30" s="453">
        <f t="shared" si="1"/>
        <v>8074.255000000001</v>
      </c>
      <c r="M30" s="460"/>
      <c r="N30" s="565"/>
      <c r="P30" s="365"/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8"/>
    </row>
    <row r="31" spans="2:29" s="598" customFormat="1" ht="19.5" customHeight="1">
      <c r="B31" s="567"/>
      <c r="C31" s="1190" t="s">
        <v>934</v>
      </c>
      <c r="D31" s="500"/>
      <c r="E31" s="453">
        <f>(13166.35+14218.51)/1.07</f>
        <v>25593.327102803738</v>
      </c>
      <c r="F31" s="453">
        <f>E31*0.07</f>
        <v>1791.5328971962617</v>
      </c>
      <c r="G31" s="490"/>
      <c r="H31" s="453">
        <f>16566.5+10223.5047</f>
        <v>26790.004699999998</v>
      </c>
      <c r="I31" s="453">
        <f t="shared" si="0"/>
        <v>1875.300329</v>
      </c>
      <c r="J31" s="490"/>
      <c r="K31" s="453">
        <v>12853.5</v>
      </c>
      <c r="L31" s="453">
        <f t="shared" si="1"/>
        <v>899.7450000000001</v>
      </c>
      <c r="M31" s="460"/>
      <c r="N31" s="565"/>
      <c r="P31" s="365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8"/>
    </row>
    <row r="32" spans="2:29" s="598" customFormat="1" ht="19.5" customHeight="1">
      <c r="B32" s="567"/>
      <c r="C32" s="1190" t="s">
        <v>229</v>
      </c>
      <c r="D32" s="500"/>
      <c r="E32" s="453">
        <f>10834.64/1.07</f>
        <v>10125.831775700934</v>
      </c>
      <c r="F32" s="1194">
        <f>+E32*0.07</f>
        <v>708.8082242990654</v>
      </c>
      <c r="G32" s="490"/>
      <c r="H32" s="453">
        <v>10824.12</v>
      </c>
      <c r="I32" s="453">
        <f t="shared" si="0"/>
        <v>757.6884000000001</v>
      </c>
      <c r="J32" s="490"/>
      <c r="K32" s="453">
        <v>10474.975887850467</v>
      </c>
      <c r="L32" s="453">
        <f t="shared" si="1"/>
        <v>733.2483121495328</v>
      </c>
      <c r="M32" s="460"/>
      <c r="N32" s="565"/>
      <c r="P32" s="365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8"/>
    </row>
    <row r="33" spans="2:29" s="598" customFormat="1" ht="19.5" customHeight="1">
      <c r="B33" s="567"/>
      <c r="C33" s="1190" t="s">
        <v>230</v>
      </c>
      <c r="D33" s="500"/>
      <c r="E33" s="453">
        <f>147461.31/1.07</f>
        <v>137814.30841121494</v>
      </c>
      <c r="F33" s="453">
        <f>E33*0.07</f>
        <v>9647.001588785046</v>
      </c>
      <c r="G33" s="490"/>
      <c r="H33" s="453">
        <v>108207.262</v>
      </c>
      <c r="I33" s="453">
        <f t="shared" si="0"/>
        <v>7574.508340000001</v>
      </c>
      <c r="J33" s="490"/>
      <c r="K33" s="453">
        <f>115781.78+82851.22</f>
        <v>198633</v>
      </c>
      <c r="L33" s="453">
        <f t="shared" si="1"/>
        <v>13904.310000000001</v>
      </c>
      <c r="M33" s="460"/>
      <c r="N33" s="565"/>
      <c r="P33" s="365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8"/>
    </row>
    <row r="34" spans="2:29" s="598" customFormat="1" ht="19.5" customHeight="1">
      <c r="B34" s="567"/>
      <c r="C34" s="1190" t="s">
        <v>233</v>
      </c>
      <c r="D34" s="1191"/>
      <c r="E34" s="454">
        <f>205411.7/1.07</f>
        <v>191973.55140186916</v>
      </c>
      <c r="F34" s="454">
        <f>+E34*0.07</f>
        <v>13438.148598130843</v>
      </c>
      <c r="G34" s="1192"/>
      <c r="H34" s="454">
        <f>46756.26+140268.785</f>
        <v>187025.045</v>
      </c>
      <c r="I34" s="454">
        <f t="shared" si="0"/>
        <v>13091.753150000002</v>
      </c>
      <c r="J34" s="1192"/>
      <c r="K34" s="454">
        <f>187025.04+1870.25</f>
        <v>188895.29</v>
      </c>
      <c r="L34" s="453">
        <f t="shared" si="1"/>
        <v>13222.670300000002</v>
      </c>
      <c r="M34" s="1193"/>
      <c r="N34" s="565"/>
      <c r="P34" s="365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8"/>
    </row>
    <row r="35" spans="2:29" s="598" customFormat="1" ht="19.5" customHeight="1">
      <c r="B35" s="567"/>
      <c r="C35" s="1190"/>
      <c r="D35" s="1191"/>
      <c r="E35" s="454"/>
      <c r="F35" s="454"/>
      <c r="G35" s="1192"/>
      <c r="H35" s="454"/>
      <c r="I35" s="454"/>
      <c r="J35" s="1192"/>
      <c r="K35" s="454"/>
      <c r="L35" s="454"/>
      <c r="M35" s="1193"/>
      <c r="N35" s="565"/>
      <c r="P35" s="365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8"/>
    </row>
    <row r="36" spans="2:29" s="598" customFormat="1" ht="19.5" customHeight="1">
      <c r="B36" s="567"/>
      <c r="C36" s="501"/>
      <c r="D36" s="502"/>
      <c r="E36" s="455"/>
      <c r="F36" s="455"/>
      <c r="G36" s="471"/>
      <c r="H36" s="455"/>
      <c r="I36" s="455"/>
      <c r="J36" s="471"/>
      <c r="K36" s="455"/>
      <c r="L36" s="455"/>
      <c r="M36" s="461"/>
      <c r="N36" s="565"/>
      <c r="P36" s="365"/>
      <c r="Q36" s="367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8"/>
    </row>
    <row r="37" spans="2:29" s="595" customFormat="1" ht="22.5" customHeight="1">
      <c r="B37" s="589"/>
      <c r="C37" s="590" t="s">
        <v>1026</v>
      </c>
      <c r="D37" s="591"/>
      <c r="E37" s="592">
        <f>+E38+E47</f>
        <v>6273275.042803738</v>
      </c>
      <c r="F37" s="592">
        <f>+F38+F47</f>
        <v>408454.17419626174</v>
      </c>
      <c r="G37" s="593"/>
      <c r="H37" s="592">
        <f>+H38+H47</f>
        <v>5738312.7966</v>
      </c>
      <c r="I37" s="592">
        <f>+I38+I47</f>
        <v>372261.151362</v>
      </c>
      <c r="J37" s="593"/>
      <c r="K37" s="592">
        <f>+K38+K47</f>
        <v>13862096.374112148</v>
      </c>
      <c r="L37" s="592">
        <f>+L38+L47</f>
        <v>267260.0959072944</v>
      </c>
      <c r="M37" s="594"/>
      <c r="N37" s="565"/>
      <c r="P37" s="375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7"/>
    </row>
    <row r="38" spans="2:29" s="609" customFormat="1" ht="18.75" customHeight="1">
      <c r="B38" s="602"/>
      <c r="C38" s="603" t="s">
        <v>1027</v>
      </c>
      <c r="D38" s="604"/>
      <c r="E38" s="605">
        <f>E39+E43</f>
        <v>38689.588785046726</v>
      </c>
      <c r="F38" s="605">
        <f>F39+F43</f>
        <v>2708.271214953271</v>
      </c>
      <c r="G38" s="606"/>
      <c r="H38" s="605">
        <f>H39+H43</f>
        <v>20146.94077</v>
      </c>
      <c r="I38" s="605">
        <f>I39+I43</f>
        <v>1410.2858539000001</v>
      </c>
      <c r="J38" s="606"/>
      <c r="K38" s="605">
        <f>K39+K43</f>
        <v>20519.380104205607</v>
      </c>
      <c r="L38" s="605">
        <f>L39+L43</f>
        <v>1436.3566072943927</v>
      </c>
      <c r="M38" s="607"/>
      <c r="N38" s="608"/>
      <c r="P38" s="547"/>
      <c r="Q38" s="548"/>
      <c r="R38" s="548"/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9"/>
    </row>
    <row r="39" spans="2:29" s="595" customFormat="1" ht="18.75" customHeight="1">
      <c r="B39" s="589"/>
      <c r="C39" s="727"/>
      <c r="D39" s="728" t="s">
        <v>1156</v>
      </c>
      <c r="E39" s="735">
        <f>SUM(E40:E42)</f>
        <v>0</v>
      </c>
      <c r="F39" s="735">
        <f>SUM(F40:F42)</f>
        <v>0</v>
      </c>
      <c r="G39" s="736"/>
      <c r="H39" s="735">
        <f>SUM(H40:H42)</f>
        <v>0</v>
      </c>
      <c r="I39" s="735">
        <f>SUM(I40:I42)</f>
        <v>0</v>
      </c>
      <c r="J39" s="736"/>
      <c r="K39" s="735">
        <f>SUM(K40:K42)</f>
        <v>0</v>
      </c>
      <c r="L39" s="735">
        <f>SUM(L40:L42)</f>
        <v>0</v>
      </c>
      <c r="M39" s="737"/>
      <c r="N39" s="630"/>
      <c r="P39" s="375"/>
      <c r="Q39" s="376"/>
      <c r="R39" s="376"/>
      <c r="S39" s="376"/>
      <c r="T39" s="376"/>
      <c r="U39" s="376"/>
      <c r="V39" s="376"/>
      <c r="W39" s="376"/>
      <c r="X39" s="376"/>
      <c r="Y39" s="376"/>
      <c r="Z39" s="376"/>
      <c r="AA39" s="376"/>
      <c r="AB39" s="376"/>
      <c r="AC39" s="377"/>
    </row>
    <row r="40" spans="2:29" s="598" customFormat="1" ht="18.75" customHeight="1">
      <c r="B40" s="567"/>
      <c r="C40" s="497"/>
      <c r="D40" s="498"/>
      <c r="E40" s="450"/>
      <c r="F40" s="450"/>
      <c r="G40" s="488"/>
      <c r="H40" s="450"/>
      <c r="I40" s="450"/>
      <c r="J40" s="488"/>
      <c r="K40" s="450"/>
      <c r="L40" s="450"/>
      <c r="M40" s="489"/>
      <c r="N40" s="565"/>
      <c r="P40" s="365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8"/>
    </row>
    <row r="41" spans="2:29" s="598" customFormat="1" ht="18.75" customHeight="1">
      <c r="B41" s="567"/>
      <c r="C41" s="497"/>
      <c r="D41" s="498"/>
      <c r="E41" s="450"/>
      <c r="F41" s="450"/>
      <c r="G41" s="488"/>
      <c r="H41" s="450"/>
      <c r="I41" s="450"/>
      <c r="J41" s="488"/>
      <c r="K41" s="450"/>
      <c r="L41" s="450"/>
      <c r="M41" s="489"/>
      <c r="N41" s="565"/>
      <c r="P41" s="365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8"/>
    </row>
    <row r="42" spans="2:29" s="598" customFormat="1" ht="18.75" customHeight="1">
      <c r="B42" s="567"/>
      <c r="C42" s="497"/>
      <c r="D42" s="498"/>
      <c r="E42" s="450"/>
      <c r="F42" s="450"/>
      <c r="G42" s="488"/>
      <c r="H42" s="450"/>
      <c r="I42" s="450"/>
      <c r="J42" s="488"/>
      <c r="K42" s="450"/>
      <c r="L42" s="450"/>
      <c r="M42" s="489"/>
      <c r="N42" s="565"/>
      <c r="P42" s="365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8"/>
    </row>
    <row r="43" spans="2:29" s="595" customFormat="1" ht="18.75" customHeight="1">
      <c r="B43" s="589"/>
      <c r="C43" s="727"/>
      <c r="D43" s="728" t="s">
        <v>1157</v>
      </c>
      <c r="E43" s="735">
        <f>SUM(E44:E46)</f>
        <v>38689.588785046726</v>
      </c>
      <c r="F43" s="735">
        <f>SUM(F44:F46)</f>
        <v>2708.271214953271</v>
      </c>
      <c r="G43" s="736"/>
      <c r="H43" s="735">
        <f>SUM(H44:H46)</f>
        <v>20146.94077</v>
      </c>
      <c r="I43" s="735">
        <f>SUM(I44:I46)</f>
        <v>1410.2858539000001</v>
      </c>
      <c r="J43" s="736"/>
      <c r="K43" s="735">
        <f>SUM(K44:K46)</f>
        <v>20519.380104205607</v>
      </c>
      <c r="L43" s="735">
        <f>SUM(L44:L46)</f>
        <v>1436.3566072943927</v>
      </c>
      <c r="M43" s="737"/>
      <c r="N43" s="630"/>
      <c r="P43" s="743"/>
      <c r="Q43" s="744"/>
      <c r="R43" s="744"/>
      <c r="S43" s="744"/>
      <c r="T43" s="744"/>
      <c r="U43" s="744"/>
      <c r="V43" s="744"/>
      <c r="W43" s="744"/>
      <c r="X43" s="744"/>
      <c r="Y43" s="744"/>
      <c r="Z43" s="744"/>
      <c r="AA43" s="744"/>
      <c r="AB43" s="744"/>
      <c r="AC43" s="745"/>
    </row>
    <row r="44" spans="2:29" s="598" customFormat="1" ht="18.75" customHeight="1">
      <c r="B44" s="567"/>
      <c r="C44" s="924" t="s">
        <v>231</v>
      </c>
      <c r="D44" s="498"/>
      <c r="E44" s="450">
        <f>29395.69/1.07</f>
        <v>27472.607476635512</v>
      </c>
      <c r="F44" s="450">
        <f>+E44*0.07</f>
        <v>1923.082523364486</v>
      </c>
      <c r="G44" s="488"/>
      <c r="H44" s="450">
        <v>9347.40187</v>
      </c>
      <c r="I44" s="450">
        <f>H44*0.07</f>
        <v>654.3181309</v>
      </c>
      <c r="J44" s="488"/>
      <c r="K44" s="450">
        <v>9511.12</v>
      </c>
      <c r="L44" s="450">
        <f>K44*0.07</f>
        <v>665.7784000000001</v>
      </c>
      <c r="M44" s="489"/>
      <c r="N44" s="565"/>
      <c r="P44" s="378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380"/>
    </row>
    <row r="45" spans="2:29" s="598" customFormat="1" ht="18.75" customHeight="1">
      <c r="B45" s="567"/>
      <c r="C45" s="924" t="s">
        <v>232</v>
      </c>
      <c r="D45" s="498"/>
      <c r="E45" s="450">
        <f>12002.17/1.07</f>
        <v>11216.981308411214</v>
      </c>
      <c r="F45" s="450">
        <f>+E45*0.07</f>
        <v>785.188691588785</v>
      </c>
      <c r="G45" s="488"/>
      <c r="H45" s="450">
        <v>10799.5389</v>
      </c>
      <c r="I45" s="450">
        <f>H45*0.07</f>
        <v>755.9677230000001</v>
      </c>
      <c r="J45" s="488"/>
      <c r="K45" s="1200">
        <v>11008.260104205607</v>
      </c>
      <c r="L45" s="450">
        <f>K45*0.07</f>
        <v>770.5782072943925</v>
      </c>
      <c r="M45" s="489"/>
      <c r="N45" s="565"/>
      <c r="P45" s="378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</row>
    <row r="46" spans="2:29" s="598" customFormat="1" ht="18.75" customHeight="1">
      <c r="B46" s="567"/>
      <c r="C46" s="497"/>
      <c r="D46" s="498"/>
      <c r="E46" s="450"/>
      <c r="F46" s="450"/>
      <c r="G46" s="488"/>
      <c r="H46" s="450"/>
      <c r="I46" s="450"/>
      <c r="J46" s="488"/>
      <c r="K46" s="450"/>
      <c r="L46" s="450"/>
      <c r="M46" s="489"/>
      <c r="N46" s="565"/>
      <c r="P46" s="378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80"/>
    </row>
    <row r="47" spans="2:29" s="609" customFormat="1" ht="18.75" customHeight="1">
      <c r="B47" s="602"/>
      <c r="C47" s="603" t="s">
        <v>1028</v>
      </c>
      <c r="D47" s="604"/>
      <c r="E47" s="605">
        <f>+E48+E49</f>
        <v>6234585.454018692</v>
      </c>
      <c r="F47" s="605">
        <f>+F48+F49</f>
        <v>405745.90298130846</v>
      </c>
      <c r="G47" s="606"/>
      <c r="H47" s="605">
        <f>+H48+H49</f>
        <v>5718165.85583</v>
      </c>
      <c r="I47" s="605">
        <f>+I48+I49</f>
        <v>370850.86550809996</v>
      </c>
      <c r="J47" s="606"/>
      <c r="K47" s="605">
        <f>+K48+K49</f>
        <v>13841576.994007941</v>
      </c>
      <c r="L47" s="605">
        <f>+L48+L49</f>
        <v>265823.7393</v>
      </c>
      <c r="M47" s="607"/>
      <c r="N47" s="608"/>
      <c r="P47" s="550"/>
      <c r="Q47" s="551"/>
      <c r="R47" s="551"/>
      <c r="S47" s="551"/>
      <c r="T47" s="551"/>
      <c r="U47" s="551"/>
      <c r="V47" s="551"/>
      <c r="W47" s="551"/>
      <c r="X47" s="551"/>
      <c r="Y47" s="551"/>
      <c r="Z47" s="551"/>
      <c r="AA47" s="551"/>
      <c r="AB47" s="551"/>
      <c r="AC47" s="552"/>
    </row>
    <row r="48" spans="2:29" s="595" customFormat="1" ht="18.75" customHeight="1">
      <c r="B48" s="589"/>
      <c r="C48" s="727"/>
      <c r="D48" s="728" t="s">
        <v>1029</v>
      </c>
      <c r="E48" s="420">
        <v>766876.97</v>
      </c>
      <c r="F48" s="420">
        <f>E48*0.03</f>
        <v>23006.3091</v>
      </c>
      <c r="G48" s="729"/>
      <c r="H48" s="420">
        <v>735518.61</v>
      </c>
      <c r="I48" s="420">
        <f>H48*0.03</f>
        <v>22065.558299999997</v>
      </c>
      <c r="J48" s="729"/>
      <c r="K48" s="420">
        <f>8866259.8-5468.49</f>
        <v>8860791.31</v>
      </c>
      <c r="L48" s="420">
        <f>K48*0.03</f>
        <v>265823.7393</v>
      </c>
      <c r="M48" s="730"/>
      <c r="N48" s="630"/>
      <c r="P48" s="743"/>
      <c r="Q48" s="744"/>
      <c r="R48" s="744"/>
      <c r="S48" s="744"/>
      <c r="T48" s="744"/>
      <c r="U48" s="744"/>
      <c r="V48" s="744"/>
      <c r="W48" s="744"/>
      <c r="X48" s="744"/>
      <c r="Y48" s="744"/>
      <c r="Z48" s="744"/>
      <c r="AA48" s="744"/>
      <c r="AB48" s="744"/>
      <c r="AC48" s="745"/>
    </row>
    <row r="49" spans="2:29" s="595" customFormat="1" ht="18.75" customHeight="1">
      <c r="B49" s="589"/>
      <c r="C49" s="746"/>
      <c r="D49" s="747" t="s">
        <v>1030</v>
      </c>
      <c r="E49" s="748">
        <v>5467708.484018692</v>
      </c>
      <c r="F49" s="748">
        <f>E49*0.07</f>
        <v>382739.59388130845</v>
      </c>
      <c r="G49" s="749"/>
      <c r="H49" s="748">
        <v>4982647.245829999</v>
      </c>
      <c r="I49" s="748">
        <f>H49*0.07</f>
        <v>348785.3072081</v>
      </c>
      <c r="J49" s="749"/>
      <c r="K49" s="748">
        <f>5277045.37400794-206731.22-1870.25-82851.22-18743.5+13936.5</f>
        <v>4980785.684007941</v>
      </c>
      <c r="L49" s="748"/>
      <c r="M49" s="750"/>
      <c r="N49" s="630"/>
      <c r="P49" s="743"/>
      <c r="Q49" s="744"/>
      <c r="R49" s="744"/>
      <c r="S49" s="744"/>
      <c r="T49" s="744"/>
      <c r="U49" s="744"/>
      <c r="V49" s="744"/>
      <c r="W49" s="744"/>
      <c r="X49" s="744"/>
      <c r="Y49" s="744"/>
      <c r="Z49" s="744"/>
      <c r="AA49" s="744"/>
      <c r="AB49" s="744"/>
      <c r="AC49" s="745"/>
    </row>
    <row r="50" spans="2:29" s="595" customFormat="1" ht="22.5" customHeight="1" thickBot="1">
      <c r="B50" s="589"/>
      <c r="C50" s="610" t="s">
        <v>1031</v>
      </c>
      <c r="D50" s="611"/>
      <c r="E50" s="612">
        <f>E16+E19+E37</f>
        <v>8783433.739999998</v>
      </c>
      <c r="F50" s="612">
        <f>F16+F19+F37</f>
        <v>583786.7314</v>
      </c>
      <c r="G50" s="613"/>
      <c r="H50" s="612">
        <f>H16+H19+H37</f>
        <v>8247821.1</v>
      </c>
      <c r="I50" s="612">
        <f>I16+I19+I37</f>
        <v>547543.9383</v>
      </c>
      <c r="J50" s="613"/>
      <c r="K50" s="612">
        <f>K16+K19+K37</f>
        <v>16436900.909999998</v>
      </c>
      <c r="L50" s="612">
        <f>L16+L19+L37</f>
        <v>447113.61911944393</v>
      </c>
      <c r="M50" s="614"/>
      <c r="N50" s="565"/>
      <c r="P50" s="378"/>
      <c r="Q50" s="379"/>
      <c r="R50" s="379"/>
      <c r="S50" s="379"/>
      <c r="T50" s="379"/>
      <c r="U50" s="379"/>
      <c r="V50" s="379"/>
      <c r="W50" s="379"/>
      <c r="X50" s="379"/>
      <c r="Y50" s="379"/>
      <c r="Z50" s="379"/>
      <c r="AA50" s="379"/>
      <c r="AB50" s="379"/>
      <c r="AC50" s="380"/>
    </row>
    <row r="51" spans="2:29" s="598" customFormat="1" ht="22.5" customHeight="1">
      <c r="B51" s="567"/>
      <c r="C51" s="615"/>
      <c r="D51" s="615"/>
      <c r="E51" s="616"/>
      <c r="F51" s="616"/>
      <c r="G51" s="616"/>
      <c r="H51" s="616"/>
      <c r="I51" s="616"/>
      <c r="J51" s="616"/>
      <c r="K51" s="616"/>
      <c r="L51" s="616"/>
      <c r="M51" s="616"/>
      <c r="N51" s="565"/>
      <c r="P51" s="378"/>
      <c r="Q51" s="379"/>
      <c r="R51" s="379"/>
      <c r="S51" s="379"/>
      <c r="T51" s="379"/>
      <c r="U51" s="379"/>
      <c r="V51" s="379"/>
      <c r="W51" s="379"/>
      <c r="X51" s="379"/>
      <c r="Y51" s="379"/>
      <c r="Z51" s="379"/>
      <c r="AA51" s="379"/>
      <c r="AB51" s="379"/>
      <c r="AC51" s="380"/>
    </row>
    <row r="52" spans="2:29" s="583" customFormat="1" ht="22.5" customHeight="1">
      <c r="B52" s="576"/>
      <c r="C52" s="577"/>
      <c r="D52" s="578"/>
      <c r="E52" s="617" t="s">
        <v>557</v>
      </c>
      <c r="F52" s="617" t="s">
        <v>558</v>
      </c>
      <c r="G52" s="617" t="s">
        <v>559</v>
      </c>
      <c r="H52" s="1242" t="s">
        <v>954</v>
      </c>
      <c r="I52" s="1243"/>
      <c r="J52" s="1243"/>
      <c r="K52" s="1243"/>
      <c r="L52" s="1243"/>
      <c r="M52" s="1244"/>
      <c r="N52" s="565"/>
      <c r="P52" s="378"/>
      <c r="Q52" s="379"/>
      <c r="R52" s="379"/>
      <c r="S52" s="379"/>
      <c r="T52" s="379"/>
      <c r="U52" s="379"/>
      <c r="V52" s="379"/>
      <c r="W52" s="379"/>
      <c r="X52" s="379"/>
      <c r="Y52" s="379"/>
      <c r="Z52" s="379"/>
      <c r="AA52" s="379"/>
      <c r="AB52" s="379"/>
      <c r="AC52" s="380"/>
    </row>
    <row r="53" spans="2:29" s="588" customFormat="1" ht="22.5" customHeight="1">
      <c r="B53" s="584"/>
      <c r="C53" s="585" t="s">
        <v>1032</v>
      </c>
      <c r="D53" s="586"/>
      <c r="E53" s="618">
        <f>ejercicio-2</f>
        <v>2017</v>
      </c>
      <c r="F53" s="618">
        <f>ejercicio-1</f>
        <v>2018</v>
      </c>
      <c r="G53" s="618">
        <f>ejercicio</f>
        <v>2019</v>
      </c>
      <c r="H53" s="1245"/>
      <c r="I53" s="1246"/>
      <c r="J53" s="1246"/>
      <c r="K53" s="1246"/>
      <c r="L53" s="1246"/>
      <c r="M53" s="1247"/>
      <c r="N53" s="565"/>
      <c r="P53" s="378"/>
      <c r="Q53" s="379"/>
      <c r="R53" s="379"/>
      <c r="S53" s="379"/>
      <c r="T53" s="379"/>
      <c r="U53" s="379"/>
      <c r="V53" s="379"/>
      <c r="W53" s="379"/>
      <c r="X53" s="379"/>
      <c r="Y53" s="379"/>
      <c r="Z53" s="379"/>
      <c r="AA53" s="379"/>
      <c r="AB53" s="379"/>
      <c r="AC53" s="380"/>
    </row>
    <row r="54" spans="2:29" s="598" customFormat="1" ht="22.5" customHeight="1" thickBot="1">
      <c r="B54" s="567"/>
      <c r="C54" s="610" t="s">
        <v>25</v>
      </c>
      <c r="D54" s="611"/>
      <c r="E54" s="612">
        <f>SUM(E55:E61)</f>
        <v>0</v>
      </c>
      <c r="F54" s="612">
        <f>SUM(F55:F61)</f>
        <v>0</v>
      </c>
      <c r="G54" s="612">
        <f>SUM(G55:G61)</f>
        <v>0</v>
      </c>
      <c r="H54" s="619"/>
      <c r="I54" s="620"/>
      <c r="J54" s="620"/>
      <c r="K54" s="620"/>
      <c r="L54" s="620"/>
      <c r="M54" s="621"/>
      <c r="N54" s="565"/>
      <c r="P54" s="378"/>
      <c r="Q54" s="379"/>
      <c r="R54" s="379"/>
      <c r="S54" s="379"/>
      <c r="T54" s="379"/>
      <c r="U54" s="379"/>
      <c r="V54" s="379"/>
      <c r="W54" s="379"/>
      <c r="X54" s="379"/>
      <c r="Y54" s="379"/>
      <c r="Z54" s="379"/>
      <c r="AA54" s="379"/>
      <c r="AB54" s="379"/>
      <c r="AC54" s="380"/>
    </row>
    <row r="55" spans="2:29" s="598" customFormat="1" ht="19.5" customHeight="1">
      <c r="B55" s="567"/>
      <c r="C55" s="1166"/>
      <c r="D55" s="641"/>
      <c r="E55" s="642"/>
      <c r="F55" s="642"/>
      <c r="G55" s="642"/>
      <c r="H55" s="643"/>
      <c r="I55" s="644"/>
      <c r="J55" s="644"/>
      <c r="K55" s="644"/>
      <c r="L55" s="644"/>
      <c r="M55" s="645"/>
      <c r="N55" s="565"/>
      <c r="P55" s="378"/>
      <c r="Q55" s="379"/>
      <c r="R55" s="379"/>
      <c r="S55" s="379"/>
      <c r="T55" s="379"/>
      <c r="U55" s="379"/>
      <c r="V55" s="379"/>
      <c r="W55" s="379"/>
      <c r="X55" s="379"/>
      <c r="Y55" s="379"/>
      <c r="Z55" s="379"/>
      <c r="AA55" s="379"/>
      <c r="AB55" s="379"/>
      <c r="AC55" s="380"/>
    </row>
    <row r="56" spans="2:29" s="598" customFormat="1" ht="19.5" customHeight="1">
      <c r="B56" s="567"/>
      <c r="C56" s="499"/>
      <c r="D56" s="500"/>
      <c r="E56" s="520"/>
      <c r="F56" s="520"/>
      <c r="G56" s="520"/>
      <c r="H56" s="478"/>
      <c r="I56" s="646"/>
      <c r="J56" s="646"/>
      <c r="K56" s="646"/>
      <c r="L56" s="646"/>
      <c r="M56" s="438"/>
      <c r="N56" s="565"/>
      <c r="P56" s="378"/>
      <c r="Q56" s="379"/>
      <c r="R56" s="379"/>
      <c r="S56" s="379"/>
      <c r="T56" s="379"/>
      <c r="U56" s="379"/>
      <c r="V56" s="379"/>
      <c r="W56" s="379"/>
      <c r="X56" s="379"/>
      <c r="Y56" s="379"/>
      <c r="Z56" s="379"/>
      <c r="AA56" s="379"/>
      <c r="AB56" s="379"/>
      <c r="AC56" s="380"/>
    </row>
    <row r="57" spans="2:29" s="598" customFormat="1" ht="19.5" customHeight="1">
      <c r="B57" s="567"/>
      <c r="C57" s="499"/>
      <c r="D57" s="500"/>
      <c r="E57" s="520"/>
      <c r="F57" s="520"/>
      <c r="G57" s="520"/>
      <c r="H57" s="478"/>
      <c r="I57" s="646"/>
      <c r="J57" s="646"/>
      <c r="K57" s="646"/>
      <c r="L57" s="646"/>
      <c r="M57" s="438"/>
      <c r="N57" s="565"/>
      <c r="P57" s="378"/>
      <c r="Q57" s="379"/>
      <c r="R57" s="379"/>
      <c r="S57" s="379"/>
      <c r="T57" s="379"/>
      <c r="U57" s="379"/>
      <c r="V57" s="379"/>
      <c r="W57" s="379"/>
      <c r="X57" s="379"/>
      <c r="Y57" s="379"/>
      <c r="Z57" s="379"/>
      <c r="AA57" s="379"/>
      <c r="AB57" s="379"/>
      <c r="AC57" s="380"/>
    </row>
    <row r="58" spans="2:29" s="598" customFormat="1" ht="19.5" customHeight="1">
      <c r="B58" s="567"/>
      <c r="C58" s="499"/>
      <c r="D58" s="500"/>
      <c r="E58" s="520"/>
      <c r="F58" s="520"/>
      <c r="G58" s="520"/>
      <c r="H58" s="478"/>
      <c r="I58" s="646"/>
      <c r="J58" s="646"/>
      <c r="K58" s="646"/>
      <c r="L58" s="646"/>
      <c r="M58" s="438"/>
      <c r="N58" s="565"/>
      <c r="P58" s="378"/>
      <c r="Q58" s="379"/>
      <c r="R58" s="379"/>
      <c r="S58" s="379"/>
      <c r="T58" s="379"/>
      <c r="U58" s="379"/>
      <c r="V58" s="379"/>
      <c r="W58" s="379"/>
      <c r="X58" s="379"/>
      <c r="Y58" s="379"/>
      <c r="Z58" s="379"/>
      <c r="AA58" s="379"/>
      <c r="AB58" s="379"/>
      <c r="AC58" s="380"/>
    </row>
    <row r="59" spans="2:29" s="598" customFormat="1" ht="19.5" customHeight="1">
      <c r="B59" s="567"/>
      <c r="C59" s="499"/>
      <c r="D59" s="500"/>
      <c r="E59" s="520"/>
      <c r="F59" s="520"/>
      <c r="G59" s="520"/>
      <c r="H59" s="478"/>
      <c r="I59" s="646"/>
      <c r="J59" s="646"/>
      <c r="K59" s="646"/>
      <c r="L59" s="646"/>
      <c r="M59" s="438"/>
      <c r="N59" s="565"/>
      <c r="P59" s="378"/>
      <c r="Q59" s="379"/>
      <c r="R59" s="379"/>
      <c r="S59" s="379"/>
      <c r="T59" s="379"/>
      <c r="U59" s="379"/>
      <c r="V59" s="379"/>
      <c r="W59" s="379"/>
      <c r="X59" s="379"/>
      <c r="Y59" s="379"/>
      <c r="Z59" s="379"/>
      <c r="AA59" s="379"/>
      <c r="AB59" s="379"/>
      <c r="AC59" s="380"/>
    </row>
    <row r="60" spans="2:29" s="598" customFormat="1" ht="19.5" customHeight="1">
      <c r="B60" s="567"/>
      <c r="C60" s="499"/>
      <c r="D60" s="500"/>
      <c r="E60" s="520"/>
      <c r="F60" s="520"/>
      <c r="G60" s="520"/>
      <c r="H60" s="478"/>
      <c r="I60" s="646"/>
      <c r="J60" s="646"/>
      <c r="K60" s="646"/>
      <c r="L60" s="646"/>
      <c r="M60" s="438"/>
      <c r="N60" s="565"/>
      <c r="P60" s="378"/>
      <c r="Q60" s="379"/>
      <c r="R60" s="379"/>
      <c r="S60" s="379"/>
      <c r="T60" s="379"/>
      <c r="U60" s="379"/>
      <c r="V60" s="379"/>
      <c r="W60" s="379"/>
      <c r="X60" s="379"/>
      <c r="Y60" s="379"/>
      <c r="Z60" s="379"/>
      <c r="AA60" s="379"/>
      <c r="AB60" s="379"/>
      <c r="AC60" s="380"/>
    </row>
    <row r="61" spans="2:29" s="598" customFormat="1" ht="19.5" customHeight="1">
      <c r="B61" s="567"/>
      <c r="C61" s="501"/>
      <c r="D61" s="502"/>
      <c r="E61" s="521"/>
      <c r="F61" s="521"/>
      <c r="G61" s="521"/>
      <c r="H61" s="476"/>
      <c r="I61" s="470"/>
      <c r="J61" s="470"/>
      <c r="K61" s="470"/>
      <c r="L61" s="470"/>
      <c r="M61" s="477"/>
      <c r="N61" s="565"/>
      <c r="P61" s="378"/>
      <c r="Q61" s="379"/>
      <c r="R61" s="379"/>
      <c r="S61" s="379"/>
      <c r="T61" s="379"/>
      <c r="U61" s="379"/>
      <c r="V61" s="379"/>
      <c r="W61" s="379"/>
      <c r="X61" s="379"/>
      <c r="Y61" s="379"/>
      <c r="Z61" s="379"/>
      <c r="AA61" s="379"/>
      <c r="AB61" s="379"/>
      <c r="AC61" s="380"/>
    </row>
    <row r="62" spans="2:29" s="598" customFormat="1" ht="22.5" customHeight="1" thickBot="1">
      <c r="B62" s="567"/>
      <c r="C62" s="610" t="s">
        <v>26</v>
      </c>
      <c r="D62" s="611"/>
      <c r="E62" s="612">
        <f>SUM(E63:E69)</f>
        <v>0</v>
      </c>
      <c r="F62" s="612">
        <f>SUM(F63:F69)</f>
        <v>-93.03</v>
      </c>
      <c r="G62" s="612">
        <f>SUM(G63:G69)</f>
        <v>0</v>
      </c>
      <c r="H62" s="619"/>
      <c r="I62" s="620"/>
      <c r="J62" s="620"/>
      <c r="K62" s="620"/>
      <c r="L62" s="620"/>
      <c r="M62" s="621"/>
      <c r="N62" s="565"/>
      <c r="P62" s="378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80"/>
    </row>
    <row r="63" spans="2:29" s="598" customFormat="1" ht="19.5" customHeight="1">
      <c r="B63" s="567"/>
      <c r="C63" s="1166" t="s">
        <v>234</v>
      </c>
      <c r="D63" s="641"/>
      <c r="E63" s="642"/>
      <c r="F63" s="642">
        <v>-93.03</v>
      </c>
      <c r="G63" s="642"/>
      <c r="H63" s="643"/>
      <c r="I63" s="644"/>
      <c r="J63" s="644"/>
      <c r="K63" s="644"/>
      <c r="L63" s="644"/>
      <c r="M63" s="645"/>
      <c r="N63" s="565"/>
      <c r="P63" s="378"/>
      <c r="Q63" s="379"/>
      <c r="R63" s="379"/>
      <c r="S63" s="379"/>
      <c r="T63" s="379"/>
      <c r="U63" s="379"/>
      <c r="V63" s="379"/>
      <c r="W63" s="379"/>
      <c r="X63" s="379"/>
      <c r="Y63" s="379"/>
      <c r="Z63" s="379"/>
      <c r="AA63" s="379"/>
      <c r="AB63" s="379"/>
      <c r="AC63" s="380"/>
    </row>
    <row r="64" spans="2:29" s="598" customFormat="1" ht="19.5" customHeight="1">
      <c r="B64" s="567"/>
      <c r="C64" s="499"/>
      <c r="D64" s="500"/>
      <c r="E64" s="520"/>
      <c r="F64" s="520"/>
      <c r="G64" s="520"/>
      <c r="H64" s="478"/>
      <c r="I64" s="646"/>
      <c r="J64" s="646"/>
      <c r="K64" s="646"/>
      <c r="L64" s="646"/>
      <c r="M64" s="438"/>
      <c r="N64" s="565"/>
      <c r="P64" s="378"/>
      <c r="Q64" s="379"/>
      <c r="R64" s="379"/>
      <c r="S64" s="379"/>
      <c r="T64" s="379"/>
      <c r="U64" s="379"/>
      <c r="V64" s="379"/>
      <c r="W64" s="379"/>
      <c r="X64" s="379"/>
      <c r="Y64" s="379"/>
      <c r="Z64" s="379"/>
      <c r="AA64" s="379"/>
      <c r="AB64" s="379"/>
      <c r="AC64" s="380"/>
    </row>
    <row r="65" spans="2:29" s="598" customFormat="1" ht="19.5" customHeight="1">
      <c r="B65" s="567"/>
      <c r="C65" s="499"/>
      <c r="D65" s="500"/>
      <c r="E65" s="520"/>
      <c r="F65" s="520"/>
      <c r="G65" s="520"/>
      <c r="H65" s="478"/>
      <c r="I65" s="646"/>
      <c r="J65" s="646"/>
      <c r="K65" s="646"/>
      <c r="L65" s="646"/>
      <c r="M65" s="438"/>
      <c r="N65" s="565"/>
      <c r="P65" s="378"/>
      <c r="Q65" s="379"/>
      <c r="R65" s="379"/>
      <c r="S65" s="379"/>
      <c r="T65" s="379"/>
      <c r="U65" s="379"/>
      <c r="V65" s="379"/>
      <c r="W65" s="379"/>
      <c r="X65" s="379"/>
      <c r="Y65" s="379"/>
      <c r="Z65" s="379"/>
      <c r="AA65" s="379"/>
      <c r="AB65" s="379"/>
      <c r="AC65" s="380"/>
    </row>
    <row r="66" spans="2:29" s="598" customFormat="1" ht="19.5" customHeight="1">
      <c r="B66" s="567"/>
      <c r="C66" s="499"/>
      <c r="D66" s="500"/>
      <c r="E66" s="520"/>
      <c r="F66" s="520"/>
      <c r="G66" s="520"/>
      <c r="H66" s="478"/>
      <c r="I66" s="646"/>
      <c r="J66" s="646"/>
      <c r="K66" s="646"/>
      <c r="L66" s="646"/>
      <c r="M66" s="438"/>
      <c r="N66" s="565"/>
      <c r="P66" s="378"/>
      <c r="Q66" s="379"/>
      <c r="R66" s="379"/>
      <c r="S66" s="379"/>
      <c r="T66" s="379"/>
      <c r="U66" s="379"/>
      <c r="V66" s="379"/>
      <c r="W66" s="379"/>
      <c r="X66" s="379"/>
      <c r="Y66" s="379"/>
      <c r="Z66" s="379"/>
      <c r="AA66" s="379"/>
      <c r="AB66" s="379"/>
      <c r="AC66" s="380"/>
    </row>
    <row r="67" spans="2:29" s="598" customFormat="1" ht="19.5" customHeight="1">
      <c r="B67" s="567"/>
      <c r="C67" s="499"/>
      <c r="D67" s="500"/>
      <c r="E67" s="520"/>
      <c r="F67" s="520"/>
      <c r="G67" s="520"/>
      <c r="H67" s="478"/>
      <c r="I67" s="646"/>
      <c r="J67" s="646"/>
      <c r="K67" s="646"/>
      <c r="L67" s="646"/>
      <c r="M67" s="438"/>
      <c r="N67" s="565"/>
      <c r="P67" s="378"/>
      <c r="Q67" s="379"/>
      <c r="R67" s="379"/>
      <c r="S67" s="379"/>
      <c r="T67" s="379"/>
      <c r="U67" s="379"/>
      <c r="V67" s="379"/>
      <c r="W67" s="379"/>
      <c r="X67" s="379"/>
      <c r="Y67" s="379"/>
      <c r="Z67" s="379"/>
      <c r="AA67" s="379"/>
      <c r="AB67" s="379"/>
      <c r="AC67" s="380"/>
    </row>
    <row r="68" spans="2:29" s="598" customFormat="1" ht="19.5" customHeight="1">
      <c r="B68" s="567"/>
      <c r="C68" s="499"/>
      <c r="D68" s="500"/>
      <c r="E68" s="520"/>
      <c r="F68" s="520"/>
      <c r="G68" s="520"/>
      <c r="H68" s="478"/>
      <c r="I68" s="646"/>
      <c r="J68" s="646"/>
      <c r="K68" s="646"/>
      <c r="L68" s="646"/>
      <c r="M68" s="438"/>
      <c r="N68" s="565"/>
      <c r="P68" s="378"/>
      <c r="Q68" s="379"/>
      <c r="R68" s="379"/>
      <c r="S68" s="379"/>
      <c r="T68" s="379"/>
      <c r="U68" s="379"/>
      <c r="V68" s="379"/>
      <c r="W68" s="379"/>
      <c r="X68" s="379"/>
      <c r="Y68" s="379"/>
      <c r="Z68" s="379"/>
      <c r="AA68" s="379"/>
      <c r="AB68" s="379"/>
      <c r="AC68" s="380"/>
    </row>
    <row r="69" spans="2:29" s="598" customFormat="1" ht="19.5" customHeight="1">
      <c r="B69" s="567"/>
      <c r="C69" s="501"/>
      <c r="D69" s="502"/>
      <c r="E69" s="521"/>
      <c r="F69" s="521"/>
      <c r="G69" s="521"/>
      <c r="H69" s="476"/>
      <c r="I69" s="470"/>
      <c r="J69" s="470"/>
      <c r="K69" s="470"/>
      <c r="L69" s="470"/>
      <c r="M69" s="477"/>
      <c r="N69" s="565"/>
      <c r="P69" s="378"/>
      <c r="Q69" s="379"/>
      <c r="R69" s="379"/>
      <c r="S69" s="379"/>
      <c r="T69" s="379"/>
      <c r="U69" s="379"/>
      <c r="V69" s="379"/>
      <c r="W69" s="379"/>
      <c r="X69" s="379"/>
      <c r="Y69" s="379"/>
      <c r="Z69" s="379"/>
      <c r="AA69" s="379"/>
      <c r="AB69" s="379"/>
      <c r="AC69" s="380"/>
    </row>
    <row r="70" spans="2:29" s="598" customFormat="1" ht="22.5" customHeight="1">
      <c r="B70" s="567"/>
      <c r="C70" s="615"/>
      <c r="D70" s="615"/>
      <c r="E70" s="616"/>
      <c r="F70" s="616"/>
      <c r="G70" s="616"/>
      <c r="H70" s="616"/>
      <c r="I70" s="616"/>
      <c r="J70" s="616"/>
      <c r="K70" s="616"/>
      <c r="L70" s="616"/>
      <c r="M70" s="616"/>
      <c r="N70" s="565"/>
      <c r="P70" s="378"/>
      <c r="Q70" s="379"/>
      <c r="R70" s="379"/>
      <c r="S70" s="379"/>
      <c r="T70" s="379"/>
      <c r="U70" s="379"/>
      <c r="V70" s="379"/>
      <c r="W70" s="379"/>
      <c r="X70" s="379"/>
      <c r="Y70" s="379"/>
      <c r="Z70" s="379"/>
      <c r="AA70" s="379"/>
      <c r="AB70" s="379"/>
      <c r="AC70" s="380"/>
    </row>
    <row r="71" spans="2:29" s="598" customFormat="1" ht="22.5" customHeight="1">
      <c r="B71" s="567"/>
      <c r="C71" s="577"/>
      <c r="D71" s="578"/>
      <c r="E71" s="617" t="s">
        <v>557</v>
      </c>
      <c r="F71" s="617" t="s">
        <v>558</v>
      </c>
      <c r="G71" s="617" t="s">
        <v>559</v>
      </c>
      <c r="H71" s="1242" t="s">
        <v>954</v>
      </c>
      <c r="I71" s="1243"/>
      <c r="J71" s="1243"/>
      <c r="K71" s="1243"/>
      <c r="L71" s="1243"/>
      <c r="M71" s="1244"/>
      <c r="N71" s="565"/>
      <c r="P71" s="378"/>
      <c r="Q71" s="379"/>
      <c r="R71" s="379"/>
      <c r="S71" s="379"/>
      <c r="T71" s="379"/>
      <c r="U71" s="379"/>
      <c r="V71" s="379"/>
      <c r="W71" s="379"/>
      <c r="X71" s="379"/>
      <c r="Y71" s="379"/>
      <c r="Z71" s="379"/>
      <c r="AA71" s="379"/>
      <c r="AB71" s="379"/>
      <c r="AC71" s="380"/>
    </row>
    <row r="72" spans="2:29" s="598" customFormat="1" ht="22.5" customHeight="1">
      <c r="B72" s="567"/>
      <c r="C72" s="585" t="s">
        <v>1033</v>
      </c>
      <c r="D72" s="586"/>
      <c r="E72" s="618">
        <f>ejercicio-2</f>
        <v>2017</v>
      </c>
      <c r="F72" s="618">
        <f>ejercicio-1</f>
        <v>2018</v>
      </c>
      <c r="G72" s="618">
        <f>ejercicio</f>
        <v>2019</v>
      </c>
      <c r="H72" s="1245"/>
      <c r="I72" s="1246"/>
      <c r="J72" s="1246"/>
      <c r="K72" s="1246"/>
      <c r="L72" s="1246"/>
      <c r="M72" s="1247"/>
      <c r="N72" s="565"/>
      <c r="P72" s="378"/>
      <c r="Q72" s="379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C72" s="380"/>
    </row>
    <row r="73" spans="2:29" s="598" customFormat="1" ht="22.5" customHeight="1">
      <c r="B73" s="567"/>
      <c r="C73" s="596" t="s">
        <v>1034</v>
      </c>
      <c r="D73" s="597"/>
      <c r="E73" s="450"/>
      <c r="F73" s="450"/>
      <c r="G73" s="751"/>
      <c r="H73" s="647"/>
      <c r="I73" s="648"/>
      <c r="J73" s="648"/>
      <c r="K73" s="648"/>
      <c r="L73" s="648"/>
      <c r="M73" s="451"/>
      <c r="N73" s="565"/>
      <c r="P73" s="378"/>
      <c r="Q73" s="379"/>
      <c r="R73" s="379"/>
      <c r="S73" s="379"/>
      <c r="T73" s="379"/>
      <c r="U73" s="379"/>
      <c r="V73" s="379"/>
      <c r="W73" s="379"/>
      <c r="X73" s="379"/>
      <c r="Y73" s="379"/>
      <c r="Z73" s="379"/>
      <c r="AA73" s="379"/>
      <c r="AB73" s="379"/>
      <c r="AC73" s="380"/>
    </row>
    <row r="74" spans="2:29" s="598" customFormat="1" ht="22.5" customHeight="1">
      <c r="B74" s="567"/>
      <c r="C74" s="599" t="s">
        <v>1035</v>
      </c>
      <c r="D74" s="600"/>
      <c r="E74" s="455"/>
      <c r="F74" s="455"/>
      <c r="G74" s="521"/>
      <c r="H74" s="476"/>
      <c r="I74" s="470"/>
      <c r="J74" s="470"/>
      <c r="K74" s="470"/>
      <c r="L74" s="470"/>
      <c r="M74" s="477"/>
      <c r="N74" s="565"/>
      <c r="P74" s="378"/>
      <c r="Q74" s="379"/>
      <c r="R74" s="379"/>
      <c r="S74" s="379"/>
      <c r="T74" s="379"/>
      <c r="U74" s="379"/>
      <c r="V74" s="379"/>
      <c r="W74" s="379"/>
      <c r="X74" s="379"/>
      <c r="Y74" s="379"/>
      <c r="Z74" s="379"/>
      <c r="AA74" s="379"/>
      <c r="AB74" s="379"/>
      <c r="AC74" s="380"/>
    </row>
    <row r="75" spans="2:29" s="598" customFormat="1" ht="22.5" customHeight="1">
      <c r="B75" s="567"/>
      <c r="C75" s="615"/>
      <c r="D75" s="615"/>
      <c r="E75" s="616"/>
      <c r="F75" s="616"/>
      <c r="G75" s="616"/>
      <c r="H75" s="616"/>
      <c r="I75" s="616"/>
      <c r="J75" s="616"/>
      <c r="K75" s="616"/>
      <c r="L75" s="616"/>
      <c r="M75" s="616"/>
      <c r="N75" s="565"/>
      <c r="P75" s="378"/>
      <c r="Q75" s="379"/>
      <c r="R75" s="379"/>
      <c r="S75" s="379"/>
      <c r="T75" s="379"/>
      <c r="U75" s="379"/>
      <c r="V75" s="379"/>
      <c r="W75" s="379"/>
      <c r="X75" s="379"/>
      <c r="Y75" s="379"/>
      <c r="Z75" s="379"/>
      <c r="AA75" s="379"/>
      <c r="AB75" s="379"/>
      <c r="AC75" s="380"/>
    </row>
    <row r="76" spans="2:29" s="598" customFormat="1" ht="22.5" customHeight="1">
      <c r="B76" s="567"/>
      <c r="C76" s="577"/>
      <c r="D76" s="578"/>
      <c r="E76" s="617" t="s">
        <v>557</v>
      </c>
      <c r="F76" s="617" t="s">
        <v>558</v>
      </c>
      <c r="G76" s="617" t="s">
        <v>559</v>
      </c>
      <c r="H76" s="1242" t="s">
        <v>954</v>
      </c>
      <c r="I76" s="1243"/>
      <c r="J76" s="1243"/>
      <c r="K76" s="1243"/>
      <c r="L76" s="1243"/>
      <c r="M76" s="1244"/>
      <c r="N76" s="565"/>
      <c r="P76" s="378"/>
      <c r="Q76" s="379"/>
      <c r="R76" s="379"/>
      <c r="S76" s="379"/>
      <c r="T76" s="379"/>
      <c r="U76" s="379"/>
      <c r="V76" s="379"/>
      <c r="W76" s="379"/>
      <c r="X76" s="379"/>
      <c r="Y76" s="379"/>
      <c r="Z76" s="379"/>
      <c r="AA76" s="379"/>
      <c r="AB76" s="379"/>
      <c r="AC76" s="380"/>
    </row>
    <row r="77" spans="2:29" s="598" customFormat="1" ht="22.5" customHeight="1">
      <c r="B77" s="567"/>
      <c r="C77" s="585" t="s">
        <v>1069</v>
      </c>
      <c r="D77" s="586"/>
      <c r="E77" s="618">
        <f>ejercicio-2</f>
        <v>2017</v>
      </c>
      <c r="F77" s="618">
        <f>ejercicio-1</f>
        <v>2018</v>
      </c>
      <c r="G77" s="618">
        <f>ejercicio</f>
        <v>2019</v>
      </c>
      <c r="H77" s="1245"/>
      <c r="I77" s="1246"/>
      <c r="J77" s="1246"/>
      <c r="K77" s="1246"/>
      <c r="L77" s="1246"/>
      <c r="M77" s="1247"/>
      <c r="N77" s="565"/>
      <c r="P77" s="378"/>
      <c r="Q77" s="379"/>
      <c r="R77" s="379"/>
      <c r="S77" s="379"/>
      <c r="T77" s="379"/>
      <c r="U77" s="379"/>
      <c r="V77" s="379"/>
      <c r="W77" s="379"/>
      <c r="X77" s="379"/>
      <c r="Y77" s="379"/>
      <c r="Z77" s="379"/>
      <c r="AA77" s="379"/>
      <c r="AB77" s="379"/>
      <c r="AC77" s="380"/>
    </row>
    <row r="78" spans="2:29" s="598" customFormat="1" ht="22.5" customHeight="1">
      <c r="B78" s="567"/>
      <c r="C78" s="590" t="s">
        <v>1070</v>
      </c>
      <c r="D78" s="591"/>
      <c r="E78" s="592">
        <f>SUM(E79:E81)</f>
        <v>59332.99</v>
      </c>
      <c r="F78" s="592">
        <f>SUM(F79:F81)</f>
        <v>1136.22</v>
      </c>
      <c r="G78" s="592">
        <f>SUM(G79:G81)</f>
        <v>0</v>
      </c>
      <c r="H78" s="622"/>
      <c r="I78" s="623"/>
      <c r="J78" s="623"/>
      <c r="K78" s="623"/>
      <c r="L78" s="623"/>
      <c r="M78" s="624"/>
      <c r="N78" s="565"/>
      <c r="P78" s="378"/>
      <c r="Q78" s="379"/>
      <c r="R78" s="379"/>
      <c r="S78" s="379"/>
      <c r="T78" s="379"/>
      <c r="U78" s="379"/>
      <c r="V78" s="379"/>
      <c r="W78" s="379"/>
      <c r="X78" s="379"/>
      <c r="Y78" s="379"/>
      <c r="Z78" s="379"/>
      <c r="AA78" s="379"/>
      <c r="AB78" s="379"/>
      <c r="AC78" s="380"/>
    </row>
    <row r="79" spans="2:29" s="598" customFormat="1" ht="22.5" customHeight="1">
      <c r="B79" s="567"/>
      <c r="C79" s="625" t="s">
        <v>1071</v>
      </c>
      <c r="D79" s="626"/>
      <c r="E79" s="452"/>
      <c r="F79" s="452"/>
      <c r="G79" s="452"/>
      <c r="H79" s="474"/>
      <c r="I79" s="469"/>
      <c r="J79" s="469"/>
      <c r="K79" s="469"/>
      <c r="L79" s="469"/>
      <c r="M79" s="475"/>
      <c r="N79" s="565"/>
      <c r="P79" s="378"/>
      <c r="Q79" s="379"/>
      <c r="R79" s="379"/>
      <c r="S79" s="379"/>
      <c r="T79" s="379"/>
      <c r="U79" s="379"/>
      <c r="V79" s="379"/>
      <c r="W79" s="379"/>
      <c r="X79" s="379"/>
      <c r="Y79" s="379"/>
      <c r="Z79" s="379"/>
      <c r="AA79" s="379"/>
      <c r="AB79" s="379"/>
      <c r="AC79" s="380"/>
    </row>
    <row r="80" spans="2:29" s="598" customFormat="1" ht="22.5" customHeight="1">
      <c r="B80" s="567"/>
      <c r="C80" s="627" t="s">
        <v>1072</v>
      </c>
      <c r="D80" s="601"/>
      <c r="E80" s="453"/>
      <c r="F80" s="453"/>
      <c r="G80" s="453"/>
      <c r="H80" s="478"/>
      <c r="I80" s="646"/>
      <c r="J80" s="646"/>
      <c r="K80" s="646"/>
      <c r="L80" s="646"/>
      <c r="M80" s="438"/>
      <c r="N80" s="565"/>
      <c r="P80" s="378"/>
      <c r="Q80" s="379"/>
      <c r="R80" s="379"/>
      <c r="S80" s="379"/>
      <c r="T80" s="379"/>
      <c r="U80" s="379"/>
      <c r="V80" s="379"/>
      <c r="W80" s="379"/>
      <c r="X80" s="379"/>
      <c r="Y80" s="379"/>
      <c r="Z80" s="379"/>
      <c r="AA80" s="379"/>
      <c r="AB80" s="379"/>
      <c r="AC80" s="380"/>
    </row>
    <row r="81" spans="2:29" s="598" customFormat="1" ht="22.5" customHeight="1">
      <c r="B81" s="567"/>
      <c r="C81" s="628" t="s">
        <v>1073</v>
      </c>
      <c r="D81" s="629"/>
      <c r="E81" s="454">
        <v>59332.99</v>
      </c>
      <c r="F81" s="454">
        <v>1136.22</v>
      </c>
      <c r="G81" s="454"/>
      <c r="H81" s="649"/>
      <c r="I81" s="650"/>
      <c r="J81" s="650"/>
      <c r="K81" s="650"/>
      <c r="L81" s="650"/>
      <c r="M81" s="439"/>
      <c r="N81" s="565"/>
      <c r="P81" s="378"/>
      <c r="Q81" s="379"/>
      <c r="R81" s="379"/>
      <c r="S81" s="379"/>
      <c r="T81" s="379"/>
      <c r="U81" s="379"/>
      <c r="V81" s="379"/>
      <c r="W81" s="379"/>
      <c r="X81" s="379"/>
      <c r="Y81" s="379"/>
      <c r="Z81" s="379"/>
      <c r="AA81" s="379"/>
      <c r="AB81" s="379"/>
      <c r="AC81" s="380"/>
    </row>
    <row r="82" spans="2:29" s="595" customFormat="1" ht="22.5" customHeight="1">
      <c r="B82" s="589"/>
      <c r="C82" s="590" t="s">
        <v>1079</v>
      </c>
      <c r="D82" s="591"/>
      <c r="E82" s="592">
        <f>SUM(E83:E88)</f>
        <v>2622078.9200000004</v>
      </c>
      <c r="F82" s="592">
        <f>SUM(F83:F88)</f>
        <v>3306189.84</v>
      </c>
      <c r="G82" s="592">
        <f>SUM(G83:G88)</f>
        <v>3960321.4800000004</v>
      </c>
      <c r="H82" s="622"/>
      <c r="I82" s="623"/>
      <c r="J82" s="623"/>
      <c r="K82" s="623"/>
      <c r="L82" s="623"/>
      <c r="M82" s="624"/>
      <c r="N82" s="630"/>
      <c r="P82" s="378"/>
      <c r="Q82" s="379"/>
      <c r="R82" s="379"/>
      <c r="S82" s="379"/>
      <c r="T82" s="379"/>
      <c r="U82" s="379"/>
      <c r="V82" s="379"/>
      <c r="W82" s="379"/>
      <c r="X82" s="379"/>
      <c r="Y82" s="379"/>
      <c r="Z82" s="379"/>
      <c r="AA82" s="379"/>
      <c r="AB82" s="379"/>
      <c r="AC82" s="380"/>
    </row>
    <row r="83" spans="2:29" s="598" customFormat="1" ht="22.5" customHeight="1">
      <c r="B83" s="567"/>
      <c r="C83" s="625" t="s">
        <v>1074</v>
      </c>
      <c r="D83" s="626"/>
      <c r="E83" s="518">
        <v>798778.97</v>
      </c>
      <c r="F83" s="518">
        <v>449061.65</v>
      </c>
      <c r="G83" s="518">
        <f>11824.5+19308+95433.76+130013.85+76333.24+137661.03+78916.4+104131.09+100349.08+20780.8+8712+44962.97+88464.53+11824.5+17417.18</f>
        <v>946132.93</v>
      </c>
      <c r="H83" s="474"/>
      <c r="I83" s="469"/>
      <c r="J83" s="469"/>
      <c r="K83" s="469"/>
      <c r="L83" s="469"/>
      <c r="M83" s="475"/>
      <c r="N83" s="565"/>
      <c r="P83" s="378"/>
      <c r="Q83" s="379"/>
      <c r="R83" s="379"/>
      <c r="S83" s="379"/>
      <c r="T83" s="379"/>
      <c r="U83" s="379"/>
      <c r="V83" s="379"/>
      <c r="W83" s="379"/>
      <c r="X83" s="379"/>
      <c r="Y83" s="379"/>
      <c r="Z83" s="379"/>
      <c r="AA83" s="379"/>
      <c r="AB83" s="379"/>
      <c r="AC83" s="380"/>
    </row>
    <row r="84" spans="2:29" s="598" customFormat="1" ht="22.5" customHeight="1">
      <c r="B84" s="567"/>
      <c r="C84" s="627" t="s">
        <v>1075</v>
      </c>
      <c r="D84" s="601"/>
      <c r="E84" s="520"/>
      <c r="F84" s="520"/>
      <c r="G84" s="520"/>
      <c r="H84" s="478"/>
      <c r="I84" s="646"/>
      <c r="J84" s="646"/>
      <c r="K84" s="646"/>
      <c r="L84" s="646"/>
      <c r="M84" s="438"/>
      <c r="N84" s="565"/>
      <c r="P84" s="378"/>
      <c r="Q84" s="379"/>
      <c r="R84" s="379"/>
      <c r="S84" s="379"/>
      <c r="T84" s="379"/>
      <c r="U84" s="379"/>
      <c r="V84" s="379"/>
      <c r="W84" s="379"/>
      <c r="X84" s="379"/>
      <c r="Y84" s="379"/>
      <c r="Z84" s="379"/>
      <c r="AA84" s="379"/>
      <c r="AB84" s="379"/>
      <c r="AC84" s="380"/>
    </row>
    <row r="85" spans="2:29" s="598" customFormat="1" ht="22.5" customHeight="1">
      <c r="B85" s="567"/>
      <c r="C85" s="627" t="s">
        <v>1076</v>
      </c>
      <c r="D85" s="601"/>
      <c r="E85" s="520"/>
      <c r="F85" s="520"/>
      <c r="G85" s="520"/>
      <c r="H85" s="478"/>
      <c r="I85" s="646"/>
      <c r="J85" s="646"/>
      <c r="K85" s="646"/>
      <c r="L85" s="646"/>
      <c r="M85" s="438"/>
      <c r="N85" s="565"/>
      <c r="P85" s="378"/>
      <c r="Q85" s="379"/>
      <c r="R85" s="379"/>
      <c r="S85" s="379"/>
      <c r="T85" s="379"/>
      <c r="U85" s="379"/>
      <c r="V85" s="379"/>
      <c r="W85" s="379"/>
      <c r="X85" s="379"/>
      <c r="Y85" s="379"/>
      <c r="Z85" s="379"/>
      <c r="AA85" s="379"/>
      <c r="AB85" s="379"/>
      <c r="AC85" s="380"/>
    </row>
    <row r="86" spans="2:29" s="598" customFormat="1" ht="22.5" customHeight="1">
      <c r="B86" s="567"/>
      <c r="C86" s="627" t="s">
        <v>1077</v>
      </c>
      <c r="D86" s="601"/>
      <c r="E86" s="520">
        <v>1625428.06</v>
      </c>
      <c r="F86" s="520">
        <v>2346423.37</v>
      </c>
      <c r="G86" s="520">
        <f>440000+200000+314000+1000000+24000+250000+150000+100000+53000+80000+50000</f>
        <v>2661000</v>
      </c>
      <c r="H86" s="478"/>
      <c r="I86" s="646"/>
      <c r="J86" s="646"/>
      <c r="K86" s="646"/>
      <c r="L86" s="646"/>
      <c r="M86" s="438"/>
      <c r="N86" s="565"/>
      <c r="P86" s="378"/>
      <c r="Q86" s="379"/>
      <c r="R86" s="379"/>
      <c r="S86" s="379"/>
      <c r="T86" s="379"/>
      <c r="U86" s="379"/>
      <c r="V86" s="379"/>
      <c r="W86" s="379"/>
      <c r="X86" s="379"/>
      <c r="Y86" s="379"/>
      <c r="Z86" s="379"/>
      <c r="AA86" s="379"/>
      <c r="AB86" s="379"/>
      <c r="AC86" s="380"/>
    </row>
    <row r="87" spans="2:29" s="598" customFormat="1" ht="22.5" customHeight="1">
      <c r="B87" s="567"/>
      <c r="C87" s="631" t="s">
        <v>1096</v>
      </c>
      <c r="D87" s="601"/>
      <c r="E87" s="520">
        <v>197871.89</v>
      </c>
      <c r="F87" s="1195">
        <v>510704.82</v>
      </c>
      <c r="G87" s="520">
        <f>88953.44+90908.2+131048.91+42278</f>
        <v>353188.55000000005</v>
      </c>
      <c r="H87" s="478"/>
      <c r="I87" s="646"/>
      <c r="J87" s="646"/>
      <c r="K87" s="646"/>
      <c r="L87" s="646"/>
      <c r="M87" s="438"/>
      <c r="N87" s="565"/>
      <c r="P87" s="378"/>
      <c r="Q87" s="379"/>
      <c r="R87" s="379"/>
      <c r="S87" s="379"/>
      <c r="T87" s="379"/>
      <c r="U87" s="379"/>
      <c r="V87" s="379"/>
      <c r="W87" s="379"/>
      <c r="X87" s="379"/>
      <c r="Y87" s="379"/>
      <c r="Z87" s="379"/>
      <c r="AA87" s="379"/>
      <c r="AB87" s="379"/>
      <c r="AC87" s="380"/>
    </row>
    <row r="88" spans="2:29" s="598" customFormat="1" ht="22.5" customHeight="1">
      <c r="B88" s="567"/>
      <c r="C88" s="599" t="s">
        <v>1078</v>
      </c>
      <c r="D88" s="600"/>
      <c r="E88" s="521"/>
      <c r="F88" s="521"/>
      <c r="G88" s="521"/>
      <c r="H88" s="476"/>
      <c r="I88" s="470"/>
      <c r="J88" s="470"/>
      <c r="K88" s="470"/>
      <c r="L88" s="470"/>
      <c r="M88" s="477"/>
      <c r="N88" s="565"/>
      <c r="P88" s="378"/>
      <c r="Q88" s="379"/>
      <c r="R88" s="379"/>
      <c r="S88" s="379"/>
      <c r="T88" s="379"/>
      <c r="U88" s="379"/>
      <c r="V88" s="379"/>
      <c r="W88" s="379"/>
      <c r="X88" s="379"/>
      <c r="Y88" s="379"/>
      <c r="Z88" s="379"/>
      <c r="AA88" s="379"/>
      <c r="AB88" s="379"/>
      <c r="AC88" s="380"/>
    </row>
    <row r="89" spans="2:29" s="598" customFormat="1" ht="22.5" customHeight="1">
      <c r="B89" s="567"/>
      <c r="C89" s="615"/>
      <c r="D89" s="615"/>
      <c r="E89" s="616"/>
      <c r="F89" s="616"/>
      <c r="G89" s="616"/>
      <c r="H89" s="616"/>
      <c r="I89" s="616"/>
      <c r="J89" s="616"/>
      <c r="K89" s="616"/>
      <c r="L89" s="616"/>
      <c r="M89" s="616"/>
      <c r="N89" s="565"/>
      <c r="P89" s="378"/>
      <c r="Q89" s="379"/>
      <c r="R89" s="379"/>
      <c r="S89" s="379"/>
      <c r="T89" s="379"/>
      <c r="U89" s="379"/>
      <c r="V89" s="379"/>
      <c r="W89" s="379"/>
      <c r="X89" s="379"/>
      <c r="Y89" s="379"/>
      <c r="Z89" s="379"/>
      <c r="AA89" s="379"/>
      <c r="AB89" s="379"/>
      <c r="AC89" s="380"/>
    </row>
    <row r="90" spans="2:29" s="598" customFormat="1" ht="22.5" customHeight="1">
      <c r="B90" s="567"/>
      <c r="C90" s="1250" t="s">
        <v>1113</v>
      </c>
      <c r="D90" s="1251"/>
      <c r="E90" s="1252"/>
      <c r="F90" s="708" t="s">
        <v>795</v>
      </c>
      <c r="G90" s="617" t="s">
        <v>559</v>
      </c>
      <c r="H90" s="1248" t="s">
        <v>954</v>
      </c>
      <c r="I90" s="1248"/>
      <c r="J90" s="1248"/>
      <c r="K90" s="1248"/>
      <c r="L90" s="1248"/>
      <c r="M90" s="1248"/>
      <c r="N90" s="565"/>
      <c r="P90" s="378"/>
      <c r="Q90" s="379"/>
      <c r="R90" s="379"/>
      <c r="S90" s="379"/>
      <c r="T90" s="379"/>
      <c r="U90" s="379"/>
      <c r="V90" s="379"/>
      <c r="W90" s="379"/>
      <c r="X90" s="379"/>
      <c r="Y90" s="379"/>
      <c r="Z90" s="379"/>
      <c r="AA90" s="379"/>
      <c r="AB90" s="379"/>
      <c r="AC90" s="380"/>
    </row>
    <row r="91" spans="2:29" s="598" customFormat="1" ht="42.75" customHeight="1">
      <c r="B91" s="567"/>
      <c r="C91" s="1253"/>
      <c r="D91" s="1254"/>
      <c r="E91" s="1255"/>
      <c r="F91" s="709" t="s">
        <v>1114</v>
      </c>
      <c r="G91" s="618">
        <f>ejercicio</f>
        <v>2019</v>
      </c>
      <c r="H91" s="1249"/>
      <c r="I91" s="1249"/>
      <c r="J91" s="1249"/>
      <c r="K91" s="1249"/>
      <c r="L91" s="1249"/>
      <c r="M91" s="1249"/>
      <c r="N91" s="565"/>
      <c r="P91" s="378"/>
      <c r="Q91" s="379"/>
      <c r="R91" s="379"/>
      <c r="S91" s="379"/>
      <c r="T91" s="379"/>
      <c r="U91" s="379"/>
      <c r="V91" s="379"/>
      <c r="W91" s="379"/>
      <c r="X91" s="379"/>
      <c r="Y91" s="379"/>
      <c r="Z91" s="379"/>
      <c r="AA91" s="379"/>
      <c r="AB91" s="379"/>
      <c r="AC91" s="380"/>
    </row>
    <row r="92" spans="2:29" s="598" customFormat="1" ht="22.5" customHeight="1" thickBot="1">
      <c r="B92" s="567"/>
      <c r="C92" s="610" t="s">
        <v>1118</v>
      </c>
      <c r="D92" s="713"/>
      <c r="E92" s="714"/>
      <c r="F92" s="612"/>
      <c r="G92" s="612">
        <f>SUM(G93:G95)</f>
        <v>0</v>
      </c>
      <c r="H92" s="619"/>
      <c r="I92" s="620"/>
      <c r="J92" s="620"/>
      <c r="K92" s="620"/>
      <c r="L92" s="620"/>
      <c r="M92" s="621"/>
      <c r="N92" s="565"/>
      <c r="P92" s="378"/>
      <c r="Q92" s="379"/>
      <c r="R92" s="379"/>
      <c r="S92" s="379"/>
      <c r="T92" s="379"/>
      <c r="U92" s="379"/>
      <c r="V92" s="379"/>
      <c r="W92" s="379"/>
      <c r="X92" s="379"/>
      <c r="Y92" s="379"/>
      <c r="Z92" s="379"/>
      <c r="AA92" s="379"/>
      <c r="AB92" s="379"/>
      <c r="AC92" s="380"/>
    </row>
    <row r="93" spans="2:29" s="598" customFormat="1" ht="22.5" customHeight="1">
      <c r="B93" s="567"/>
      <c r="C93" s="1256" t="s">
        <v>1115</v>
      </c>
      <c r="D93" s="1257"/>
      <c r="E93" s="1258"/>
      <c r="F93" s="752"/>
      <c r="G93" s="452"/>
      <c r="H93" s="715"/>
      <c r="I93" s="469"/>
      <c r="J93" s="469"/>
      <c r="K93" s="469"/>
      <c r="L93" s="469"/>
      <c r="M93" s="475"/>
      <c r="N93" s="565"/>
      <c r="P93" s="378"/>
      <c r="Q93" s="379"/>
      <c r="R93" s="379"/>
      <c r="S93" s="379"/>
      <c r="T93" s="379"/>
      <c r="U93" s="379"/>
      <c r="V93" s="379"/>
      <c r="W93" s="379"/>
      <c r="X93" s="379"/>
      <c r="Y93" s="379"/>
      <c r="Z93" s="379"/>
      <c r="AA93" s="379"/>
      <c r="AB93" s="379"/>
      <c r="AC93" s="380"/>
    </row>
    <row r="94" spans="2:29" s="598" customFormat="1" ht="22.5" customHeight="1">
      <c r="B94" s="567"/>
      <c r="C94" s="710" t="s">
        <v>1116</v>
      </c>
      <c r="D94" s="711"/>
      <c r="E94" s="712"/>
      <c r="F94" s="752"/>
      <c r="G94" s="452"/>
      <c r="H94" s="474"/>
      <c r="I94" s="469"/>
      <c r="J94" s="469"/>
      <c r="K94" s="469"/>
      <c r="L94" s="469"/>
      <c r="M94" s="475"/>
      <c r="N94" s="565"/>
      <c r="P94" s="378"/>
      <c r="Q94" s="379"/>
      <c r="R94" s="379"/>
      <c r="S94" s="379"/>
      <c r="T94" s="379"/>
      <c r="U94" s="379"/>
      <c r="V94" s="379"/>
      <c r="W94" s="379"/>
      <c r="X94" s="379"/>
      <c r="Y94" s="379"/>
      <c r="Z94" s="379"/>
      <c r="AA94" s="379"/>
      <c r="AB94" s="379"/>
      <c r="AC94" s="380"/>
    </row>
    <row r="95" spans="2:29" s="598" customFormat="1" ht="22.5" customHeight="1">
      <c r="B95" s="567"/>
      <c r="C95" s="1259" t="s">
        <v>1117</v>
      </c>
      <c r="D95" s="1260"/>
      <c r="E95" s="1261"/>
      <c r="F95" s="753"/>
      <c r="G95" s="453"/>
      <c r="H95" s="478"/>
      <c r="I95" s="646"/>
      <c r="J95" s="646"/>
      <c r="K95" s="646"/>
      <c r="L95" s="646"/>
      <c r="M95" s="438"/>
      <c r="N95" s="565"/>
      <c r="P95" s="378"/>
      <c r="Q95" s="379"/>
      <c r="R95" s="379"/>
      <c r="S95" s="379"/>
      <c r="T95" s="379"/>
      <c r="U95" s="379"/>
      <c r="V95" s="379"/>
      <c r="W95" s="379"/>
      <c r="X95" s="379"/>
      <c r="Y95" s="379"/>
      <c r="Z95" s="379"/>
      <c r="AA95" s="379"/>
      <c r="AB95" s="379"/>
      <c r="AC95" s="380"/>
    </row>
    <row r="96" spans="2:29" s="598" customFormat="1" ht="22.5" customHeight="1">
      <c r="B96" s="567"/>
      <c r="C96" s="702"/>
      <c r="D96" s="615"/>
      <c r="E96" s="703"/>
      <c r="F96" s="703"/>
      <c r="G96" s="703"/>
      <c r="H96" s="704"/>
      <c r="I96" s="704"/>
      <c r="J96" s="704"/>
      <c r="K96" s="704"/>
      <c r="L96" s="704"/>
      <c r="M96" s="704"/>
      <c r="N96" s="565"/>
      <c r="P96" s="378"/>
      <c r="Q96" s="379"/>
      <c r="R96" s="379"/>
      <c r="S96" s="379"/>
      <c r="T96" s="379"/>
      <c r="U96" s="379"/>
      <c r="V96" s="379"/>
      <c r="W96" s="379"/>
      <c r="X96" s="379"/>
      <c r="Y96" s="379"/>
      <c r="Z96" s="379"/>
      <c r="AA96" s="379"/>
      <c r="AB96" s="379"/>
      <c r="AC96" s="380"/>
    </row>
    <row r="97" spans="2:29" s="598" customFormat="1" ht="22.5" customHeight="1">
      <c r="B97" s="567"/>
      <c r="C97" s="705" t="s">
        <v>788</v>
      </c>
      <c r="D97" s="706"/>
      <c r="E97" s="616"/>
      <c r="F97" s="616"/>
      <c r="G97" s="616"/>
      <c r="H97" s="616"/>
      <c r="I97" s="616"/>
      <c r="J97" s="616"/>
      <c r="K97" s="616"/>
      <c r="L97" s="616"/>
      <c r="M97" s="616"/>
      <c r="N97" s="565"/>
      <c r="P97" s="378"/>
      <c r="Q97" s="379"/>
      <c r="R97" s="379"/>
      <c r="S97" s="379"/>
      <c r="T97" s="379"/>
      <c r="U97" s="379"/>
      <c r="V97" s="379"/>
      <c r="W97" s="379"/>
      <c r="X97" s="379"/>
      <c r="Y97" s="379"/>
      <c r="Z97" s="379"/>
      <c r="AA97" s="379"/>
      <c r="AB97" s="379"/>
      <c r="AC97" s="380"/>
    </row>
    <row r="98" spans="2:29" s="598" customFormat="1" ht="22.5" customHeight="1">
      <c r="B98" s="567"/>
      <c r="C98" s="706" t="s">
        <v>121</v>
      </c>
      <c r="D98" s="706"/>
      <c r="E98" s="634"/>
      <c r="F98" s="634"/>
      <c r="G98" s="634"/>
      <c r="H98" s="634"/>
      <c r="I98" s="634"/>
      <c r="J98" s="634"/>
      <c r="K98" s="634"/>
      <c r="L98" s="634"/>
      <c r="M98" s="634"/>
      <c r="N98" s="565"/>
      <c r="P98" s="378"/>
      <c r="Q98" s="379"/>
      <c r="R98" s="379"/>
      <c r="S98" s="379"/>
      <c r="T98" s="379"/>
      <c r="U98" s="379"/>
      <c r="V98" s="379"/>
      <c r="W98" s="379"/>
      <c r="X98" s="379"/>
      <c r="Y98" s="379"/>
      <c r="Z98" s="379"/>
      <c r="AA98" s="379"/>
      <c r="AB98" s="379"/>
      <c r="AC98" s="380"/>
    </row>
    <row r="99" spans="2:29" s="598" customFormat="1" ht="22.5" customHeight="1">
      <c r="B99" s="567"/>
      <c r="C99" s="707" t="s">
        <v>1037</v>
      </c>
      <c r="D99" s="706"/>
      <c r="E99" s="634"/>
      <c r="F99" s="634"/>
      <c r="G99" s="634"/>
      <c r="H99" s="634"/>
      <c r="I99" s="634"/>
      <c r="J99" s="634"/>
      <c r="K99" s="634"/>
      <c r="L99" s="634"/>
      <c r="M99" s="634"/>
      <c r="N99" s="565"/>
      <c r="P99" s="378"/>
      <c r="Q99" s="379"/>
      <c r="R99" s="379"/>
      <c r="S99" s="379"/>
      <c r="T99" s="379"/>
      <c r="U99" s="379"/>
      <c r="V99" s="379"/>
      <c r="W99" s="379"/>
      <c r="X99" s="379"/>
      <c r="Y99" s="379"/>
      <c r="Z99" s="379"/>
      <c r="AA99" s="379"/>
      <c r="AB99" s="379"/>
      <c r="AC99" s="380"/>
    </row>
    <row r="100" spans="2:29" s="598" customFormat="1" ht="22.5" customHeight="1">
      <c r="B100" s="567"/>
      <c r="C100" s="707" t="s">
        <v>1158</v>
      </c>
      <c r="D100" s="706"/>
      <c r="E100" s="634"/>
      <c r="F100" s="634"/>
      <c r="G100" s="634"/>
      <c r="H100" s="634"/>
      <c r="I100" s="634"/>
      <c r="J100" s="634"/>
      <c r="K100" s="634"/>
      <c r="L100" s="634"/>
      <c r="M100" s="634"/>
      <c r="N100" s="565"/>
      <c r="P100" s="378"/>
      <c r="Q100" s="379"/>
      <c r="R100" s="379"/>
      <c r="S100" s="379"/>
      <c r="T100" s="379"/>
      <c r="U100" s="379"/>
      <c r="V100" s="379"/>
      <c r="W100" s="379"/>
      <c r="X100" s="379"/>
      <c r="Y100" s="379"/>
      <c r="Z100" s="379"/>
      <c r="AA100" s="379"/>
      <c r="AB100" s="379"/>
      <c r="AC100" s="380"/>
    </row>
    <row r="101" spans="2:29" ht="22.5" customHeight="1" thickBot="1">
      <c r="B101" s="635"/>
      <c r="C101" s="1233"/>
      <c r="D101" s="1233"/>
      <c r="E101" s="1233"/>
      <c r="F101" s="1233"/>
      <c r="G101" s="636"/>
      <c r="H101" s="636"/>
      <c r="I101" s="636"/>
      <c r="J101" s="636"/>
      <c r="K101" s="636"/>
      <c r="L101" s="636"/>
      <c r="M101" s="636"/>
      <c r="N101" s="637"/>
      <c r="P101" s="381"/>
      <c r="Q101" s="382"/>
      <c r="R101" s="382"/>
      <c r="S101" s="382"/>
      <c r="T101" s="382"/>
      <c r="U101" s="382"/>
      <c r="V101" s="382"/>
      <c r="W101" s="382"/>
      <c r="X101" s="382"/>
      <c r="Y101" s="382"/>
      <c r="Z101" s="382"/>
      <c r="AA101" s="382"/>
      <c r="AB101" s="382"/>
      <c r="AC101" s="383"/>
    </row>
    <row r="102" spans="3:15" ht="22.5" customHeight="1">
      <c r="C102" s="562"/>
      <c r="D102" s="562"/>
      <c r="E102" s="563"/>
      <c r="F102" s="563"/>
      <c r="G102" s="563"/>
      <c r="H102" s="563"/>
      <c r="I102" s="563"/>
      <c r="J102" s="563"/>
      <c r="K102" s="563"/>
      <c r="L102" s="563"/>
      <c r="M102" s="563"/>
      <c r="O102" s="553" t="s">
        <v>154</v>
      </c>
    </row>
    <row r="103" spans="3:13" ht="12.75">
      <c r="C103" s="638" t="s">
        <v>451</v>
      </c>
      <c r="D103" s="562"/>
      <c r="E103" s="563"/>
      <c r="F103" s="563"/>
      <c r="G103" s="563"/>
      <c r="H103" s="563"/>
      <c r="I103" s="563"/>
      <c r="J103" s="563"/>
      <c r="K103" s="563"/>
      <c r="L103" s="563"/>
      <c r="M103" s="639" t="s">
        <v>426</v>
      </c>
    </row>
    <row r="104" spans="3:13" ht="12.75">
      <c r="C104" s="640" t="s">
        <v>452</v>
      </c>
      <c r="D104" s="562"/>
      <c r="E104" s="563"/>
      <c r="F104" s="563"/>
      <c r="G104" s="563"/>
      <c r="H104" s="563"/>
      <c r="I104" s="563"/>
      <c r="J104" s="563"/>
      <c r="K104" s="563"/>
      <c r="L104" s="563"/>
      <c r="M104" s="563"/>
    </row>
    <row r="105" spans="3:13" ht="12.75">
      <c r="C105" s="640" t="s">
        <v>453</v>
      </c>
      <c r="D105" s="562"/>
      <c r="E105" s="563"/>
      <c r="F105" s="563"/>
      <c r="G105" s="563"/>
      <c r="H105" s="563"/>
      <c r="I105" s="563"/>
      <c r="J105" s="563"/>
      <c r="K105" s="563"/>
      <c r="L105" s="563"/>
      <c r="M105" s="563"/>
    </row>
    <row r="106" spans="3:13" ht="12.75">
      <c r="C106" s="640" t="s">
        <v>454</v>
      </c>
      <c r="D106" s="562"/>
      <c r="E106" s="563"/>
      <c r="F106" s="563"/>
      <c r="G106" s="563"/>
      <c r="H106" s="563"/>
      <c r="I106" s="563"/>
      <c r="J106" s="563"/>
      <c r="K106" s="563"/>
      <c r="L106" s="563"/>
      <c r="M106" s="563"/>
    </row>
    <row r="107" spans="3:13" ht="12.75">
      <c r="C107" s="640" t="s">
        <v>455</v>
      </c>
      <c r="D107" s="562"/>
      <c r="E107" s="563"/>
      <c r="F107" s="563"/>
      <c r="G107" s="563"/>
      <c r="H107" s="563"/>
      <c r="I107" s="563"/>
      <c r="J107" s="563"/>
      <c r="K107" s="563"/>
      <c r="L107" s="563"/>
      <c r="M107" s="563"/>
    </row>
    <row r="108" spans="3:13" ht="22.5" customHeight="1">
      <c r="C108" s="562"/>
      <c r="D108" s="562"/>
      <c r="E108" s="563"/>
      <c r="F108" s="563"/>
      <c r="G108" s="563"/>
      <c r="H108" s="563"/>
      <c r="I108" s="563"/>
      <c r="J108" s="563"/>
      <c r="K108" s="563"/>
      <c r="L108" s="563"/>
      <c r="M108" s="563"/>
    </row>
    <row r="109" spans="3:13" ht="22.5" customHeight="1">
      <c r="C109" s="562"/>
      <c r="D109" s="562"/>
      <c r="E109" s="563"/>
      <c r="F109" s="563"/>
      <c r="G109" s="563"/>
      <c r="H109" s="563"/>
      <c r="I109" s="563"/>
      <c r="J109" s="563"/>
      <c r="K109" s="563"/>
      <c r="L109" s="563"/>
      <c r="M109" s="563"/>
    </row>
    <row r="110" spans="3:13" ht="22.5" customHeight="1">
      <c r="C110" s="562"/>
      <c r="D110" s="562"/>
      <c r="E110" s="563"/>
      <c r="F110" s="563"/>
      <c r="G110" s="563"/>
      <c r="H110" s="563"/>
      <c r="I110" s="563"/>
      <c r="J110" s="563"/>
      <c r="K110" s="563"/>
      <c r="L110" s="563"/>
      <c r="M110" s="563"/>
    </row>
    <row r="111" spans="3:13" ht="22.5" customHeight="1">
      <c r="C111" s="562"/>
      <c r="D111" s="562"/>
      <c r="E111" s="563"/>
      <c r="F111" s="563"/>
      <c r="G111" s="563"/>
      <c r="H111" s="563"/>
      <c r="I111" s="563"/>
      <c r="J111" s="563"/>
      <c r="K111" s="563"/>
      <c r="L111" s="563"/>
      <c r="M111" s="563"/>
    </row>
    <row r="112" spans="6:13" ht="22.5" customHeight="1">
      <c r="F112" s="563"/>
      <c r="G112" s="563"/>
      <c r="H112" s="563"/>
      <c r="I112" s="563"/>
      <c r="J112" s="563"/>
      <c r="K112" s="563"/>
      <c r="L112" s="563"/>
      <c r="M112" s="563"/>
    </row>
  </sheetData>
  <sheetProtection password="C494" sheet="1" objects="1" scenarios="1" insertRows="0"/>
  <mergeCells count="11">
    <mergeCell ref="C93:E93"/>
    <mergeCell ref="C95:E95"/>
    <mergeCell ref="C101:F101"/>
    <mergeCell ref="H52:M53"/>
    <mergeCell ref="H71:M72"/>
    <mergeCell ref="M6:M7"/>
    <mergeCell ref="D9:M9"/>
    <mergeCell ref="C12:D12"/>
    <mergeCell ref="H76:M77"/>
    <mergeCell ref="H90:M91"/>
    <mergeCell ref="C90:E91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landscape" paperSize="9" scale="2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zoomScalePageLayoutView="0" workbookViewId="0" topLeftCell="B70">
      <selection activeCell="J75" sqref="J75"/>
    </sheetView>
  </sheetViews>
  <sheetFormatPr defaultColWidth="10.6640625" defaultRowHeight="22.5" customHeight="1"/>
  <cols>
    <col min="1" max="1" width="4.3359375" style="42" bestFit="1" customWidth="1"/>
    <col min="2" max="2" width="3.3359375" style="42" customWidth="1"/>
    <col min="3" max="3" width="13.5546875" style="42" customWidth="1"/>
    <col min="4" max="4" width="76.6640625" style="42" customWidth="1"/>
    <col min="5" max="7" width="18.3359375" style="42" customWidth="1"/>
    <col min="8" max="8" width="3.3359375" style="42" customWidth="1"/>
    <col min="9" max="16384" width="10.6640625" style="42" customWidth="1"/>
  </cols>
  <sheetData>
    <row r="1" ht="22.5" customHeight="1">
      <c r="D1" s="44"/>
    </row>
    <row r="2" ht="22.5" customHeight="1">
      <c r="D2" s="64" t="s">
        <v>410</v>
      </c>
    </row>
    <row r="3" ht="22.5" customHeight="1">
      <c r="D3" s="64" t="s">
        <v>411</v>
      </c>
    </row>
    <row r="4" ht="22.5" customHeight="1" thickBot="1">
      <c r="A4" s="42" t="s">
        <v>153</v>
      </c>
    </row>
    <row r="5" spans="2:23" ht="9" customHeight="1">
      <c r="B5" s="45"/>
      <c r="C5" s="46"/>
      <c r="D5" s="46"/>
      <c r="E5" s="46"/>
      <c r="F5" s="46"/>
      <c r="G5" s="46"/>
      <c r="H5" s="47"/>
      <c r="J5" s="362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4"/>
    </row>
    <row r="6" spans="2:23" ht="30" customHeight="1">
      <c r="B6" s="48"/>
      <c r="C6" s="1" t="s">
        <v>379</v>
      </c>
      <c r="D6" s="44"/>
      <c r="E6" s="44"/>
      <c r="F6" s="44"/>
      <c r="G6" s="1226">
        <f>ejercicio</f>
        <v>2019</v>
      </c>
      <c r="H6" s="50"/>
      <c r="J6" s="365"/>
      <c r="K6" s="366" t="s">
        <v>1067</v>
      </c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8"/>
    </row>
    <row r="7" spans="2:23" ht="30" customHeight="1">
      <c r="B7" s="48"/>
      <c r="C7" s="1" t="s">
        <v>380</v>
      </c>
      <c r="D7" s="44"/>
      <c r="E7" s="44"/>
      <c r="F7" s="44"/>
      <c r="G7" s="1226"/>
      <c r="H7" s="50"/>
      <c r="J7" s="365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8"/>
    </row>
    <row r="8" spans="2:23" ht="30" customHeight="1">
      <c r="B8" s="48"/>
      <c r="C8" s="49"/>
      <c r="D8" s="44"/>
      <c r="E8" s="44"/>
      <c r="F8" s="44"/>
      <c r="G8" s="51"/>
      <c r="H8" s="50"/>
      <c r="J8" s="365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8"/>
    </row>
    <row r="9" spans="2:23" s="58" customFormat="1" ht="30" customHeight="1">
      <c r="B9" s="56"/>
      <c r="C9" s="39" t="s">
        <v>381</v>
      </c>
      <c r="D9" s="1240" t="str">
        <f>Entidad</f>
        <v>INSTITUTO TECNOLOGICO Y DE ENERGIAS RENOVABLES S.A.</v>
      </c>
      <c r="E9" s="1240"/>
      <c r="F9" s="1240"/>
      <c r="G9" s="1240"/>
      <c r="H9" s="57"/>
      <c r="J9" s="369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1"/>
    </row>
    <row r="10" spans="2:23" ht="6.75" customHeight="1">
      <c r="B10" s="48"/>
      <c r="C10" s="44"/>
      <c r="D10" s="44"/>
      <c r="E10" s="44"/>
      <c r="F10" s="44"/>
      <c r="G10" s="44"/>
      <c r="H10" s="50"/>
      <c r="J10" s="365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8"/>
    </row>
    <row r="11" spans="2:23" s="60" customFormat="1" ht="30" customHeight="1">
      <c r="B11" s="24"/>
      <c r="C11" s="11" t="s">
        <v>628</v>
      </c>
      <c r="D11" s="11"/>
      <c r="E11" s="11"/>
      <c r="F11" s="11"/>
      <c r="G11" s="11"/>
      <c r="H11" s="59"/>
      <c r="J11" s="372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4"/>
    </row>
    <row r="12" spans="2:23" s="60" customFormat="1" ht="30" customHeight="1">
      <c r="B12" s="24"/>
      <c r="C12" s="66"/>
      <c r="D12" s="66"/>
      <c r="E12" s="66"/>
      <c r="F12" s="66"/>
      <c r="G12" s="66"/>
      <c r="H12" s="59"/>
      <c r="J12" s="372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4"/>
    </row>
    <row r="13" spans="2:23" ht="22.5" customHeight="1">
      <c r="B13" s="48"/>
      <c r="C13" s="202"/>
      <c r="D13" s="203"/>
      <c r="E13" s="204" t="s">
        <v>557</v>
      </c>
      <c r="F13" s="204" t="s">
        <v>558</v>
      </c>
      <c r="G13" s="307" t="s">
        <v>559</v>
      </c>
      <c r="H13" s="50"/>
      <c r="J13" s="365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8"/>
    </row>
    <row r="14" spans="2:23" ht="22.5" customHeight="1">
      <c r="B14" s="48"/>
      <c r="C14" s="205" t="s">
        <v>624</v>
      </c>
      <c r="D14" s="68"/>
      <c r="E14" s="206">
        <f>ejercicio-2</f>
        <v>2017</v>
      </c>
      <c r="F14" s="206">
        <f>ejercicio-1</f>
        <v>2018</v>
      </c>
      <c r="G14" s="306">
        <f>ejercicio</f>
        <v>2019</v>
      </c>
      <c r="H14" s="50"/>
      <c r="J14" s="365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8"/>
    </row>
    <row r="15" spans="2:23" ht="22.5" customHeight="1">
      <c r="B15" s="48"/>
      <c r="C15" s="137"/>
      <c r="D15" s="86"/>
      <c r="E15" s="130"/>
      <c r="F15" s="130"/>
      <c r="G15" s="308"/>
      <c r="H15" s="50"/>
      <c r="J15" s="365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8"/>
    </row>
    <row r="16" spans="2:23" ht="22.5" customHeight="1">
      <c r="B16" s="48"/>
      <c r="C16" s="138" t="s">
        <v>561</v>
      </c>
      <c r="D16" s="84" t="s">
        <v>562</v>
      </c>
      <c r="E16" s="131">
        <f>E17+E26+E30+E33+E40+E47+E48</f>
        <v>87056545.79</v>
      </c>
      <c r="F16" s="131">
        <f>F17+F26+F30+F33+F40+F47+F48</f>
        <v>153456288.19</v>
      </c>
      <c r="G16" s="309">
        <f>G17+G26+G30+G33+G40+G47+G48</f>
        <v>151651779.10999998</v>
      </c>
      <c r="H16" s="50"/>
      <c r="J16" s="365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8"/>
    </row>
    <row r="17" spans="2:23" ht="22.5" customHeight="1">
      <c r="B17" s="48"/>
      <c r="C17" s="139" t="s">
        <v>563</v>
      </c>
      <c r="D17" s="70" t="s">
        <v>564</v>
      </c>
      <c r="E17" s="132">
        <f>SUM(E18:E25)</f>
        <v>5245581.98</v>
      </c>
      <c r="F17" s="132">
        <f>SUM(F18:F25)</f>
        <v>4572413.33</v>
      </c>
      <c r="G17" s="310">
        <f>SUM(G18:G25)</f>
        <v>3897162.8699999996</v>
      </c>
      <c r="H17" s="50"/>
      <c r="J17" s="365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8"/>
    </row>
    <row r="18" spans="2:23" ht="22.5" customHeight="1">
      <c r="B18" s="48"/>
      <c r="C18" s="140" t="s">
        <v>462</v>
      </c>
      <c r="D18" s="71" t="s">
        <v>565</v>
      </c>
      <c r="E18" s="402"/>
      <c r="F18" s="402"/>
      <c r="G18" s="406"/>
      <c r="H18" s="50"/>
      <c r="J18" s="365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8"/>
    </row>
    <row r="19" spans="2:23" ht="22.5" customHeight="1">
      <c r="B19" s="48"/>
      <c r="C19" s="141" t="s">
        <v>469</v>
      </c>
      <c r="D19" s="72" t="s">
        <v>566</v>
      </c>
      <c r="E19" s="403">
        <v>0.03</v>
      </c>
      <c r="F19" s="403">
        <v>0.03</v>
      </c>
      <c r="G19" s="403">
        <v>0.03</v>
      </c>
      <c r="H19" s="50"/>
      <c r="J19" s="365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8"/>
    </row>
    <row r="20" spans="2:23" ht="22.5" customHeight="1">
      <c r="B20" s="48"/>
      <c r="C20" s="141" t="s">
        <v>471</v>
      </c>
      <c r="D20" s="72" t="s">
        <v>567</v>
      </c>
      <c r="E20" s="403"/>
      <c r="F20" s="403"/>
      <c r="G20" s="407"/>
      <c r="H20" s="50"/>
      <c r="J20" s="365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8"/>
    </row>
    <row r="21" spans="2:23" ht="22.5" customHeight="1">
      <c r="B21" s="48"/>
      <c r="C21" s="141" t="s">
        <v>473</v>
      </c>
      <c r="D21" s="72" t="s">
        <v>568</v>
      </c>
      <c r="E21" s="403">
        <v>5163050.15</v>
      </c>
      <c r="F21" s="403">
        <v>4517668.88</v>
      </c>
      <c r="G21" s="407">
        <v>3872287.61</v>
      </c>
      <c r="H21" s="50"/>
      <c r="J21" s="365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8"/>
    </row>
    <row r="22" spans="2:23" ht="22.5" customHeight="1">
      <c r="B22" s="48"/>
      <c r="C22" s="141" t="s">
        <v>569</v>
      </c>
      <c r="D22" s="72" t="s">
        <v>570</v>
      </c>
      <c r="E22" s="403">
        <v>82531.8</v>
      </c>
      <c r="F22" s="403">
        <v>54744.42</v>
      </c>
      <c r="G22" s="407">
        <v>24875.23</v>
      </c>
      <c r="H22" s="50"/>
      <c r="J22" s="365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8"/>
    </row>
    <row r="23" spans="2:23" ht="22.5" customHeight="1">
      <c r="B23" s="48"/>
      <c r="C23" s="141" t="s">
        <v>483</v>
      </c>
      <c r="D23" s="72" t="s">
        <v>571</v>
      </c>
      <c r="E23" s="403"/>
      <c r="F23" s="403"/>
      <c r="G23" s="407"/>
      <c r="H23" s="50"/>
      <c r="J23" s="365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8"/>
    </row>
    <row r="24" spans="2:23" ht="22.5" customHeight="1">
      <c r="B24" s="48"/>
      <c r="C24" s="141" t="s">
        <v>488</v>
      </c>
      <c r="D24" s="72" t="s">
        <v>623</v>
      </c>
      <c r="E24" s="403"/>
      <c r="F24" s="403"/>
      <c r="G24" s="407"/>
      <c r="H24" s="50"/>
      <c r="J24" s="365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8"/>
    </row>
    <row r="25" spans="2:23" ht="22.5" customHeight="1">
      <c r="B25" s="48"/>
      <c r="C25" s="141" t="s">
        <v>496</v>
      </c>
      <c r="D25" s="72" t="s">
        <v>572</v>
      </c>
      <c r="E25" s="403"/>
      <c r="F25" s="403"/>
      <c r="G25" s="407"/>
      <c r="H25" s="50"/>
      <c r="J25" s="365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8"/>
    </row>
    <row r="26" spans="2:23" ht="22.5" customHeight="1">
      <c r="B26" s="48"/>
      <c r="C26" s="139" t="s">
        <v>573</v>
      </c>
      <c r="D26" s="70" t="s">
        <v>574</v>
      </c>
      <c r="E26" s="132">
        <f>SUM(E27:E29)</f>
        <v>62737260.55</v>
      </c>
      <c r="F26" s="132">
        <f>SUM(F27:F29)</f>
        <v>121658191.27</v>
      </c>
      <c r="G26" s="310">
        <f>SUM(G27:G29)</f>
        <v>120716941.77</v>
      </c>
      <c r="H26" s="50"/>
      <c r="J26" s="365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8"/>
    </row>
    <row r="27" spans="2:23" ht="22.5" customHeight="1">
      <c r="B27" s="48"/>
      <c r="C27" s="140" t="s">
        <v>462</v>
      </c>
      <c r="D27" s="71" t="s">
        <v>575</v>
      </c>
      <c r="E27" s="402">
        <v>31114637.25</v>
      </c>
      <c r="F27" s="402">
        <v>31308097.66</v>
      </c>
      <c r="G27" s="406">
        <v>32125251.91</v>
      </c>
      <c r="H27" s="50"/>
      <c r="J27" s="365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8"/>
    </row>
    <row r="28" spans="2:23" ht="22.5" customHeight="1">
      <c r="B28" s="48"/>
      <c r="C28" s="141" t="s">
        <v>469</v>
      </c>
      <c r="D28" s="72" t="s">
        <v>576</v>
      </c>
      <c r="E28" s="403">
        <v>19036544.85</v>
      </c>
      <c r="F28" s="403">
        <v>77108169.91</v>
      </c>
      <c r="G28" s="403">
        <v>81606646.83</v>
      </c>
      <c r="H28" s="50"/>
      <c r="J28" s="365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8"/>
    </row>
    <row r="29" spans="2:23" ht="22.5" customHeight="1">
      <c r="B29" s="48"/>
      <c r="C29" s="141" t="s">
        <v>471</v>
      </c>
      <c r="D29" s="72" t="s">
        <v>577</v>
      </c>
      <c r="E29" s="403">
        <v>12586078.45</v>
      </c>
      <c r="F29" s="403">
        <v>13241923.7</v>
      </c>
      <c r="G29" s="407">
        <v>6985043.03</v>
      </c>
      <c r="H29" s="50"/>
      <c r="J29" s="365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8"/>
    </row>
    <row r="30" spans="2:23" ht="22.5" customHeight="1">
      <c r="B30" s="48"/>
      <c r="C30" s="139" t="s">
        <v>578</v>
      </c>
      <c r="D30" s="70" t="s">
        <v>579</v>
      </c>
      <c r="E30" s="132">
        <f>SUM(E31:E32)</f>
        <v>0</v>
      </c>
      <c r="F30" s="132">
        <f>SUM(F31:F32)</f>
        <v>0</v>
      </c>
      <c r="G30" s="310">
        <f>SUM(G31:G32)</f>
        <v>0</v>
      </c>
      <c r="H30" s="50"/>
      <c r="J30" s="375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7"/>
    </row>
    <row r="31" spans="2:23" ht="22.5" customHeight="1">
      <c r="B31" s="48"/>
      <c r="C31" s="140" t="s">
        <v>462</v>
      </c>
      <c r="D31" s="71" t="s">
        <v>580</v>
      </c>
      <c r="E31" s="402"/>
      <c r="F31" s="402"/>
      <c r="G31" s="406"/>
      <c r="H31" s="50"/>
      <c r="J31" s="375"/>
      <c r="K31" s="376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7"/>
    </row>
    <row r="32" spans="2:23" ht="22.5" customHeight="1">
      <c r="B32" s="48"/>
      <c r="C32" s="141" t="s">
        <v>469</v>
      </c>
      <c r="D32" s="72" t="s">
        <v>581</v>
      </c>
      <c r="E32" s="403"/>
      <c r="F32" s="403"/>
      <c r="G32" s="407"/>
      <c r="H32" s="50"/>
      <c r="J32" s="365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8"/>
    </row>
    <row r="33" spans="2:23" ht="22.5" customHeight="1">
      <c r="B33" s="48"/>
      <c r="C33" s="139" t="s">
        <v>582</v>
      </c>
      <c r="D33" s="70" t="s">
        <v>583</v>
      </c>
      <c r="E33" s="132">
        <f>SUM(E34:E39)</f>
        <v>16650651.34</v>
      </c>
      <c r="F33" s="132">
        <f>SUM(F34:F39)</f>
        <v>16079961.34</v>
      </c>
      <c r="G33" s="310">
        <f>SUM(G34:G39)</f>
        <v>15281641.34</v>
      </c>
      <c r="H33" s="50"/>
      <c r="J33" s="365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8"/>
    </row>
    <row r="34" spans="2:23" ht="22.5" customHeight="1">
      <c r="B34" s="48"/>
      <c r="C34" s="140" t="s">
        <v>462</v>
      </c>
      <c r="D34" s="71" t="s">
        <v>584</v>
      </c>
      <c r="E34" s="402">
        <v>16650651.34</v>
      </c>
      <c r="F34" s="402">
        <v>16079961.34</v>
      </c>
      <c r="G34" s="402">
        <v>15281641.34</v>
      </c>
      <c r="H34" s="50"/>
      <c r="J34" s="365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8"/>
    </row>
    <row r="35" spans="2:23" ht="22.5" customHeight="1">
      <c r="B35" s="48"/>
      <c r="C35" s="141" t="s">
        <v>469</v>
      </c>
      <c r="D35" s="72" t="s">
        <v>585</v>
      </c>
      <c r="E35" s="403"/>
      <c r="F35" s="403"/>
      <c r="G35" s="407"/>
      <c r="H35" s="50"/>
      <c r="J35" s="365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8"/>
    </row>
    <row r="36" spans="2:23" ht="22.5" customHeight="1">
      <c r="B36" s="48"/>
      <c r="C36" s="141" t="s">
        <v>471</v>
      </c>
      <c r="D36" s="72" t="s">
        <v>586</v>
      </c>
      <c r="E36" s="403"/>
      <c r="F36" s="403"/>
      <c r="G36" s="407"/>
      <c r="H36" s="50"/>
      <c r="J36" s="378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80"/>
    </row>
    <row r="37" spans="2:23" ht="22.5" customHeight="1">
      <c r="B37" s="48"/>
      <c r="C37" s="141" t="s">
        <v>473</v>
      </c>
      <c r="D37" s="72" t="s">
        <v>587</v>
      </c>
      <c r="E37" s="403"/>
      <c r="F37" s="403"/>
      <c r="G37" s="407"/>
      <c r="H37" s="50"/>
      <c r="J37" s="378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80"/>
    </row>
    <row r="38" spans="2:23" ht="22.5" customHeight="1">
      <c r="B38" s="48"/>
      <c r="C38" s="141" t="s">
        <v>569</v>
      </c>
      <c r="D38" s="72" t="s">
        <v>588</v>
      </c>
      <c r="E38" s="403"/>
      <c r="F38" s="403"/>
      <c r="G38" s="407"/>
      <c r="H38" s="50"/>
      <c r="J38" s="378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80"/>
    </row>
    <row r="39" spans="2:23" ht="22.5" customHeight="1">
      <c r="B39" s="48"/>
      <c r="C39" s="141" t="s">
        <v>483</v>
      </c>
      <c r="D39" s="72" t="s">
        <v>589</v>
      </c>
      <c r="E39" s="403"/>
      <c r="F39" s="403"/>
      <c r="G39" s="407"/>
      <c r="H39" s="50"/>
      <c r="J39" s="378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80"/>
    </row>
    <row r="40" spans="2:23" ht="22.5" customHeight="1">
      <c r="B40" s="48"/>
      <c r="C40" s="139" t="s">
        <v>590</v>
      </c>
      <c r="D40" s="70" t="s">
        <v>591</v>
      </c>
      <c r="E40" s="132">
        <f>SUM(E41:E46)</f>
        <v>80811.76000000001</v>
      </c>
      <c r="F40" s="132">
        <f>SUM(F41:F46)</f>
        <v>80811.76000000001</v>
      </c>
      <c r="G40" s="310">
        <f>SUM(G41:G46)</f>
        <v>80811.76000000001</v>
      </c>
      <c r="H40" s="50"/>
      <c r="J40" s="378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80"/>
    </row>
    <row r="41" spans="2:23" ht="22.5" customHeight="1">
      <c r="B41" s="48"/>
      <c r="C41" s="140" t="s">
        <v>462</v>
      </c>
      <c r="D41" s="71" t="s">
        <v>584</v>
      </c>
      <c r="E41" s="402">
        <v>63920.08</v>
      </c>
      <c r="F41" s="402">
        <v>63920.08</v>
      </c>
      <c r="G41" s="402">
        <v>63920.08</v>
      </c>
      <c r="H41" s="50"/>
      <c r="J41" s="378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79"/>
      <c r="V41" s="379"/>
      <c r="W41" s="380"/>
    </row>
    <row r="42" spans="2:23" ht="22.5" customHeight="1">
      <c r="B42" s="48"/>
      <c r="C42" s="141" t="s">
        <v>469</v>
      </c>
      <c r="D42" s="72" t="s">
        <v>592</v>
      </c>
      <c r="E42" s="403">
        <v>400</v>
      </c>
      <c r="F42" s="403">
        <v>400</v>
      </c>
      <c r="G42" s="407">
        <v>400</v>
      </c>
      <c r="H42" s="50"/>
      <c r="J42" s="1180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80"/>
    </row>
    <row r="43" spans="2:23" ht="22.5" customHeight="1">
      <c r="B43" s="48"/>
      <c r="C43" s="141" t="s">
        <v>471</v>
      </c>
      <c r="D43" s="72" t="s">
        <v>586</v>
      </c>
      <c r="E43" s="403"/>
      <c r="F43" s="403"/>
      <c r="G43" s="407"/>
      <c r="H43" s="50"/>
      <c r="J43" s="378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80"/>
    </row>
    <row r="44" spans="2:23" ht="22.5" customHeight="1">
      <c r="B44" s="48"/>
      <c r="C44" s="141" t="s">
        <v>473</v>
      </c>
      <c r="D44" s="72" t="s">
        <v>587</v>
      </c>
      <c r="E44" s="403"/>
      <c r="F44" s="403"/>
      <c r="G44" s="407"/>
      <c r="H44" s="50"/>
      <c r="J44" s="378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80"/>
    </row>
    <row r="45" spans="2:23" ht="22.5" customHeight="1">
      <c r="B45" s="48"/>
      <c r="C45" s="141" t="s">
        <v>569</v>
      </c>
      <c r="D45" s="72" t="s">
        <v>588</v>
      </c>
      <c r="E45" s="403">
        <v>16491.68</v>
      </c>
      <c r="F45" s="403">
        <v>16491.68</v>
      </c>
      <c r="G45" s="403">
        <v>16491.68</v>
      </c>
      <c r="H45" s="50"/>
      <c r="J45" s="378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80"/>
    </row>
    <row r="46" spans="2:23" ht="22.5" customHeight="1">
      <c r="B46" s="48"/>
      <c r="C46" s="141" t="s">
        <v>483</v>
      </c>
      <c r="D46" s="72" t="s">
        <v>589</v>
      </c>
      <c r="E46" s="403"/>
      <c r="F46" s="403"/>
      <c r="G46" s="407"/>
      <c r="H46" s="50"/>
      <c r="J46" s="378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80"/>
    </row>
    <row r="47" spans="2:23" ht="22.5" customHeight="1">
      <c r="B47" s="48"/>
      <c r="C47" s="139" t="s">
        <v>593</v>
      </c>
      <c r="D47" s="70" t="s">
        <v>594</v>
      </c>
      <c r="E47" s="404">
        <v>2342240.16</v>
      </c>
      <c r="F47" s="404">
        <v>11064910.49</v>
      </c>
      <c r="G47" s="408">
        <v>11675221.37</v>
      </c>
      <c r="H47" s="50"/>
      <c r="J47" s="1180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80"/>
    </row>
    <row r="48" spans="2:23" ht="22.5" customHeight="1">
      <c r="B48" s="48"/>
      <c r="C48" s="139" t="s">
        <v>595</v>
      </c>
      <c r="D48" s="70" t="s">
        <v>596</v>
      </c>
      <c r="E48" s="404">
        <v>0</v>
      </c>
      <c r="F48" s="404">
        <v>0</v>
      </c>
      <c r="G48" s="408">
        <v>0</v>
      </c>
      <c r="H48" s="50"/>
      <c r="J48" s="378"/>
      <c r="K48" s="379"/>
      <c r="L48" s="379"/>
      <c r="M48" s="379"/>
      <c r="N48" s="379"/>
      <c r="O48" s="379"/>
      <c r="P48" s="379"/>
      <c r="Q48" s="379"/>
      <c r="R48" s="379"/>
      <c r="S48" s="379"/>
      <c r="T48" s="379"/>
      <c r="U48" s="379"/>
      <c r="V48" s="379"/>
      <c r="W48" s="380"/>
    </row>
    <row r="49" spans="2:23" ht="22.5" customHeight="1">
      <c r="B49" s="48"/>
      <c r="C49" s="142"/>
      <c r="D49" s="62"/>
      <c r="E49" s="130"/>
      <c r="F49" s="130"/>
      <c r="G49" s="308"/>
      <c r="H49" s="50"/>
      <c r="J49" s="378"/>
      <c r="K49" s="379"/>
      <c r="L49" s="379"/>
      <c r="M49" s="379"/>
      <c r="N49" s="379"/>
      <c r="O49" s="379"/>
      <c r="P49" s="379"/>
      <c r="Q49" s="379"/>
      <c r="R49" s="379"/>
      <c r="S49" s="379"/>
      <c r="T49" s="379"/>
      <c r="U49" s="379"/>
      <c r="V49" s="379"/>
      <c r="W49" s="380"/>
    </row>
    <row r="50" spans="2:23" s="75" customFormat="1" ht="22.5" customHeight="1">
      <c r="B50" s="24"/>
      <c r="C50" s="138" t="s">
        <v>551</v>
      </c>
      <c r="D50" s="84" t="s">
        <v>597</v>
      </c>
      <c r="E50" s="131">
        <f>E51+E52+E65+E75+E82+E89+E90</f>
        <v>50193534.760000005</v>
      </c>
      <c r="F50" s="131">
        <f>F51+F52+F65+F75+F82+F89+F90</f>
        <v>47541121.21</v>
      </c>
      <c r="G50" s="309">
        <f>G51+G52+G65+G75+G82+G89+G90</f>
        <v>47229811.95</v>
      </c>
      <c r="H50" s="59"/>
      <c r="J50" s="378"/>
      <c r="K50" s="379"/>
      <c r="L50" s="379"/>
      <c r="M50" s="379"/>
      <c r="N50" s="379"/>
      <c r="O50" s="379"/>
      <c r="P50" s="379"/>
      <c r="Q50" s="379"/>
      <c r="R50" s="379"/>
      <c r="S50" s="379"/>
      <c r="T50" s="379"/>
      <c r="U50" s="379"/>
      <c r="V50" s="379"/>
      <c r="W50" s="380"/>
    </row>
    <row r="51" spans="2:23" ht="22.5" customHeight="1">
      <c r="B51" s="48"/>
      <c r="C51" s="139" t="s">
        <v>563</v>
      </c>
      <c r="D51" s="70" t="s">
        <v>598</v>
      </c>
      <c r="E51" s="404"/>
      <c r="F51" s="404"/>
      <c r="G51" s="408"/>
      <c r="H51" s="50"/>
      <c r="J51" s="378"/>
      <c r="K51" s="379"/>
      <c r="L51" s="379"/>
      <c r="M51" s="379"/>
      <c r="N51" s="379"/>
      <c r="O51" s="379"/>
      <c r="P51" s="379"/>
      <c r="Q51" s="379"/>
      <c r="R51" s="379"/>
      <c r="S51" s="379"/>
      <c r="T51" s="379"/>
      <c r="U51" s="379"/>
      <c r="V51" s="379"/>
      <c r="W51" s="380"/>
    </row>
    <row r="52" spans="2:23" ht="22.5" customHeight="1">
      <c r="B52" s="48"/>
      <c r="C52" s="139" t="s">
        <v>573</v>
      </c>
      <c r="D52" s="70" t="s">
        <v>599</v>
      </c>
      <c r="E52" s="132">
        <f>E53+E54+E57+E60+E63+E64</f>
        <v>1129265.22</v>
      </c>
      <c r="F52" s="132">
        <f>F53+F54+F57+F60+F63+F64</f>
        <v>1129265.22</v>
      </c>
      <c r="G52" s="310">
        <f>G53+G54+G57+G60+G63+G64</f>
        <v>1128365.22</v>
      </c>
      <c r="H52" s="50"/>
      <c r="J52" s="378"/>
      <c r="K52" s="379"/>
      <c r="L52" s="379"/>
      <c r="M52" s="379"/>
      <c r="N52" s="379"/>
      <c r="O52" s="379"/>
      <c r="P52" s="379"/>
      <c r="Q52" s="379"/>
      <c r="R52" s="379"/>
      <c r="S52" s="379"/>
      <c r="T52" s="379"/>
      <c r="U52" s="379"/>
      <c r="V52" s="379"/>
      <c r="W52" s="380"/>
    </row>
    <row r="53" spans="2:23" ht="22.5" customHeight="1">
      <c r="B53" s="48"/>
      <c r="C53" s="141" t="s">
        <v>462</v>
      </c>
      <c r="D53" s="72" t="s">
        <v>600</v>
      </c>
      <c r="E53" s="403">
        <v>13742.14</v>
      </c>
      <c r="F53" s="403">
        <v>13742.14</v>
      </c>
      <c r="G53" s="407">
        <v>12842.14</v>
      </c>
      <c r="H53" s="50"/>
      <c r="J53" s="378"/>
      <c r="K53" s="379"/>
      <c r="L53" s="379"/>
      <c r="M53" s="379"/>
      <c r="N53" s="379"/>
      <c r="O53" s="379"/>
      <c r="P53" s="379"/>
      <c r="Q53" s="379"/>
      <c r="R53" s="379"/>
      <c r="S53" s="379"/>
      <c r="T53" s="379"/>
      <c r="U53" s="379"/>
      <c r="V53" s="379"/>
      <c r="W53" s="380"/>
    </row>
    <row r="54" spans="2:23" ht="22.5" customHeight="1">
      <c r="B54" s="48"/>
      <c r="C54" s="141" t="s">
        <v>469</v>
      </c>
      <c r="D54" s="72" t="s">
        <v>601</v>
      </c>
      <c r="E54" s="134">
        <f>E55+E56</f>
        <v>890789.89</v>
      </c>
      <c r="F54" s="134">
        <f>F55+F56</f>
        <v>890789.89</v>
      </c>
      <c r="G54" s="311">
        <f>G55+G56</f>
        <v>890789.89</v>
      </c>
      <c r="H54" s="50"/>
      <c r="J54" s="378"/>
      <c r="K54" s="379"/>
      <c r="L54" s="379"/>
      <c r="M54" s="379"/>
      <c r="N54" s="379"/>
      <c r="O54" s="379"/>
      <c r="P54" s="379"/>
      <c r="Q54" s="379"/>
      <c r="R54" s="379"/>
      <c r="S54" s="379"/>
      <c r="T54" s="379"/>
      <c r="U54" s="379"/>
      <c r="V54" s="379"/>
      <c r="W54" s="380"/>
    </row>
    <row r="55" spans="2:23" ht="22.5" customHeight="1">
      <c r="B55" s="48"/>
      <c r="C55" s="144" t="s">
        <v>463</v>
      </c>
      <c r="D55" s="87" t="s">
        <v>625</v>
      </c>
      <c r="E55" s="411"/>
      <c r="F55" s="411"/>
      <c r="G55" s="651"/>
      <c r="H55" s="50"/>
      <c r="J55" s="378"/>
      <c r="K55" s="379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80"/>
    </row>
    <row r="56" spans="2:23" ht="22.5" customHeight="1">
      <c r="B56" s="48"/>
      <c r="C56" s="144" t="s">
        <v>465</v>
      </c>
      <c r="D56" s="87" t="s">
        <v>626</v>
      </c>
      <c r="E56" s="411">
        <v>890789.89</v>
      </c>
      <c r="F56" s="411">
        <v>890789.89</v>
      </c>
      <c r="G56" s="651">
        <v>890789.89</v>
      </c>
      <c r="H56" s="50"/>
      <c r="J56" s="378"/>
      <c r="K56" s="379"/>
      <c r="L56" s="379"/>
      <c r="M56" s="379"/>
      <c r="N56" s="379"/>
      <c r="O56" s="379"/>
      <c r="P56" s="379"/>
      <c r="Q56" s="379"/>
      <c r="R56" s="379"/>
      <c r="S56" s="379"/>
      <c r="T56" s="379"/>
      <c r="U56" s="379"/>
      <c r="V56" s="379"/>
      <c r="W56" s="380"/>
    </row>
    <row r="57" spans="2:23" ht="22.5" customHeight="1">
      <c r="B57" s="48"/>
      <c r="C57" s="141" t="s">
        <v>471</v>
      </c>
      <c r="D57" s="72" t="s">
        <v>602</v>
      </c>
      <c r="E57" s="134">
        <f>E58+E59</f>
        <v>66288.18</v>
      </c>
      <c r="F57" s="134">
        <f>F58+F59</f>
        <v>66288.18</v>
      </c>
      <c r="G57" s="311">
        <f>G58+G59</f>
        <v>66288.18</v>
      </c>
      <c r="H57" s="50"/>
      <c r="J57" s="378"/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80"/>
    </row>
    <row r="58" spans="2:23" ht="22.5" customHeight="1">
      <c r="B58" s="48"/>
      <c r="C58" s="144" t="s">
        <v>463</v>
      </c>
      <c r="D58" s="87" t="s">
        <v>603</v>
      </c>
      <c r="E58" s="411"/>
      <c r="F58" s="411"/>
      <c r="G58" s="651"/>
      <c r="H58" s="50"/>
      <c r="J58" s="378"/>
      <c r="K58" s="379"/>
      <c r="L58" s="379"/>
      <c r="M58" s="379"/>
      <c r="N58" s="379"/>
      <c r="O58" s="379"/>
      <c r="P58" s="379"/>
      <c r="Q58" s="379"/>
      <c r="R58" s="379"/>
      <c r="S58" s="379"/>
      <c r="T58" s="379"/>
      <c r="U58" s="379"/>
      <c r="V58" s="379"/>
      <c r="W58" s="380"/>
    </row>
    <row r="59" spans="2:23" ht="22.5" customHeight="1">
      <c r="B59" s="48"/>
      <c r="C59" s="144" t="s">
        <v>465</v>
      </c>
      <c r="D59" s="87" t="s">
        <v>604</v>
      </c>
      <c r="E59" s="411">
        <v>66288.18</v>
      </c>
      <c r="F59" s="411">
        <v>66288.18</v>
      </c>
      <c r="G59" s="651">
        <v>66288.18</v>
      </c>
      <c r="H59" s="50"/>
      <c r="J59" s="378"/>
      <c r="K59" s="379"/>
      <c r="L59" s="379"/>
      <c r="M59" s="379"/>
      <c r="N59" s="379"/>
      <c r="O59" s="379"/>
      <c r="P59" s="379"/>
      <c r="Q59" s="379"/>
      <c r="R59" s="379"/>
      <c r="S59" s="379"/>
      <c r="T59" s="379"/>
      <c r="U59" s="379"/>
      <c r="V59" s="379"/>
      <c r="W59" s="380"/>
    </row>
    <row r="60" spans="2:23" ht="22.5" customHeight="1">
      <c r="B60" s="48"/>
      <c r="C60" s="141" t="s">
        <v>473</v>
      </c>
      <c r="D60" s="72" t="s">
        <v>605</v>
      </c>
      <c r="E60" s="134">
        <f>E61+E62</f>
        <v>158445</v>
      </c>
      <c r="F60" s="134">
        <f>F61+F62</f>
        <v>158445</v>
      </c>
      <c r="G60" s="311">
        <f>G61+G62</f>
        <v>158445</v>
      </c>
      <c r="H60" s="50"/>
      <c r="J60" s="378"/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79"/>
      <c r="V60" s="379"/>
      <c r="W60" s="380"/>
    </row>
    <row r="61" spans="2:23" ht="22.5" customHeight="1">
      <c r="B61" s="48"/>
      <c r="C61" s="144" t="s">
        <v>463</v>
      </c>
      <c r="D61" s="87" t="s">
        <v>603</v>
      </c>
      <c r="E61" s="411"/>
      <c r="F61" s="411"/>
      <c r="G61" s="651"/>
      <c r="H61" s="50"/>
      <c r="J61" s="378"/>
      <c r="K61" s="379"/>
      <c r="L61" s="379"/>
      <c r="M61" s="379"/>
      <c r="N61" s="379"/>
      <c r="O61" s="379"/>
      <c r="P61" s="379"/>
      <c r="Q61" s="379"/>
      <c r="R61" s="379"/>
      <c r="S61" s="379"/>
      <c r="T61" s="379"/>
      <c r="U61" s="379"/>
      <c r="V61" s="379"/>
      <c r="W61" s="380"/>
    </row>
    <row r="62" spans="2:23" ht="22.5" customHeight="1">
      <c r="B62" s="48"/>
      <c r="C62" s="144" t="s">
        <v>465</v>
      </c>
      <c r="D62" s="87" t="s">
        <v>604</v>
      </c>
      <c r="E62" s="411">
        <v>158445</v>
      </c>
      <c r="F62" s="411">
        <v>158445</v>
      </c>
      <c r="G62" s="651">
        <v>158445</v>
      </c>
      <c r="H62" s="50"/>
      <c r="J62" s="378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80"/>
    </row>
    <row r="63" spans="2:23" ht="22.5" customHeight="1">
      <c r="B63" s="48"/>
      <c r="C63" s="141" t="s">
        <v>569</v>
      </c>
      <c r="D63" s="72" t="s">
        <v>606</v>
      </c>
      <c r="E63" s="403"/>
      <c r="F63" s="403"/>
      <c r="G63" s="407"/>
      <c r="H63" s="50"/>
      <c r="J63" s="378"/>
      <c r="K63" s="379"/>
      <c r="L63" s="379"/>
      <c r="M63" s="379"/>
      <c r="N63" s="379"/>
      <c r="O63" s="379"/>
      <c r="P63" s="379"/>
      <c r="Q63" s="379"/>
      <c r="R63" s="379"/>
      <c r="S63" s="379"/>
      <c r="T63" s="379"/>
      <c r="U63" s="379"/>
      <c r="V63" s="379"/>
      <c r="W63" s="380"/>
    </row>
    <row r="64" spans="2:23" ht="22.5" customHeight="1">
      <c r="B64" s="48"/>
      <c r="C64" s="141" t="s">
        <v>483</v>
      </c>
      <c r="D64" s="72" t="s">
        <v>607</v>
      </c>
      <c r="E64" s="403">
        <v>0.01</v>
      </c>
      <c r="F64" s="403">
        <v>0.01</v>
      </c>
      <c r="G64" s="403">
        <v>0.01</v>
      </c>
      <c r="H64" s="50"/>
      <c r="J64" s="378"/>
      <c r="K64" s="379"/>
      <c r="L64" s="379"/>
      <c r="M64" s="379"/>
      <c r="N64" s="379"/>
      <c r="O64" s="379"/>
      <c r="P64" s="379"/>
      <c r="Q64" s="379"/>
      <c r="R64" s="379"/>
      <c r="S64" s="379"/>
      <c r="T64" s="379"/>
      <c r="U64" s="379"/>
      <c r="V64" s="379"/>
      <c r="W64" s="380"/>
    </row>
    <row r="65" spans="2:23" ht="22.5" customHeight="1">
      <c r="B65" s="48"/>
      <c r="C65" s="139" t="s">
        <v>578</v>
      </c>
      <c r="D65" s="70" t="s">
        <v>608</v>
      </c>
      <c r="E65" s="132">
        <f>E66+SUM(E69:E74)</f>
        <v>13096519.2</v>
      </c>
      <c r="F65" s="132">
        <f>F66+SUM(F69:F74)</f>
        <v>12367706.07</v>
      </c>
      <c r="G65" s="310">
        <f>G66+SUM(G69:G74)</f>
        <v>12141929.47</v>
      </c>
      <c r="H65" s="50"/>
      <c r="J65" s="378"/>
      <c r="K65" s="379"/>
      <c r="L65" s="379"/>
      <c r="M65" s="379"/>
      <c r="N65" s="379"/>
      <c r="O65" s="379"/>
      <c r="P65" s="379"/>
      <c r="Q65" s="379"/>
      <c r="R65" s="379"/>
      <c r="S65" s="379"/>
      <c r="T65" s="379"/>
      <c r="U65" s="379"/>
      <c r="V65" s="379"/>
      <c r="W65" s="380"/>
    </row>
    <row r="66" spans="2:23" ht="22.5" customHeight="1">
      <c r="B66" s="48"/>
      <c r="C66" s="141" t="s">
        <v>462</v>
      </c>
      <c r="D66" s="72" t="s">
        <v>609</v>
      </c>
      <c r="E66" s="134">
        <f>E67+E68</f>
        <v>3166293.96</v>
      </c>
      <c r="F66" s="134">
        <f>F67+F68</f>
        <v>2943211.63</v>
      </c>
      <c r="G66" s="311">
        <f>G67+G68</f>
        <v>3991856.43</v>
      </c>
      <c r="H66" s="50"/>
      <c r="J66" s="378"/>
      <c r="K66" s="379"/>
      <c r="L66" s="379"/>
      <c r="M66" s="379"/>
      <c r="N66" s="379"/>
      <c r="O66" s="379"/>
      <c r="P66" s="379"/>
      <c r="Q66" s="379"/>
      <c r="R66" s="379"/>
      <c r="S66" s="379"/>
      <c r="T66" s="379"/>
      <c r="U66" s="379"/>
      <c r="V66" s="379"/>
      <c r="W66" s="380"/>
    </row>
    <row r="67" spans="2:23" ht="22.5" customHeight="1">
      <c r="B67" s="48"/>
      <c r="C67" s="144" t="s">
        <v>463</v>
      </c>
      <c r="D67" s="87" t="s">
        <v>610</v>
      </c>
      <c r="E67" s="411"/>
      <c r="F67" s="411"/>
      <c r="G67" s="651"/>
      <c r="H67" s="50"/>
      <c r="J67" s="378"/>
      <c r="K67" s="379"/>
      <c r="L67" s="379"/>
      <c r="M67" s="379"/>
      <c r="N67" s="379"/>
      <c r="O67" s="379"/>
      <c r="P67" s="379"/>
      <c r="Q67" s="379"/>
      <c r="R67" s="379"/>
      <c r="S67" s="379"/>
      <c r="T67" s="379"/>
      <c r="U67" s="379"/>
      <c r="V67" s="379"/>
      <c r="W67" s="380"/>
    </row>
    <row r="68" spans="2:23" ht="22.5" customHeight="1">
      <c r="B68" s="48"/>
      <c r="C68" s="144" t="s">
        <v>465</v>
      </c>
      <c r="D68" s="87" t="s">
        <v>611</v>
      </c>
      <c r="E68" s="411">
        <v>3166293.96</v>
      </c>
      <c r="F68" s="411">
        <v>2943211.63</v>
      </c>
      <c r="G68" s="411">
        <v>3991856.43</v>
      </c>
      <c r="H68" s="50"/>
      <c r="J68" s="378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79"/>
      <c r="V68" s="379"/>
      <c r="W68" s="380"/>
    </row>
    <row r="69" spans="2:23" ht="22.5" customHeight="1">
      <c r="B69" s="48"/>
      <c r="C69" s="141" t="s">
        <v>469</v>
      </c>
      <c r="D69" s="72" t="s">
        <v>612</v>
      </c>
      <c r="E69" s="411">
        <v>7663161.72</v>
      </c>
      <c r="F69" s="411">
        <v>6448166.21</v>
      </c>
      <c r="G69" s="411">
        <v>4757963.04</v>
      </c>
      <c r="H69" s="50"/>
      <c r="J69" s="378"/>
      <c r="K69" s="379"/>
      <c r="L69" s="379"/>
      <c r="M69" s="379"/>
      <c r="N69" s="379"/>
      <c r="O69" s="379"/>
      <c r="P69" s="379"/>
      <c r="Q69" s="379"/>
      <c r="R69" s="379"/>
      <c r="S69" s="379"/>
      <c r="T69" s="379"/>
      <c r="U69" s="379"/>
      <c r="V69" s="379"/>
      <c r="W69" s="380"/>
    </row>
    <row r="70" spans="2:23" ht="22.5" customHeight="1">
      <c r="B70" s="48"/>
      <c r="C70" s="141" t="s">
        <v>471</v>
      </c>
      <c r="D70" s="72" t="s">
        <v>613</v>
      </c>
      <c r="E70" s="411">
        <v>890863.34</v>
      </c>
      <c r="F70" s="411">
        <v>1175415.9</v>
      </c>
      <c r="G70" s="411">
        <v>1421905.31</v>
      </c>
      <c r="H70" s="50"/>
      <c r="J70" s="378"/>
      <c r="K70" s="379"/>
      <c r="L70" s="379"/>
      <c r="M70" s="379"/>
      <c r="N70" s="379"/>
      <c r="O70" s="379"/>
      <c r="P70" s="379"/>
      <c r="Q70" s="379"/>
      <c r="R70" s="379"/>
      <c r="S70" s="379"/>
      <c r="T70" s="379"/>
      <c r="U70" s="379"/>
      <c r="V70" s="379"/>
      <c r="W70" s="380"/>
    </row>
    <row r="71" spans="2:23" ht="22.5" customHeight="1">
      <c r="B71" s="48"/>
      <c r="C71" s="141" t="s">
        <v>473</v>
      </c>
      <c r="D71" s="72" t="s">
        <v>441</v>
      </c>
      <c r="E71" s="403">
        <v>3503.65</v>
      </c>
      <c r="F71" s="403">
        <v>2861.19</v>
      </c>
      <c r="G71" s="407">
        <v>2861.19</v>
      </c>
      <c r="H71" s="50"/>
      <c r="J71" s="378"/>
      <c r="K71" s="379"/>
      <c r="L71" s="379"/>
      <c r="M71" s="379"/>
      <c r="N71" s="379"/>
      <c r="O71" s="379"/>
      <c r="P71" s="379"/>
      <c r="Q71" s="379"/>
      <c r="R71" s="379"/>
      <c r="S71" s="379"/>
      <c r="T71" s="379"/>
      <c r="U71" s="379"/>
      <c r="V71" s="379"/>
      <c r="W71" s="380"/>
    </row>
    <row r="72" spans="2:23" ht="22.5" customHeight="1">
      <c r="B72" s="48"/>
      <c r="C72" s="141" t="s">
        <v>569</v>
      </c>
      <c r="D72" s="72" t="s">
        <v>614</v>
      </c>
      <c r="E72" s="403"/>
      <c r="F72" s="403"/>
      <c r="G72" s="407"/>
      <c r="H72" s="50"/>
      <c r="J72" s="378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80"/>
    </row>
    <row r="73" spans="2:23" ht="22.5" customHeight="1">
      <c r="B73" s="48"/>
      <c r="C73" s="141" t="s">
        <v>483</v>
      </c>
      <c r="D73" s="72" t="s">
        <v>615</v>
      </c>
      <c r="E73" s="403">
        <v>1372696.53</v>
      </c>
      <c r="F73" s="403">
        <v>1798051.14</v>
      </c>
      <c r="G73" s="407">
        <v>1967343.5</v>
      </c>
      <c r="H73" s="50"/>
      <c r="J73" s="378"/>
      <c r="K73" s="379"/>
      <c r="L73" s="379"/>
      <c r="M73" s="379"/>
      <c r="N73" s="379"/>
      <c r="O73" s="379"/>
      <c r="P73" s="379"/>
      <c r="Q73" s="379"/>
      <c r="R73" s="379"/>
      <c r="S73" s="379"/>
      <c r="T73" s="379"/>
      <c r="U73" s="379"/>
      <c r="V73" s="379"/>
      <c r="W73" s="380"/>
    </row>
    <row r="74" spans="2:23" ht="22.5" customHeight="1">
      <c r="B74" s="48"/>
      <c r="C74" s="141" t="s">
        <v>488</v>
      </c>
      <c r="D74" s="72" t="s">
        <v>616</v>
      </c>
      <c r="E74" s="403"/>
      <c r="F74" s="403"/>
      <c r="G74" s="407"/>
      <c r="H74" s="50"/>
      <c r="J74" s="378"/>
      <c r="K74" s="379"/>
      <c r="L74" s="379"/>
      <c r="M74" s="379"/>
      <c r="N74" s="379"/>
      <c r="O74" s="379"/>
      <c r="P74" s="379"/>
      <c r="Q74" s="379"/>
      <c r="R74" s="379"/>
      <c r="S74" s="379"/>
      <c r="T74" s="379"/>
      <c r="U74" s="379"/>
      <c r="V74" s="379"/>
      <c r="W74" s="380"/>
    </row>
    <row r="75" spans="2:23" ht="22.5" customHeight="1">
      <c r="B75" s="48"/>
      <c r="C75" s="139" t="s">
        <v>582</v>
      </c>
      <c r="D75" s="70" t="s">
        <v>617</v>
      </c>
      <c r="E75" s="132">
        <f>SUM(E76:E81)</f>
        <v>2652579.49</v>
      </c>
      <c r="F75" s="132">
        <f>SUM(F76:F81)</f>
        <v>2905263.84</v>
      </c>
      <c r="G75" s="310">
        <f>SUM(G76:G81)</f>
        <v>3265263.84</v>
      </c>
      <c r="H75" s="50"/>
      <c r="J75" s="1180">
        <f>+G75+G82+G89-F75-F82-F89</f>
        <v>-1600635.1799999997</v>
      </c>
      <c r="K75" s="379"/>
      <c r="L75" s="379"/>
      <c r="M75" s="379"/>
      <c r="N75" s="379"/>
      <c r="O75" s="379"/>
      <c r="P75" s="379"/>
      <c r="Q75" s="379"/>
      <c r="R75" s="379"/>
      <c r="S75" s="379"/>
      <c r="T75" s="379"/>
      <c r="U75" s="379"/>
      <c r="V75" s="379"/>
      <c r="W75" s="380"/>
    </row>
    <row r="76" spans="2:23" ht="22.5" customHeight="1">
      <c r="B76" s="48"/>
      <c r="C76" s="141" t="s">
        <v>462</v>
      </c>
      <c r="D76" s="72" t="s">
        <v>584</v>
      </c>
      <c r="E76" s="403"/>
      <c r="F76" s="403"/>
      <c r="G76" s="407"/>
      <c r="H76" s="50"/>
      <c r="J76" s="378"/>
      <c r="K76" s="379"/>
      <c r="L76" s="379"/>
      <c r="M76" s="379"/>
      <c r="N76" s="379"/>
      <c r="O76" s="379"/>
      <c r="P76" s="379"/>
      <c r="Q76" s="379"/>
      <c r="R76" s="379"/>
      <c r="S76" s="379"/>
      <c r="T76" s="379"/>
      <c r="U76" s="379"/>
      <c r="V76" s="379"/>
      <c r="W76" s="380"/>
    </row>
    <row r="77" spans="2:23" ht="22.5" customHeight="1">
      <c r="B77" s="48"/>
      <c r="C77" s="141" t="s">
        <v>469</v>
      </c>
      <c r="D77" s="72" t="s">
        <v>585</v>
      </c>
      <c r="E77" s="403">
        <v>2568069.87</v>
      </c>
      <c r="F77" s="403">
        <v>2568069.87</v>
      </c>
      <c r="G77" s="403">
        <v>2828069.87</v>
      </c>
      <c r="H77" s="50"/>
      <c r="J77" s="378"/>
      <c r="K77" s="379"/>
      <c r="L77" s="379"/>
      <c r="M77" s="379"/>
      <c r="N77" s="379"/>
      <c r="O77" s="379"/>
      <c r="P77" s="379"/>
      <c r="Q77" s="379"/>
      <c r="R77" s="379"/>
      <c r="S77" s="379"/>
      <c r="T77" s="379"/>
      <c r="U77" s="379"/>
      <c r="V77" s="379"/>
      <c r="W77" s="380"/>
    </row>
    <row r="78" spans="2:23" ht="22.5" customHeight="1">
      <c r="B78" s="48"/>
      <c r="C78" s="141" t="s">
        <v>471</v>
      </c>
      <c r="D78" s="72" t="s">
        <v>586</v>
      </c>
      <c r="E78" s="403"/>
      <c r="F78" s="403"/>
      <c r="G78" s="407"/>
      <c r="H78" s="50"/>
      <c r="J78" s="378"/>
      <c r="K78" s="379"/>
      <c r="L78" s="379"/>
      <c r="M78" s="379"/>
      <c r="N78" s="379"/>
      <c r="O78" s="379"/>
      <c r="P78" s="379"/>
      <c r="Q78" s="379"/>
      <c r="R78" s="379"/>
      <c r="S78" s="379"/>
      <c r="T78" s="379"/>
      <c r="U78" s="379"/>
      <c r="V78" s="379"/>
      <c r="W78" s="380"/>
    </row>
    <row r="79" spans="2:23" ht="22.5" customHeight="1">
      <c r="B79" s="48"/>
      <c r="C79" s="141" t="s">
        <v>473</v>
      </c>
      <c r="D79" s="72" t="s">
        <v>587</v>
      </c>
      <c r="E79" s="403"/>
      <c r="F79" s="403"/>
      <c r="G79" s="407"/>
      <c r="H79" s="50"/>
      <c r="J79" s="378"/>
      <c r="K79" s="379"/>
      <c r="L79" s="379"/>
      <c r="M79" s="379"/>
      <c r="N79" s="379"/>
      <c r="O79" s="379"/>
      <c r="P79" s="379"/>
      <c r="Q79" s="379"/>
      <c r="R79" s="379"/>
      <c r="S79" s="379"/>
      <c r="T79" s="379"/>
      <c r="U79" s="379"/>
      <c r="V79" s="379"/>
      <c r="W79" s="380"/>
    </row>
    <row r="80" spans="2:23" ht="22.5" customHeight="1">
      <c r="B80" s="48"/>
      <c r="C80" s="141" t="s">
        <v>569</v>
      </c>
      <c r="D80" s="72" t="s">
        <v>588</v>
      </c>
      <c r="E80" s="403">
        <v>84509.62</v>
      </c>
      <c r="F80" s="403">
        <v>337193.97</v>
      </c>
      <c r="G80" s="407">
        <v>437193.97</v>
      </c>
      <c r="H80" s="50"/>
      <c r="J80" s="378"/>
      <c r="K80" s="379"/>
      <c r="L80" s="379"/>
      <c r="M80" s="379"/>
      <c r="N80" s="379"/>
      <c r="O80" s="379"/>
      <c r="P80" s="379"/>
      <c r="Q80" s="379"/>
      <c r="R80" s="379"/>
      <c r="S80" s="379"/>
      <c r="T80" s="379"/>
      <c r="U80" s="379"/>
      <c r="V80" s="379"/>
      <c r="W80" s="380"/>
    </row>
    <row r="81" spans="2:23" ht="22.5" customHeight="1">
      <c r="B81" s="48"/>
      <c r="C81" s="141" t="s">
        <v>483</v>
      </c>
      <c r="D81" s="72" t="s">
        <v>589</v>
      </c>
      <c r="E81" s="403"/>
      <c r="F81" s="403"/>
      <c r="G81" s="407"/>
      <c r="H81" s="50"/>
      <c r="J81" s="378"/>
      <c r="K81" s="379"/>
      <c r="L81" s="379"/>
      <c r="M81" s="379"/>
      <c r="N81" s="379"/>
      <c r="O81" s="379"/>
      <c r="P81" s="379"/>
      <c r="Q81" s="379"/>
      <c r="R81" s="379"/>
      <c r="S81" s="379"/>
      <c r="T81" s="379"/>
      <c r="U81" s="379"/>
      <c r="V81" s="379"/>
      <c r="W81" s="380"/>
    </row>
    <row r="82" spans="2:23" ht="22.5" customHeight="1">
      <c r="B82" s="48"/>
      <c r="C82" s="139" t="s">
        <v>590</v>
      </c>
      <c r="D82" s="70" t="s">
        <v>618</v>
      </c>
      <c r="E82" s="132">
        <f>SUM(E83:E88)</f>
        <v>25652835.19</v>
      </c>
      <c r="F82" s="132">
        <f>SUM(F83:F88)</f>
        <v>23765306.18</v>
      </c>
      <c r="G82" s="310">
        <f>SUM(G83:G88)</f>
        <v>21814671</v>
      </c>
      <c r="H82" s="50"/>
      <c r="J82" s="378"/>
      <c r="K82" s="379"/>
      <c r="L82" s="379"/>
      <c r="M82" s="379"/>
      <c r="N82" s="379"/>
      <c r="O82" s="379"/>
      <c r="P82" s="379"/>
      <c r="Q82" s="379"/>
      <c r="R82" s="379"/>
      <c r="S82" s="379"/>
      <c r="T82" s="379"/>
      <c r="U82" s="379"/>
      <c r="V82" s="379"/>
      <c r="W82" s="380"/>
    </row>
    <row r="83" spans="2:23" ht="22.5" customHeight="1">
      <c r="B83" s="48"/>
      <c r="C83" s="141" t="s">
        <v>462</v>
      </c>
      <c r="D83" s="72" t="s">
        <v>584</v>
      </c>
      <c r="E83" s="403"/>
      <c r="F83" s="403"/>
      <c r="G83" s="407"/>
      <c r="H83" s="50"/>
      <c r="J83" s="378"/>
      <c r="K83" s="379"/>
      <c r="L83" s="379"/>
      <c r="M83" s="379"/>
      <c r="N83" s="379"/>
      <c r="O83" s="379"/>
      <c r="P83" s="379"/>
      <c r="Q83" s="379"/>
      <c r="R83" s="379"/>
      <c r="S83" s="379"/>
      <c r="T83" s="379"/>
      <c r="U83" s="379"/>
      <c r="V83" s="379"/>
      <c r="W83" s="380"/>
    </row>
    <row r="84" spans="2:23" ht="22.5" customHeight="1">
      <c r="B84" s="48"/>
      <c r="C84" s="141" t="s">
        <v>469</v>
      </c>
      <c r="D84" s="72" t="s">
        <v>585</v>
      </c>
      <c r="E84" s="403">
        <v>25641163.26</v>
      </c>
      <c r="F84" s="403">
        <v>23750182.8</v>
      </c>
      <c r="G84" s="403">
        <v>21810271</v>
      </c>
      <c r="H84" s="50"/>
      <c r="J84" s="378"/>
      <c r="K84" s="379"/>
      <c r="L84" s="379"/>
      <c r="M84" s="379"/>
      <c r="N84" s="379"/>
      <c r="O84" s="379"/>
      <c r="P84" s="379"/>
      <c r="Q84" s="379"/>
      <c r="R84" s="379"/>
      <c r="S84" s="379"/>
      <c r="T84" s="379"/>
      <c r="U84" s="379"/>
      <c r="V84" s="379"/>
      <c r="W84" s="380"/>
    </row>
    <row r="85" spans="2:23" ht="22.5" customHeight="1">
      <c r="B85" s="48"/>
      <c r="C85" s="141" t="s">
        <v>471</v>
      </c>
      <c r="D85" s="72" t="s">
        <v>586</v>
      </c>
      <c r="E85" s="403">
        <v>4400</v>
      </c>
      <c r="F85" s="403">
        <v>4400</v>
      </c>
      <c r="G85" s="403">
        <v>4400</v>
      </c>
      <c r="H85" s="50"/>
      <c r="J85" s="378"/>
      <c r="K85" s="379"/>
      <c r="L85" s="379"/>
      <c r="M85" s="379"/>
      <c r="N85" s="379"/>
      <c r="O85" s="379"/>
      <c r="P85" s="379"/>
      <c r="Q85" s="379"/>
      <c r="R85" s="379"/>
      <c r="S85" s="379"/>
      <c r="T85" s="379"/>
      <c r="U85" s="379"/>
      <c r="V85" s="379"/>
      <c r="W85" s="380"/>
    </row>
    <row r="86" spans="2:23" ht="22.5" customHeight="1">
      <c r="B86" s="48"/>
      <c r="C86" s="141" t="s">
        <v>473</v>
      </c>
      <c r="D86" s="72" t="s">
        <v>587</v>
      </c>
      <c r="E86" s="403"/>
      <c r="F86" s="403"/>
      <c r="G86" s="407"/>
      <c r="H86" s="50"/>
      <c r="J86" s="378"/>
      <c r="K86" s="379"/>
      <c r="L86" s="379"/>
      <c r="M86" s="379"/>
      <c r="N86" s="379"/>
      <c r="O86" s="379"/>
      <c r="P86" s="379"/>
      <c r="Q86" s="379"/>
      <c r="R86" s="379"/>
      <c r="S86" s="379"/>
      <c r="T86" s="379"/>
      <c r="U86" s="379"/>
      <c r="V86" s="379"/>
      <c r="W86" s="380"/>
    </row>
    <row r="87" spans="2:23" ht="22.5" customHeight="1">
      <c r="B87" s="48"/>
      <c r="C87" s="141" t="s">
        <v>569</v>
      </c>
      <c r="D87" s="72" t="s">
        <v>588</v>
      </c>
      <c r="E87" s="403">
        <v>7271.93</v>
      </c>
      <c r="F87" s="403">
        <v>10723.38</v>
      </c>
      <c r="G87" s="407">
        <v>0</v>
      </c>
      <c r="H87" s="50"/>
      <c r="J87" s="378"/>
      <c r="K87" s="379"/>
      <c r="L87" s="379"/>
      <c r="M87" s="379"/>
      <c r="N87" s="379"/>
      <c r="O87" s="379"/>
      <c r="P87" s="379"/>
      <c r="Q87" s="379"/>
      <c r="R87" s="379"/>
      <c r="S87" s="379"/>
      <c r="T87" s="379"/>
      <c r="U87" s="379"/>
      <c r="V87" s="379"/>
      <c r="W87" s="380"/>
    </row>
    <row r="88" spans="2:23" ht="22.5" customHeight="1">
      <c r="B88" s="48"/>
      <c r="C88" s="141" t="s">
        <v>483</v>
      </c>
      <c r="D88" s="72" t="s">
        <v>589</v>
      </c>
      <c r="E88" s="403"/>
      <c r="F88" s="403"/>
      <c r="G88" s="407"/>
      <c r="H88" s="50"/>
      <c r="J88" s="378"/>
      <c r="K88" s="379"/>
      <c r="L88" s="379"/>
      <c r="M88" s="379"/>
      <c r="N88" s="379"/>
      <c r="O88" s="379"/>
      <c r="P88" s="379"/>
      <c r="Q88" s="379"/>
      <c r="R88" s="379"/>
      <c r="S88" s="379"/>
      <c r="T88" s="379"/>
      <c r="U88" s="379"/>
      <c r="V88" s="379"/>
      <c r="W88" s="380"/>
    </row>
    <row r="89" spans="2:23" s="75" customFormat="1" ht="22.5" customHeight="1">
      <c r="B89" s="24"/>
      <c r="C89" s="139" t="s">
        <v>593</v>
      </c>
      <c r="D89" s="70" t="s">
        <v>619</v>
      </c>
      <c r="E89" s="404">
        <v>60000</v>
      </c>
      <c r="F89" s="404">
        <v>50000</v>
      </c>
      <c r="G89" s="404">
        <v>40000</v>
      </c>
      <c r="H89" s="59"/>
      <c r="J89" s="378"/>
      <c r="K89" s="1181"/>
      <c r="L89" s="1181"/>
      <c r="M89" s="379"/>
      <c r="N89" s="379"/>
      <c r="O89" s="379"/>
      <c r="P89" s="379"/>
      <c r="Q89" s="379"/>
      <c r="R89" s="379"/>
      <c r="S89" s="379"/>
      <c r="T89" s="379"/>
      <c r="U89" s="379"/>
      <c r="V89" s="379"/>
      <c r="W89" s="380"/>
    </row>
    <row r="90" spans="2:23" ht="22.5" customHeight="1">
      <c r="B90" s="48"/>
      <c r="C90" s="139" t="s">
        <v>595</v>
      </c>
      <c r="D90" s="70" t="s">
        <v>620</v>
      </c>
      <c r="E90" s="132">
        <f>SUM(E91:E92)</f>
        <v>7602335.66</v>
      </c>
      <c r="F90" s="132">
        <f>SUM(F91:F92)</f>
        <v>7323579.9</v>
      </c>
      <c r="G90" s="310">
        <f>SUM(G91:G92)</f>
        <v>8839582.42</v>
      </c>
      <c r="H90" s="50"/>
      <c r="J90" s="378"/>
      <c r="K90" s="1181"/>
      <c r="L90" s="1181"/>
      <c r="M90" s="379"/>
      <c r="N90" s="379"/>
      <c r="O90" s="379"/>
      <c r="P90" s="379"/>
      <c r="Q90" s="379"/>
      <c r="R90" s="379"/>
      <c r="S90" s="379"/>
      <c r="T90" s="379"/>
      <c r="U90" s="379"/>
      <c r="V90" s="379"/>
      <c r="W90" s="380"/>
    </row>
    <row r="91" spans="2:23" ht="22.5" customHeight="1">
      <c r="B91" s="48"/>
      <c r="C91" s="141" t="s">
        <v>462</v>
      </c>
      <c r="D91" s="72" t="s">
        <v>621</v>
      </c>
      <c r="E91" s="403">
        <v>7602335.66</v>
      </c>
      <c r="F91" s="403">
        <v>7323579.9</v>
      </c>
      <c r="G91" s="403">
        <v>8839582.42</v>
      </c>
      <c r="H91" s="50"/>
      <c r="J91" s="378"/>
      <c r="K91" s="379"/>
      <c r="L91" s="379"/>
      <c r="M91" s="379"/>
      <c r="N91" s="379"/>
      <c r="O91" s="379"/>
      <c r="P91" s="379"/>
      <c r="Q91" s="379"/>
      <c r="R91" s="379"/>
      <c r="S91" s="379"/>
      <c r="T91" s="379"/>
      <c r="U91" s="379"/>
      <c r="V91" s="379"/>
      <c r="W91" s="380"/>
    </row>
    <row r="92" spans="2:23" ht="22.5" customHeight="1">
      <c r="B92" s="48"/>
      <c r="C92" s="312" t="s">
        <v>469</v>
      </c>
      <c r="D92" s="313" t="s">
        <v>622</v>
      </c>
      <c r="E92" s="409"/>
      <c r="F92" s="409"/>
      <c r="G92" s="410"/>
      <c r="H92" s="50"/>
      <c r="J92" s="1180">
        <f>+'FC-4_PASIVO'!J61</f>
        <v>0</v>
      </c>
      <c r="K92" s="1181">
        <f>+J92-J91</f>
        <v>0</v>
      </c>
      <c r="L92" s="379"/>
      <c r="M92" s="379"/>
      <c r="N92" s="379"/>
      <c r="O92" s="379"/>
      <c r="P92" s="379"/>
      <c r="Q92" s="379"/>
      <c r="R92" s="379"/>
      <c r="S92" s="379"/>
      <c r="T92" s="379"/>
      <c r="U92" s="379"/>
      <c r="V92" s="379"/>
      <c r="W92" s="380"/>
    </row>
    <row r="93" spans="2:23" ht="22.5" customHeight="1">
      <c r="B93" s="48"/>
      <c r="C93" s="303"/>
      <c r="D93" s="62"/>
      <c r="E93" s="135"/>
      <c r="F93" s="135"/>
      <c r="G93" s="304"/>
      <c r="H93" s="50"/>
      <c r="J93" s="378"/>
      <c r="K93" s="379"/>
      <c r="L93" s="379"/>
      <c r="M93" s="379"/>
      <c r="N93" s="379"/>
      <c r="O93" s="379"/>
      <c r="P93" s="379"/>
      <c r="Q93" s="379"/>
      <c r="R93" s="379"/>
      <c r="S93" s="379"/>
      <c r="T93" s="379"/>
      <c r="U93" s="379"/>
      <c r="V93" s="379"/>
      <c r="W93" s="380"/>
    </row>
    <row r="94" spans="2:23" s="82" customFormat="1" ht="22.5" customHeight="1" thickBot="1">
      <c r="B94" s="80"/>
      <c r="C94" s="145" t="s">
        <v>627</v>
      </c>
      <c r="D94" s="79"/>
      <c r="E94" s="136">
        <f>E50+E16</f>
        <v>137250080.55</v>
      </c>
      <c r="F94" s="136">
        <f>F50+F16</f>
        <v>200997409.4</v>
      </c>
      <c r="G94" s="305">
        <f>G50+G16</f>
        <v>198881591.06</v>
      </c>
      <c r="H94" s="81"/>
      <c r="J94" s="378"/>
      <c r="K94" s="379"/>
      <c r="L94" s="379"/>
      <c r="M94" s="379"/>
      <c r="N94" s="379"/>
      <c r="O94" s="379"/>
      <c r="P94" s="379"/>
      <c r="Q94" s="379"/>
      <c r="R94" s="379"/>
      <c r="S94" s="379"/>
      <c r="T94" s="379"/>
      <c r="U94" s="379"/>
      <c r="V94" s="379"/>
      <c r="W94" s="380"/>
    </row>
    <row r="95" spans="2:23" ht="22.5" customHeight="1" thickBot="1">
      <c r="B95" s="52"/>
      <c r="C95" s="1239"/>
      <c r="D95" s="1239"/>
      <c r="E95" s="1239"/>
      <c r="F95" s="1239"/>
      <c r="G95" s="54"/>
      <c r="H95" s="55"/>
      <c r="J95" s="381"/>
      <c r="K95" s="382"/>
      <c r="L95" s="382"/>
      <c r="M95" s="382"/>
      <c r="N95" s="382"/>
      <c r="O95" s="382"/>
      <c r="P95" s="382"/>
      <c r="Q95" s="382"/>
      <c r="R95" s="382"/>
      <c r="S95" s="382"/>
      <c r="T95" s="382"/>
      <c r="U95" s="382"/>
      <c r="V95" s="382"/>
      <c r="W95" s="383"/>
    </row>
    <row r="96" spans="3:9" ht="22.5" customHeight="1">
      <c r="C96" s="44"/>
      <c r="D96" s="44"/>
      <c r="E96" s="44"/>
      <c r="F96" s="44"/>
      <c r="G96" s="44"/>
      <c r="I96" s="42" t="s">
        <v>154</v>
      </c>
    </row>
    <row r="97" spans="3:7" ht="12.75">
      <c r="C97" s="37" t="s">
        <v>451</v>
      </c>
      <c r="D97" s="44"/>
      <c r="E97" s="44"/>
      <c r="F97" s="44"/>
      <c r="G97" s="41" t="s">
        <v>1065</v>
      </c>
    </row>
    <row r="98" spans="3:7" ht="12.75">
      <c r="C98" s="38" t="s">
        <v>452</v>
      </c>
      <c r="D98" s="44"/>
      <c r="E98" s="44"/>
      <c r="F98" s="44"/>
      <c r="G98" s="44"/>
    </row>
    <row r="99" spans="3:7" ht="12.75">
      <c r="C99" s="38" t="s">
        <v>453</v>
      </c>
      <c r="D99" s="44"/>
      <c r="E99" s="44"/>
      <c r="F99" s="44"/>
      <c r="G99" s="44"/>
    </row>
    <row r="100" spans="3:7" ht="12.75">
      <c r="C100" s="38" t="s">
        <v>454</v>
      </c>
      <c r="D100" s="44"/>
      <c r="E100" s="44"/>
      <c r="F100" s="44"/>
      <c r="G100" s="44"/>
    </row>
    <row r="101" spans="3:7" ht="12.75">
      <c r="C101" s="38" t="s">
        <v>455</v>
      </c>
      <c r="D101" s="44"/>
      <c r="E101" s="44"/>
      <c r="F101" s="44"/>
      <c r="G101" s="44"/>
    </row>
    <row r="102" spans="3:7" ht="66" customHeight="1">
      <c r="C102" s="44"/>
      <c r="D102" s="44"/>
      <c r="E102" s="655"/>
      <c r="F102" s="653"/>
      <c r="G102" s="653"/>
    </row>
    <row r="103" spans="3:7" ht="22.5" customHeight="1">
      <c r="C103" s="44"/>
      <c r="D103" s="44"/>
      <c r="E103" s="44"/>
      <c r="F103" s="44"/>
      <c r="G103" s="44"/>
    </row>
    <row r="104" spans="3:7" ht="22.5" customHeight="1">
      <c r="C104" s="44"/>
      <c r="D104" s="44"/>
      <c r="E104" s="44"/>
      <c r="F104" s="44"/>
      <c r="G104" s="44"/>
    </row>
    <row r="105" spans="3:7" ht="22.5" customHeight="1">
      <c r="C105" s="44"/>
      <c r="D105" s="44"/>
      <c r="E105" s="44"/>
      <c r="F105" s="44"/>
      <c r="G105" s="44"/>
    </row>
    <row r="106" spans="6:7" ht="22.5" customHeight="1">
      <c r="F106" s="44"/>
      <c r="G106" s="44"/>
    </row>
  </sheetData>
  <sheetProtection password="C494" sheet="1" objects="1" scenarios="1"/>
  <mergeCells count="3">
    <mergeCell ref="G6:G7"/>
    <mergeCell ref="D9:G9"/>
    <mergeCell ref="C95:F9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8"/>
  <sheetViews>
    <sheetView zoomScale="80" zoomScaleNormal="80" zoomScalePageLayoutView="0" workbookViewId="0" topLeftCell="A26">
      <selection activeCell="J70" sqref="J70:J77"/>
    </sheetView>
  </sheetViews>
  <sheetFormatPr defaultColWidth="10.6640625" defaultRowHeight="22.5" customHeight="1"/>
  <cols>
    <col min="1" max="1" width="4.3359375" style="42" bestFit="1" customWidth="1"/>
    <col min="2" max="2" width="3.3359375" style="42" customWidth="1"/>
    <col min="3" max="3" width="13.5546875" style="42" customWidth="1"/>
    <col min="4" max="4" width="76.6640625" style="42" customWidth="1"/>
    <col min="5" max="7" width="18.3359375" style="42" customWidth="1"/>
    <col min="8" max="8" width="3.3359375" style="42" customWidth="1"/>
    <col min="9" max="16384" width="10.6640625" style="42" customWidth="1"/>
  </cols>
  <sheetData>
    <row r="1" ht="22.5" customHeight="1">
      <c r="D1" s="44"/>
    </row>
    <row r="2" ht="22.5" customHeight="1">
      <c r="D2" s="64" t="s">
        <v>410</v>
      </c>
    </row>
    <row r="3" ht="22.5" customHeight="1">
      <c r="D3" s="64" t="s">
        <v>411</v>
      </c>
    </row>
    <row r="4" ht="22.5" customHeight="1" thickBot="1">
      <c r="A4" s="42" t="s">
        <v>153</v>
      </c>
    </row>
    <row r="5" spans="2:23" ht="9" customHeight="1">
      <c r="B5" s="45"/>
      <c r="C5" s="46"/>
      <c r="D5" s="46"/>
      <c r="E5" s="46"/>
      <c r="F5" s="46"/>
      <c r="G5" s="46"/>
      <c r="H5" s="47"/>
      <c r="J5" s="362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4"/>
    </row>
    <row r="6" spans="2:23" ht="30" customHeight="1">
      <c r="B6" s="48"/>
      <c r="C6" s="1" t="s">
        <v>379</v>
      </c>
      <c r="D6" s="44"/>
      <c r="E6" s="44"/>
      <c r="F6" s="44"/>
      <c r="G6" s="1226">
        <f>ejercicio</f>
        <v>2019</v>
      </c>
      <c r="H6" s="50"/>
      <c r="J6" s="365"/>
      <c r="K6" s="366" t="s">
        <v>1067</v>
      </c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8"/>
    </row>
    <row r="7" spans="2:23" ht="30" customHeight="1">
      <c r="B7" s="48"/>
      <c r="C7" s="1" t="s">
        <v>380</v>
      </c>
      <c r="D7" s="44"/>
      <c r="E7" s="44"/>
      <c r="F7" s="44"/>
      <c r="G7" s="1226"/>
      <c r="H7" s="50"/>
      <c r="J7" s="365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8"/>
    </row>
    <row r="8" spans="2:23" ht="30" customHeight="1">
      <c r="B8" s="48"/>
      <c r="C8" s="49"/>
      <c r="D8" s="44"/>
      <c r="E8" s="44"/>
      <c r="F8" s="44"/>
      <c r="G8" s="51"/>
      <c r="H8" s="50"/>
      <c r="J8" s="365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8"/>
    </row>
    <row r="9" spans="2:23" s="58" customFormat="1" ht="30" customHeight="1">
      <c r="B9" s="56"/>
      <c r="C9" s="39" t="s">
        <v>381</v>
      </c>
      <c r="D9" s="1240" t="str">
        <f>Entidad</f>
        <v>INSTITUTO TECNOLOGICO Y DE ENERGIAS RENOVABLES S.A.</v>
      </c>
      <c r="E9" s="1240"/>
      <c r="F9" s="1240"/>
      <c r="G9" s="1240"/>
      <c r="H9" s="57"/>
      <c r="J9" s="369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1"/>
    </row>
    <row r="10" spans="2:23" ht="6.75" customHeight="1">
      <c r="B10" s="48"/>
      <c r="C10" s="44"/>
      <c r="D10" s="44"/>
      <c r="E10" s="44"/>
      <c r="F10" s="44"/>
      <c r="G10" s="44"/>
      <c r="H10" s="50"/>
      <c r="J10" s="365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8"/>
    </row>
    <row r="11" spans="2:23" s="60" customFormat="1" ht="30" customHeight="1">
      <c r="B11" s="24"/>
      <c r="C11" s="11" t="s">
        <v>629</v>
      </c>
      <c r="D11" s="11"/>
      <c r="E11" s="11"/>
      <c r="F11" s="11"/>
      <c r="G11" s="11"/>
      <c r="H11" s="59"/>
      <c r="J11" s="372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4"/>
    </row>
    <row r="12" spans="2:23" s="60" customFormat="1" ht="30" customHeight="1">
      <c r="B12" s="24"/>
      <c r="C12" s="66"/>
      <c r="D12" s="66"/>
      <c r="E12" s="66"/>
      <c r="F12" s="66"/>
      <c r="G12" s="66"/>
      <c r="H12" s="59"/>
      <c r="J12" s="372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4"/>
    </row>
    <row r="13" spans="2:23" ht="22.5" customHeight="1">
      <c r="B13" s="48"/>
      <c r="C13" s="202"/>
      <c r="D13" s="203"/>
      <c r="E13" s="204" t="s">
        <v>557</v>
      </c>
      <c r="F13" s="204" t="s">
        <v>558</v>
      </c>
      <c r="G13" s="204" t="s">
        <v>559</v>
      </c>
      <c r="H13" s="50"/>
      <c r="J13" s="365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8"/>
    </row>
    <row r="14" spans="2:23" ht="22.5" customHeight="1">
      <c r="B14" s="48"/>
      <c r="C14" s="205" t="s">
        <v>768</v>
      </c>
      <c r="D14" s="68"/>
      <c r="E14" s="206">
        <f>ejercicio-2</f>
        <v>2017</v>
      </c>
      <c r="F14" s="206">
        <f>ejercicio-1</f>
        <v>2018</v>
      </c>
      <c r="G14" s="206">
        <f>ejercicio</f>
        <v>2019</v>
      </c>
      <c r="H14" s="50"/>
      <c r="J14" s="365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8"/>
    </row>
    <row r="15" spans="2:23" ht="22.5" customHeight="1">
      <c r="B15" s="48"/>
      <c r="C15" s="137"/>
      <c r="D15" s="86"/>
      <c r="E15" s="130"/>
      <c r="F15" s="130"/>
      <c r="G15" s="130"/>
      <c r="H15" s="50"/>
      <c r="J15" s="365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8"/>
    </row>
    <row r="16" spans="2:23" ht="22.5" customHeight="1">
      <c r="B16" s="48"/>
      <c r="C16" s="138" t="s">
        <v>460</v>
      </c>
      <c r="D16" s="84" t="s">
        <v>630</v>
      </c>
      <c r="E16" s="131">
        <f>E17+E35+E41</f>
        <v>115295923.18</v>
      </c>
      <c r="F16" s="131">
        <f>F17+F35+F41</f>
        <v>150836290.39</v>
      </c>
      <c r="G16" s="131">
        <f>G17+G35+G41</f>
        <v>153563997.5</v>
      </c>
      <c r="H16" s="50"/>
      <c r="J16" s="365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8"/>
    </row>
    <row r="17" spans="2:23" ht="22.5" customHeight="1">
      <c r="B17" s="48"/>
      <c r="C17" s="139" t="s">
        <v>510</v>
      </c>
      <c r="D17" s="70" t="s">
        <v>631</v>
      </c>
      <c r="E17" s="132">
        <f>+E18+E21+E22+E27+E28+E31+E32+E33+E34</f>
        <v>105363631.46000001</v>
      </c>
      <c r="F17" s="132">
        <f>+F18+F21+F22+F27+F28+F31+F32+F33+F34</f>
        <v>140564426.19</v>
      </c>
      <c r="G17" s="132">
        <f>+G18+G21+G22+G27+G28+G31+G32+G33+G34</f>
        <v>143382685.81</v>
      </c>
      <c r="H17" s="50"/>
      <c r="J17" s="365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8"/>
    </row>
    <row r="18" spans="2:23" ht="22.5" customHeight="1">
      <c r="B18" s="48"/>
      <c r="C18" s="139" t="s">
        <v>563</v>
      </c>
      <c r="D18" s="70" t="s">
        <v>632</v>
      </c>
      <c r="E18" s="132">
        <f>SUM(E19:E20)</f>
        <v>26816139.2</v>
      </c>
      <c r="F18" s="132">
        <f>SUM(F19:F20)</f>
        <v>33935104.4</v>
      </c>
      <c r="G18" s="132">
        <f>SUM(G19:G20)</f>
        <v>32970078.7</v>
      </c>
      <c r="H18" s="50"/>
      <c r="J18" s="365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8"/>
    </row>
    <row r="19" spans="2:23" ht="22.5" customHeight="1">
      <c r="B19" s="48"/>
      <c r="C19" s="140" t="s">
        <v>462</v>
      </c>
      <c r="D19" s="71" t="s">
        <v>633</v>
      </c>
      <c r="E19" s="402">
        <v>26816139.2</v>
      </c>
      <c r="F19" s="402">
        <v>33935104.4</v>
      </c>
      <c r="G19" s="402">
        <v>32970078.7</v>
      </c>
      <c r="H19" s="50"/>
      <c r="J19" s="1219"/>
      <c r="K19" s="1220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8"/>
    </row>
    <row r="20" spans="2:23" ht="22.5" customHeight="1">
      <c r="B20" s="48"/>
      <c r="C20" s="141" t="s">
        <v>469</v>
      </c>
      <c r="D20" s="72" t="s">
        <v>634</v>
      </c>
      <c r="E20" s="403"/>
      <c r="F20" s="403"/>
      <c r="G20" s="403"/>
      <c r="H20" s="50"/>
      <c r="J20" s="365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8"/>
    </row>
    <row r="21" spans="2:23" ht="22.5" customHeight="1">
      <c r="B21" s="48"/>
      <c r="C21" s="139" t="s">
        <v>573</v>
      </c>
      <c r="D21" s="70" t="s">
        <v>635</v>
      </c>
      <c r="E21" s="404">
        <v>1608057.62</v>
      </c>
      <c r="F21" s="404">
        <v>20489013.52</v>
      </c>
      <c r="G21" s="404">
        <v>19454039.22</v>
      </c>
      <c r="H21" s="50"/>
      <c r="J21" s="1219"/>
      <c r="K21" s="1220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8"/>
    </row>
    <row r="22" spans="2:23" ht="22.5" customHeight="1">
      <c r="B22" s="48"/>
      <c r="C22" s="139" t="s">
        <v>578</v>
      </c>
      <c r="D22" s="70" t="s">
        <v>636</v>
      </c>
      <c r="E22" s="132">
        <f>SUM(E23:E26)</f>
        <v>76660247.48</v>
      </c>
      <c r="F22" s="132">
        <f>SUM(F23:F26)</f>
        <v>78941596.67</v>
      </c>
      <c r="G22" s="132">
        <f>SUM(G23:G26)</f>
        <v>88142470.3</v>
      </c>
      <c r="H22" s="50"/>
      <c r="J22" s="1219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8"/>
    </row>
    <row r="23" spans="2:23" ht="22.5" customHeight="1">
      <c r="B23" s="48"/>
      <c r="C23" s="140" t="s">
        <v>462</v>
      </c>
      <c r="D23" s="71" t="s">
        <v>637</v>
      </c>
      <c r="E23" s="402">
        <v>3276467.18</v>
      </c>
      <c r="F23" s="402">
        <f>(E32*0.1)+E23</f>
        <v>3504602.0990000004</v>
      </c>
      <c r="G23" s="402">
        <f>(F32*0.1)+F23</f>
        <v>4424689.462</v>
      </c>
      <c r="H23" s="50"/>
      <c r="J23" s="365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8"/>
    </row>
    <row r="24" spans="2:23" ht="22.5" customHeight="1">
      <c r="B24" s="48"/>
      <c r="C24" s="141" t="s">
        <v>469</v>
      </c>
      <c r="D24" s="72" t="s">
        <v>638</v>
      </c>
      <c r="E24" s="403">
        <v>73383780.3</v>
      </c>
      <c r="F24" s="403">
        <f>E24+(E32*0.9)</f>
        <v>75436994.571</v>
      </c>
      <c r="G24" s="403">
        <f>F24+(F32*0.9)</f>
        <v>83717780.838</v>
      </c>
      <c r="H24" s="50"/>
      <c r="J24" s="365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8"/>
    </row>
    <row r="25" spans="2:23" ht="22.5" customHeight="1">
      <c r="B25" s="48"/>
      <c r="C25" s="141" t="s">
        <v>471</v>
      </c>
      <c r="D25" s="72" t="s">
        <v>639</v>
      </c>
      <c r="E25" s="403"/>
      <c r="F25" s="403"/>
      <c r="G25" s="403"/>
      <c r="H25" s="50"/>
      <c r="J25" s="365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8"/>
    </row>
    <row r="26" spans="2:23" ht="22.5" customHeight="1">
      <c r="B26" s="48"/>
      <c r="C26" s="141" t="s">
        <v>473</v>
      </c>
      <c r="D26" s="72" t="s">
        <v>694</v>
      </c>
      <c r="E26" s="403"/>
      <c r="F26" s="403"/>
      <c r="G26" s="403"/>
      <c r="H26" s="50"/>
      <c r="J26" s="365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8"/>
    </row>
    <row r="27" spans="2:23" ht="22.5" customHeight="1">
      <c r="B27" s="48"/>
      <c r="C27" s="139" t="s">
        <v>582</v>
      </c>
      <c r="D27" s="70" t="s">
        <v>640</v>
      </c>
      <c r="E27" s="404">
        <v>-2000000</v>
      </c>
      <c r="F27" s="404">
        <v>-2000000</v>
      </c>
      <c r="G27" s="404">
        <v>0</v>
      </c>
      <c r="H27" s="50"/>
      <c r="J27" s="365"/>
      <c r="K27" s="1220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8"/>
    </row>
    <row r="28" spans="2:23" ht="22.5" customHeight="1">
      <c r="B28" s="48"/>
      <c r="C28" s="139" t="s">
        <v>590</v>
      </c>
      <c r="D28" s="70" t="s">
        <v>641</v>
      </c>
      <c r="E28" s="132">
        <f>SUM(E29:E30)</f>
        <v>-2162.03</v>
      </c>
      <c r="F28" s="132">
        <f>SUM(F29:F30)</f>
        <v>-2162.03</v>
      </c>
      <c r="G28" s="132">
        <f>SUM(G29:G30)</f>
        <v>-2162.03</v>
      </c>
      <c r="H28" s="50"/>
      <c r="J28" s="365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8"/>
    </row>
    <row r="29" spans="2:23" ht="22.5" customHeight="1">
      <c r="B29" s="48"/>
      <c r="C29" s="140" t="s">
        <v>462</v>
      </c>
      <c r="D29" s="71" t="s">
        <v>642</v>
      </c>
      <c r="E29" s="402"/>
      <c r="F29" s="402"/>
      <c r="G29" s="402"/>
      <c r="H29" s="50"/>
      <c r="J29" s="365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8"/>
    </row>
    <row r="30" spans="2:23" ht="22.5" customHeight="1">
      <c r="B30" s="48"/>
      <c r="C30" s="141" t="s">
        <v>469</v>
      </c>
      <c r="D30" s="72" t="s">
        <v>643</v>
      </c>
      <c r="E30" s="403">
        <v>-2162.03</v>
      </c>
      <c r="F30" s="403">
        <v>-2162.03</v>
      </c>
      <c r="G30" s="403">
        <v>-2162.03</v>
      </c>
      <c r="H30" s="50"/>
      <c r="J30" s="365"/>
      <c r="K30" s="367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7"/>
    </row>
    <row r="31" spans="2:23" ht="22.5" customHeight="1">
      <c r="B31" s="48"/>
      <c r="C31" s="139" t="s">
        <v>593</v>
      </c>
      <c r="D31" s="70" t="s">
        <v>644</v>
      </c>
      <c r="E31" s="404"/>
      <c r="F31" s="404"/>
      <c r="G31" s="404"/>
      <c r="H31" s="50"/>
      <c r="J31" s="365"/>
      <c r="K31" s="367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7"/>
    </row>
    <row r="32" spans="2:23" ht="22.5" customHeight="1">
      <c r="B32" s="48"/>
      <c r="C32" s="139" t="s">
        <v>595</v>
      </c>
      <c r="D32" s="70" t="s">
        <v>645</v>
      </c>
      <c r="E32" s="404">
        <v>2281349.19</v>
      </c>
      <c r="F32" s="404">
        <v>9200873.63</v>
      </c>
      <c r="G32" s="404">
        <v>2818259.62</v>
      </c>
      <c r="H32" s="50"/>
      <c r="J32" s="365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8"/>
    </row>
    <row r="33" spans="2:23" ht="22.5" customHeight="1">
      <c r="B33" s="48"/>
      <c r="C33" s="139" t="s">
        <v>646</v>
      </c>
      <c r="D33" s="70" t="s">
        <v>647</v>
      </c>
      <c r="E33" s="404"/>
      <c r="F33" s="404"/>
      <c r="G33" s="404"/>
      <c r="H33" s="50"/>
      <c r="J33" s="365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8"/>
    </row>
    <row r="34" spans="2:23" ht="22.5" customHeight="1">
      <c r="B34" s="48"/>
      <c r="C34" s="139" t="s">
        <v>648</v>
      </c>
      <c r="D34" s="70" t="s">
        <v>649</v>
      </c>
      <c r="E34" s="404"/>
      <c r="F34" s="404"/>
      <c r="G34" s="404"/>
      <c r="H34" s="50"/>
      <c r="J34" s="365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8"/>
    </row>
    <row r="35" spans="2:23" ht="22.5" customHeight="1">
      <c r="B35" s="48"/>
      <c r="C35" s="139" t="s">
        <v>544</v>
      </c>
      <c r="D35" s="70" t="s">
        <v>650</v>
      </c>
      <c r="E35" s="132">
        <f>SUM(E36:E40)</f>
        <v>0</v>
      </c>
      <c r="F35" s="132">
        <f>SUM(F36:F40)</f>
        <v>0</v>
      </c>
      <c r="G35" s="132">
        <f>SUM(G36:G40)</f>
        <v>0</v>
      </c>
      <c r="H35" s="50"/>
      <c r="J35" s="365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8"/>
    </row>
    <row r="36" spans="2:23" ht="22.5" customHeight="1">
      <c r="B36" s="48"/>
      <c r="C36" s="139" t="s">
        <v>563</v>
      </c>
      <c r="D36" s="70" t="s">
        <v>651</v>
      </c>
      <c r="E36" s="404"/>
      <c r="F36" s="404"/>
      <c r="G36" s="404"/>
      <c r="H36" s="50"/>
      <c r="J36" s="378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80"/>
    </row>
    <row r="37" spans="2:23" ht="22.5" customHeight="1">
      <c r="B37" s="48"/>
      <c r="C37" s="139" t="s">
        <v>573</v>
      </c>
      <c r="D37" s="70" t="s">
        <v>652</v>
      </c>
      <c r="E37" s="404"/>
      <c r="F37" s="404"/>
      <c r="G37" s="404"/>
      <c r="H37" s="50"/>
      <c r="J37" s="378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80"/>
    </row>
    <row r="38" spans="2:23" ht="22.5" customHeight="1">
      <c r="B38" s="48"/>
      <c r="C38" s="139" t="s">
        <v>578</v>
      </c>
      <c r="D38" s="70" t="s">
        <v>653</v>
      </c>
      <c r="E38" s="404"/>
      <c r="F38" s="404"/>
      <c r="G38" s="404"/>
      <c r="H38" s="50"/>
      <c r="J38" s="378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80"/>
    </row>
    <row r="39" spans="2:23" ht="22.5" customHeight="1">
      <c r="B39" s="48"/>
      <c r="C39" s="139" t="s">
        <v>582</v>
      </c>
      <c r="D39" s="70" t="s">
        <v>654</v>
      </c>
      <c r="E39" s="404"/>
      <c r="F39" s="404"/>
      <c r="G39" s="404"/>
      <c r="H39" s="50"/>
      <c r="J39" s="378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80"/>
    </row>
    <row r="40" spans="2:23" ht="22.5" customHeight="1">
      <c r="B40" s="48"/>
      <c r="C40" s="139" t="s">
        <v>590</v>
      </c>
      <c r="D40" s="70" t="s">
        <v>655</v>
      </c>
      <c r="E40" s="404"/>
      <c r="F40" s="404"/>
      <c r="G40" s="404"/>
      <c r="H40" s="50"/>
      <c r="J40" s="378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80"/>
    </row>
    <row r="41" spans="2:23" ht="22.5" customHeight="1">
      <c r="B41" s="48"/>
      <c r="C41" s="139" t="s">
        <v>546</v>
      </c>
      <c r="D41" s="70" t="s">
        <v>656</v>
      </c>
      <c r="E41" s="404">
        <v>9932291.72</v>
      </c>
      <c r="F41" s="404">
        <v>10271864.2</v>
      </c>
      <c r="G41" s="404">
        <v>10181311.69</v>
      </c>
      <c r="H41" s="50"/>
      <c r="J41" s="378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79"/>
      <c r="V41" s="379"/>
      <c r="W41" s="380"/>
    </row>
    <row r="42" spans="2:23" ht="22.5" customHeight="1">
      <c r="B42" s="48"/>
      <c r="C42" s="142"/>
      <c r="D42" s="62"/>
      <c r="E42" s="135"/>
      <c r="F42" s="135"/>
      <c r="G42" s="135"/>
      <c r="H42" s="50"/>
      <c r="J42" s="378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80"/>
    </row>
    <row r="43" spans="2:23" ht="22.5" customHeight="1">
      <c r="B43" s="48"/>
      <c r="C43" s="138" t="s">
        <v>657</v>
      </c>
      <c r="D43" s="84" t="s">
        <v>658</v>
      </c>
      <c r="E43" s="131">
        <f>E44+E49+SUM(E55:E59)</f>
        <v>13192819.28</v>
      </c>
      <c r="F43" s="131">
        <f>F44+F49+SUM(F55:F59)</f>
        <v>43657816.91</v>
      </c>
      <c r="G43" s="131">
        <f>G44+G49+SUM(G55:G59)</f>
        <v>38306200.739999995</v>
      </c>
      <c r="H43" s="50"/>
      <c r="J43" s="378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80"/>
    </row>
    <row r="44" spans="2:23" ht="22.5" customHeight="1">
      <c r="B44" s="48"/>
      <c r="C44" s="139" t="s">
        <v>563</v>
      </c>
      <c r="D44" s="70" t="s">
        <v>659</v>
      </c>
      <c r="E44" s="132">
        <f>SUM(E45:E48)</f>
        <v>28012.75</v>
      </c>
      <c r="F44" s="132">
        <f>SUM(F45:F48)</f>
        <v>29212.75</v>
      </c>
      <c r="G44" s="132">
        <f>SUM(G45:G48)</f>
        <v>30412.75</v>
      </c>
      <c r="H44" s="50"/>
      <c r="J44" s="378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80"/>
    </row>
    <row r="45" spans="2:23" ht="22.5" customHeight="1">
      <c r="B45" s="48"/>
      <c r="C45" s="140" t="s">
        <v>462</v>
      </c>
      <c r="D45" s="71" t="s">
        <v>660</v>
      </c>
      <c r="E45" s="402"/>
      <c r="F45" s="402"/>
      <c r="G45" s="402"/>
      <c r="H45" s="50"/>
      <c r="J45" s="378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80"/>
    </row>
    <row r="46" spans="2:23" ht="22.5" customHeight="1">
      <c r="B46" s="48"/>
      <c r="C46" s="141" t="s">
        <v>469</v>
      </c>
      <c r="D46" s="72" t="s">
        <v>661</v>
      </c>
      <c r="E46" s="403"/>
      <c r="F46" s="403"/>
      <c r="G46" s="403"/>
      <c r="H46" s="50"/>
      <c r="J46" s="378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80"/>
    </row>
    <row r="47" spans="2:23" ht="22.5" customHeight="1">
      <c r="B47" s="48"/>
      <c r="C47" s="141" t="s">
        <v>471</v>
      </c>
      <c r="D47" s="72" t="s">
        <v>662</v>
      </c>
      <c r="E47" s="403"/>
      <c r="F47" s="403"/>
      <c r="G47" s="403"/>
      <c r="H47" s="50"/>
      <c r="J47" s="378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80"/>
    </row>
    <row r="48" spans="2:23" ht="22.5" customHeight="1">
      <c r="B48" s="48"/>
      <c r="C48" s="141" t="s">
        <v>473</v>
      </c>
      <c r="D48" s="72" t="s">
        <v>663</v>
      </c>
      <c r="E48" s="403">
        <v>28012.75</v>
      </c>
      <c r="F48" s="403">
        <v>29212.75</v>
      </c>
      <c r="G48" s="403">
        <v>30412.75</v>
      </c>
      <c r="H48" s="50"/>
      <c r="J48" s="378"/>
      <c r="K48" s="379"/>
      <c r="L48" s="379"/>
      <c r="M48" s="379"/>
      <c r="N48" s="379"/>
      <c r="O48" s="379"/>
      <c r="P48" s="379"/>
      <c r="Q48" s="379"/>
      <c r="R48" s="379"/>
      <c r="S48" s="379"/>
      <c r="T48" s="379"/>
      <c r="U48" s="379"/>
      <c r="V48" s="379"/>
      <c r="W48" s="380"/>
    </row>
    <row r="49" spans="2:23" ht="22.5" customHeight="1">
      <c r="B49" s="48"/>
      <c r="C49" s="139" t="s">
        <v>573</v>
      </c>
      <c r="D49" s="70" t="s">
        <v>664</v>
      </c>
      <c r="E49" s="132">
        <f>SUM(E50:E54)</f>
        <v>9615257.69</v>
      </c>
      <c r="F49" s="132">
        <f>SUM(F50:F54)</f>
        <v>39991753.18</v>
      </c>
      <c r="G49" s="132">
        <f>SUM(G50:G54)</f>
        <v>34690750.489999995</v>
      </c>
      <c r="H49" s="50"/>
      <c r="J49" s="378"/>
      <c r="K49" s="379"/>
      <c r="L49" s="379"/>
      <c r="M49" s="379"/>
      <c r="N49" s="379"/>
      <c r="O49" s="379"/>
      <c r="P49" s="379"/>
      <c r="Q49" s="379"/>
      <c r="R49" s="379"/>
      <c r="S49" s="379"/>
      <c r="T49" s="379"/>
      <c r="U49" s="379"/>
      <c r="V49" s="379"/>
      <c r="W49" s="380"/>
    </row>
    <row r="50" spans="2:23" ht="22.5" customHeight="1">
      <c r="B50" s="48"/>
      <c r="C50" s="140" t="s">
        <v>462</v>
      </c>
      <c r="D50" s="71" t="s">
        <v>665</v>
      </c>
      <c r="E50" s="402"/>
      <c r="F50" s="402"/>
      <c r="G50" s="402"/>
      <c r="H50" s="50"/>
      <c r="J50" s="378"/>
      <c r="K50" s="379"/>
      <c r="L50" s="379"/>
      <c r="M50" s="379"/>
      <c r="N50" s="379"/>
      <c r="O50" s="379"/>
      <c r="P50" s="379"/>
      <c r="Q50" s="379"/>
      <c r="R50" s="379"/>
      <c r="S50" s="379"/>
      <c r="T50" s="379"/>
      <c r="U50" s="379"/>
      <c r="V50" s="379"/>
      <c r="W50" s="380"/>
    </row>
    <row r="51" spans="2:23" s="75" customFormat="1" ht="22.5" customHeight="1">
      <c r="B51" s="24"/>
      <c r="C51" s="141" t="s">
        <v>469</v>
      </c>
      <c r="D51" s="72" t="s">
        <v>666</v>
      </c>
      <c r="E51" s="403">
        <v>9459626.16</v>
      </c>
      <c r="F51" s="403">
        <v>39916625.79</v>
      </c>
      <c r="G51" s="403">
        <v>34622636.44</v>
      </c>
      <c r="H51" s="59"/>
      <c r="J51" s="378"/>
      <c r="K51" s="379"/>
      <c r="L51" s="379"/>
      <c r="M51" s="379"/>
      <c r="N51" s="379"/>
      <c r="O51" s="379"/>
      <c r="P51" s="379"/>
      <c r="Q51" s="379"/>
      <c r="R51" s="379"/>
      <c r="S51" s="379"/>
      <c r="T51" s="379"/>
      <c r="U51" s="379"/>
      <c r="V51" s="379"/>
      <c r="W51" s="380"/>
    </row>
    <row r="52" spans="2:23" ht="22.5" customHeight="1">
      <c r="B52" s="48"/>
      <c r="C52" s="141" t="s">
        <v>471</v>
      </c>
      <c r="D52" s="72" t="s">
        <v>667</v>
      </c>
      <c r="E52" s="403"/>
      <c r="F52" s="403"/>
      <c r="G52" s="403"/>
      <c r="H52" s="50"/>
      <c r="J52" s="378"/>
      <c r="K52" s="379"/>
      <c r="L52" s="379"/>
      <c r="M52" s="379"/>
      <c r="N52" s="379"/>
      <c r="O52" s="379"/>
      <c r="P52" s="379"/>
      <c r="Q52" s="379"/>
      <c r="R52" s="379"/>
      <c r="S52" s="379"/>
      <c r="T52" s="379"/>
      <c r="U52" s="379"/>
      <c r="V52" s="379"/>
      <c r="W52" s="380"/>
    </row>
    <row r="53" spans="2:23" ht="22.5" customHeight="1">
      <c r="B53" s="48"/>
      <c r="C53" s="141" t="s">
        <v>473</v>
      </c>
      <c r="D53" s="72" t="s">
        <v>587</v>
      </c>
      <c r="E53" s="403"/>
      <c r="F53" s="403"/>
      <c r="G53" s="403"/>
      <c r="H53" s="50"/>
      <c r="J53" s="378"/>
      <c r="K53" s="379"/>
      <c r="L53" s="379"/>
      <c r="M53" s="379"/>
      <c r="N53" s="379"/>
      <c r="O53" s="379"/>
      <c r="P53" s="379"/>
      <c r="Q53" s="379"/>
      <c r="R53" s="379"/>
      <c r="S53" s="379"/>
      <c r="T53" s="379"/>
      <c r="U53" s="379"/>
      <c r="V53" s="379"/>
      <c r="W53" s="380"/>
    </row>
    <row r="54" spans="2:23" ht="22.5" customHeight="1">
      <c r="B54" s="48"/>
      <c r="C54" s="141" t="s">
        <v>569</v>
      </c>
      <c r="D54" s="72" t="s">
        <v>668</v>
      </c>
      <c r="E54" s="403">
        <v>155631.53</v>
      </c>
      <c r="F54" s="403">
        <v>75127.39</v>
      </c>
      <c r="G54" s="403">
        <v>68114.05</v>
      </c>
      <c r="H54" s="50"/>
      <c r="J54" s="378"/>
      <c r="K54" s="379"/>
      <c r="L54" s="379"/>
      <c r="M54" s="379"/>
      <c r="N54" s="379"/>
      <c r="O54" s="379"/>
      <c r="P54" s="379"/>
      <c r="Q54" s="379"/>
      <c r="R54" s="379"/>
      <c r="S54" s="379"/>
      <c r="T54" s="379"/>
      <c r="U54" s="379"/>
      <c r="V54" s="379"/>
      <c r="W54" s="380"/>
    </row>
    <row r="55" spans="2:23" ht="22.5" customHeight="1">
      <c r="B55" s="48"/>
      <c r="C55" s="139" t="s">
        <v>578</v>
      </c>
      <c r="D55" s="70" t="s">
        <v>669</v>
      </c>
      <c r="E55" s="404"/>
      <c r="F55" s="404"/>
      <c r="G55" s="404"/>
      <c r="H55" s="50"/>
      <c r="J55" s="378"/>
      <c r="K55" s="379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80"/>
    </row>
    <row r="56" spans="2:23" ht="22.5" customHeight="1">
      <c r="B56" s="48"/>
      <c r="C56" s="139" t="s">
        <v>582</v>
      </c>
      <c r="D56" s="70" t="s">
        <v>670</v>
      </c>
      <c r="E56" s="404">
        <v>3549548.84</v>
      </c>
      <c r="F56" s="404">
        <v>3636850.98</v>
      </c>
      <c r="G56" s="404">
        <v>3585037.5</v>
      </c>
      <c r="H56" s="50"/>
      <c r="J56" s="378"/>
      <c r="K56" s="379"/>
      <c r="L56" s="379"/>
      <c r="M56" s="379"/>
      <c r="N56" s="379"/>
      <c r="O56" s="379"/>
      <c r="P56" s="379"/>
      <c r="Q56" s="379"/>
      <c r="R56" s="379"/>
      <c r="S56" s="379"/>
      <c r="T56" s="379"/>
      <c r="U56" s="379"/>
      <c r="V56" s="379"/>
      <c r="W56" s="380"/>
    </row>
    <row r="57" spans="2:23" ht="22.5" customHeight="1">
      <c r="B57" s="48"/>
      <c r="C57" s="139" t="s">
        <v>590</v>
      </c>
      <c r="D57" s="70" t="s">
        <v>671</v>
      </c>
      <c r="E57" s="404">
        <v>0</v>
      </c>
      <c r="F57" s="404">
        <v>0</v>
      </c>
      <c r="G57" s="404">
        <v>0</v>
      </c>
      <c r="H57" s="50"/>
      <c r="J57" s="378"/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80"/>
    </row>
    <row r="58" spans="2:23" ht="22.5" customHeight="1">
      <c r="B58" s="48"/>
      <c r="C58" s="139" t="s">
        <v>593</v>
      </c>
      <c r="D58" s="70" t="s">
        <v>672</v>
      </c>
      <c r="E58" s="404"/>
      <c r="F58" s="404"/>
      <c r="G58" s="404"/>
      <c r="H58" s="50"/>
      <c r="J58" s="378"/>
      <c r="K58" s="379"/>
      <c r="L58" s="379"/>
      <c r="M58" s="379"/>
      <c r="N58" s="379"/>
      <c r="O58" s="379"/>
      <c r="P58" s="379"/>
      <c r="Q58" s="379"/>
      <c r="R58" s="379"/>
      <c r="S58" s="379"/>
      <c r="T58" s="379"/>
      <c r="U58" s="379"/>
      <c r="V58" s="379"/>
      <c r="W58" s="380"/>
    </row>
    <row r="59" spans="2:23" ht="22.5" customHeight="1">
      <c r="B59" s="48"/>
      <c r="C59" s="139" t="s">
        <v>595</v>
      </c>
      <c r="D59" s="70" t="s">
        <v>673</v>
      </c>
      <c r="E59" s="404"/>
      <c r="F59" s="404"/>
      <c r="G59" s="404"/>
      <c r="H59" s="50"/>
      <c r="J59" s="378"/>
      <c r="K59" s="379"/>
      <c r="L59" s="379"/>
      <c r="M59" s="379"/>
      <c r="N59" s="379"/>
      <c r="O59" s="379"/>
      <c r="P59" s="379"/>
      <c r="Q59" s="379"/>
      <c r="R59" s="379"/>
      <c r="S59" s="379"/>
      <c r="T59" s="379"/>
      <c r="U59" s="379"/>
      <c r="V59" s="379"/>
      <c r="W59" s="380"/>
    </row>
    <row r="60" spans="2:23" ht="22.5" customHeight="1">
      <c r="B60" s="48"/>
      <c r="C60" s="143"/>
      <c r="D60" s="1"/>
      <c r="E60" s="135"/>
      <c r="F60" s="135"/>
      <c r="G60" s="135"/>
      <c r="H60" s="50"/>
      <c r="J60" s="378"/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79"/>
      <c r="V60" s="379"/>
      <c r="W60" s="380"/>
    </row>
    <row r="61" spans="2:23" ht="22.5" customHeight="1">
      <c r="B61" s="48"/>
      <c r="C61" s="138" t="s">
        <v>674</v>
      </c>
      <c r="D61" s="84" t="s">
        <v>675</v>
      </c>
      <c r="E61" s="131">
        <f>E62+E63+E66+E72+E73+E83+E84</f>
        <v>8761338.09</v>
      </c>
      <c r="F61" s="131">
        <f>F62+F63+F66+F72+F73+F83+F84</f>
        <v>6503302.100000001</v>
      </c>
      <c r="G61" s="131">
        <f>G62+G63+G66+G72+G73+G83+G84</f>
        <v>7011392.819999999</v>
      </c>
      <c r="H61" s="50"/>
      <c r="J61" s="378"/>
      <c r="K61" s="379"/>
      <c r="L61" s="379"/>
      <c r="M61" s="379"/>
      <c r="N61" s="379"/>
      <c r="O61" s="379"/>
      <c r="P61" s="379"/>
      <c r="Q61" s="379"/>
      <c r="R61" s="379"/>
      <c r="S61" s="379"/>
      <c r="T61" s="379"/>
      <c r="U61" s="379"/>
      <c r="V61" s="379"/>
      <c r="W61" s="380"/>
    </row>
    <row r="62" spans="2:23" ht="22.5" customHeight="1">
      <c r="B62" s="48"/>
      <c r="C62" s="139" t="s">
        <v>563</v>
      </c>
      <c r="D62" s="70" t="s">
        <v>676</v>
      </c>
      <c r="E62" s="404"/>
      <c r="F62" s="404"/>
      <c r="G62" s="404"/>
      <c r="H62" s="50"/>
      <c r="J62" s="378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80"/>
    </row>
    <row r="63" spans="2:23" ht="22.5" customHeight="1">
      <c r="B63" s="48"/>
      <c r="C63" s="139" t="s">
        <v>573</v>
      </c>
      <c r="D63" s="70" t="s">
        <v>677</v>
      </c>
      <c r="E63" s="132">
        <f>SUM(E64:E65)</f>
        <v>0</v>
      </c>
      <c r="F63" s="132">
        <f>SUM(F64:F65)</f>
        <v>0</v>
      </c>
      <c r="G63" s="132">
        <f>SUM(G64:G65)</f>
        <v>0</v>
      </c>
      <c r="H63" s="50"/>
      <c r="J63" s="378"/>
      <c r="K63" s="379"/>
      <c r="L63" s="379"/>
      <c r="M63" s="379"/>
      <c r="N63" s="379"/>
      <c r="O63" s="379"/>
      <c r="P63" s="379"/>
      <c r="Q63" s="379"/>
      <c r="R63" s="379"/>
      <c r="S63" s="379"/>
      <c r="T63" s="379"/>
      <c r="U63" s="379"/>
      <c r="V63" s="379"/>
      <c r="W63" s="380"/>
    </row>
    <row r="64" spans="2:23" ht="22.5" customHeight="1">
      <c r="B64" s="48"/>
      <c r="C64" s="140" t="s">
        <v>462</v>
      </c>
      <c r="D64" s="71" t="s">
        <v>678</v>
      </c>
      <c r="E64" s="402"/>
      <c r="F64" s="402"/>
      <c r="G64" s="402"/>
      <c r="H64" s="50"/>
      <c r="J64" s="378"/>
      <c r="K64" s="379"/>
      <c r="L64" s="379"/>
      <c r="M64" s="379"/>
      <c r="N64" s="379"/>
      <c r="O64" s="379"/>
      <c r="P64" s="379"/>
      <c r="Q64" s="379"/>
      <c r="R64" s="379"/>
      <c r="S64" s="379"/>
      <c r="T64" s="379"/>
      <c r="U64" s="379"/>
      <c r="V64" s="379"/>
      <c r="W64" s="380"/>
    </row>
    <row r="65" spans="2:23" ht="22.5" customHeight="1">
      <c r="B65" s="48"/>
      <c r="C65" s="141" t="s">
        <v>469</v>
      </c>
      <c r="D65" s="72" t="s">
        <v>663</v>
      </c>
      <c r="E65" s="403"/>
      <c r="F65" s="403"/>
      <c r="G65" s="403"/>
      <c r="H65" s="50"/>
      <c r="J65" s="378"/>
      <c r="K65" s="379"/>
      <c r="L65" s="379"/>
      <c r="M65" s="379"/>
      <c r="N65" s="379"/>
      <c r="O65" s="379"/>
      <c r="P65" s="379"/>
      <c r="Q65" s="379"/>
      <c r="R65" s="379"/>
      <c r="S65" s="379"/>
      <c r="T65" s="379"/>
      <c r="U65" s="379"/>
      <c r="V65" s="379"/>
      <c r="W65" s="380"/>
    </row>
    <row r="66" spans="2:23" ht="22.5" customHeight="1">
      <c r="B66" s="48"/>
      <c r="C66" s="139" t="s">
        <v>578</v>
      </c>
      <c r="D66" s="70" t="s">
        <v>679</v>
      </c>
      <c r="E66" s="132">
        <f>SUM(E67:E71)</f>
        <v>4899044.57</v>
      </c>
      <c r="F66" s="132">
        <f>SUM(F67:F71)</f>
        <v>4358359.94</v>
      </c>
      <c r="G66" s="132">
        <f>SUM(G67:G71)</f>
        <v>5529228.8</v>
      </c>
      <c r="H66" s="50"/>
      <c r="J66" s="378"/>
      <c r="K66" s="379"/>
      <c r="L66" s="379"/>
      <c r="M66" s="379"/>
      <c r="N66" s="379"/>
      <c r="O66" s="379"/>
      <c r="P66" s="379"/>
      <c r="Q66" s="379"/>
      <c r="R66" s="379"/>
      <c r="S66" s="379"/>
      <c r="T66" s="379"/>
      <c r="U66" s="379"/>
      <c r="V66" s="379"/>
      <c r="W66" s="380"/>
    </row>
    <row r="67" spans="2:23" ht="22.5" customHeight="1">
      <c r="B67" s="48"/>
      <c r="C67" s="140" t="s">
        <v>462</v>
      </c>
      <c r="D67" s="71" t="s">
        <v>680</v>
      </c>
      <c r="E67" s="402"/>
      <c r="F67" s="402"/>
      <c r="G67" s="402"/>
      <c r="H67" s="50"/>
      <c r="J67" s="378"/>
      <c r="K67" s="379"/>
      <c r="L67" s="379"/>
      <c r="M67" s="379"/>
      <c r="N67" s="379"/>
      <c r="O67" s="379"/>
      <c r="P67" s="379"/>
      <c r="Q67" s="379"/>
      <c r="R67" s="379"/>
      <c r="S67" s="379"/>
      <c r="T67" s="379"/>
      <c r="U67" s="379"/>
      <c r="V67" s="379"/>
      <c r="W67" s="380"/>
    </row>
    <row r="68" spans="2:23" ht="22.5" customHeight="1">
      <c r="B68" s="48"/>
      <c r="C68" s="141" t="s">
        <v>469</v>
      </c>
      <c r="D68" s="72" t="s">
        <v>666</v>
      </c>
      <c r="E68" s="403">
        <v>1650148.75</v>
      </c>
      <c r="F68" s="403">
        <v>4309393.32</v>
      </c>
      <c r="G68" s="403">
        <v>5293989.33</v>
      </c>
      <c r="H68" s="50"/>
      <c r="J68" s="378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79"/>
      <c r="V68" s="379"/>
      <c r="W68" s="380"/>
    </row>
    <row r="69" spans="2:23" ht="22.5" customHeight="1">
      <c r="B69" s="48"/>
      <c r="C69" s="141" t="s">
        <v>471</v>
      </c>
      <c r="D69" s="72" t="s">
        <v>667</v>
      </c>
      <c r="E69" s="403"/>
      <c r="F69" s="403"/>
      <c r="G69" s="403"/>
      <c r="H69" s="50"/>
      <c r="J69" s="378"/>
      <c r="K69" s="379"/>
      <c r="L69" s="379"/>
      <c r="M69" s="379"/>
      <c r="N69" s="379"/>
      <c r="O69" s="379"/>
      <c r="P69" s="379"/>
      <c r="Q69" s="379"/>
      <c r="R69" s="379"/>
      <c r="S69" s="379"/>
      <c r="T69" s="379"/>
      <c r="U69" s="379"/>
      <c r="V69" s="379"/>
      <c r="W69" s="380"/>
    </row>
    <row r="70" spans="2:23" ht="22.5" customHeight="1">
      <c r="B70" s="48"/>
      <c r="C70" s="141" t="s">
        <v>473</v>
      </c>
      <c r="D70" s="72" t="s">
        <v>587</v>
      </c>
      <c r="E70" s="403"/>
      <c r="F70" s="403"/>
      <c r="G70" s="403"/>
      <c r="H70" s="50"/>
      <c r="J70" s="378"/>
      <c r="K70" s="379"/>
      <c r="L70" s="379"/>
      <c r="M70" s="379"/>
      <c r="N70" s="379"/>
      <c r="O70" s="379"/>
      <c r="P70" s="379"/>
      <c r="Q70" s="379"/>
      <c r="R70" s="379"/>
      <c r="S70" s="379"/>
      <c r="T70" s="379"/>
      <c r="U70" s="379"/>
      <c r="V70" s="379"/>
      <c r="W70" s="380"/>
    </row>
    <row r="71" spans="2:23" ht="22.5" customHeight="1">
      <c r="B71" s="48"/>
      <c r="C71" s="141" t="s">
        <v>569</v>
      </c>
      <c r="D71" s="72" t="s">
        <v>668</v>
      </c>
      <c r="E71" s="403">
        <v>3248895.82</v>
      </c>
      <c r="F71" s="403">
        <v>48966.62</v>
      </c>
      <c r="G71" s="403">
        <v>235239.47</v>
      </c>
      <c r="H71" s="50"/>
      <c r="J71" s="378"/>
      <c r="K71" s="379"/>
      <c r="L71" s="379"/>
      <c r="M71" s="379"/>
      <c r="N71" s="379"/>
      <c r="O71" s="379"/>
      <c r="P71" s="379"/>
      <c r="Q71" s="379"/>
      <c r="R71" s="379"/>
      <c r="S71" s="379"/>
      <c r="T71" s="379"/>
      <c r="U71" s="379"/>
      <c r="V71" s="379"/>
      <c r="W71" s="380"/>
    </row>
    <row r="72" spans="2:23" ht="22.5" customHeight="1">
      <c r="B72" s="48"/>
      <c r="C72" s="139" t="s">
        <v>582</v>
      </c>
      <c r="D72" s="70" t="s">
        <v>681</v>
      </c>
      <c r="E72" s="404">
        <v>860063.62</v>
      </c>
      <c r="F72" s="404">
        <v>297518.55</v>
      </c>
      <c r="G72" s="404">
        <v>497518.55</v>
      </c>
      <c r="H72" s="50"/>
      <c r="J72" s="378"/>
      <c r="K72" s="1181"/>
      <c r="L72" s="1181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80"/>
    </row>
    <row r="73" spans="2:23" ht="22.5" customHeight="1">
      <c r="B73" s="48"/>
      <c r="C73" s="139" t="s">
        <v>590</v>
      </c>
      <c r="D73" s="70" t="s">
        <v>682</v>
      </c>
      <c r="E73" s="132">
        <f>E74+SUM(E77:E82)</f>
        <v>2364450.15</v>
      </c>
      <c r="F73" s="132">
        <f>F74+SUM(F77:F82)</f>
        <v>1538853.1500000001</v>
      </c>
      <c r="G73" s="132">
        <f>G74+SUM(G77:G82)</f>
        <v>916764.2000000001</v>
      </c>
      <c r="H73" s="50"/>
      <c r="J73" s="378"/>
      <c r="K73" s="1181"/>
      <c r="L73" s="1181"/>
      <c r="M73" s="379"/>
      <c r="N73" s="379"/>
      <c r="O73" s="379"/>
      <c r="P73" s="379"/>
      <c r="Q73" s="379"/>
      <c r="R73" s="379"/>
      <c r="S73" s="379"/>
      <c r="T73" s="379"/>
      <c r="U73" s="379"/>
      <c r="V73" s="379"/>
      <c r="W73" s="380"/>
    </row>
    <row r="74" spans="2:23" ht="22.5" customHeight="1">
      <c r="B74" s="48"/>
      <c r="C74" s="141" t="s">
        <v>462</v>
      </c>
      <c r="D74" s="72" t="s">
        <v>683</v>
      </c>
      <c r="E74" s="134">
        <f>SUM(E75:E76)</f>
        <v>5576.28</v>
      </c>
      <c r="F74" s="134">
        <f>SUM(F75:F76)</f>
        <v>5888.95</v>
      </c>
      <c r="G74" s="134">
        <f>SUM(G75:G76)</f>
        <v>0</v>
      </c>
      <c r="H74" s="50"/>
      <c r="J74" s="378"/>
      <c r="K74" s="379"/>
      <c r="L74" s="379"/>
      <c r="M74" s="379"/>
      <c r="N74" s="379"/>
      <c r="O74" s="379"/>
      <c r="P74" s="379"/>
      <c r="Q74" s="379"/>
      <c r="R74" s="379"/>
      <c r="S74" s="379"/>
      <c r="T74" s="379"/>
      <c r="U74" s="379"/>
      <c r="V74" s="379"/>
      <c r="W74" s="380"/>
    </row>
    <row r="75" spans="2:23" ht="22.5" customHeight="1">
      <c r="B75" s="48"/>
      <c r="C75" s="144" t="s">
        <v>463</v>
      </c>
      <c r="D75" s="87" t="s">
        <v>684</v>
      </c>
      <c r="E75" s="411"/>
      <c r="F75" s="411"/>
      <c r="G75" s="411"/>
      <c r="H75" s="50"/>
      <c r="J75" s="378"/>
      <c r="K75" s="379"/>
      <c r="L75" s="379"/>
      <c r="M75" s="379"/>
      <c r="N75" s="379"/>
      <c r="O75" s="379"/>
      <c r="P75" s="379"/>
      <c r="Q75" s="379"/>
      <c r="R75" s="379"/>
      <c r="S75" s="379"/>
      <c r="T75" s="379"/>
      <c r="U75" s="379"/>
      <c r="V75" s="379"/>
      <c r="W75" s="380"/>
    </row>
    <row r="76" spans="2:23" ht="22.5" customHeight="1">
      <c r="B76" s="48"/>
      <c r="C76" s="144" t="s">
        <v>465</v>
      </c>
      <c r="D76" s="87" t="s">
        <v>685</v>
      </c>
      <c r="E76" s="411">
        <v>5576.28</v>
      </c>
      <c r="F76" s="411">
        <v>5888.95</v>
      </c>
      <c r="G76" s="411">
        <v>0</v>
      </c>
      <c r="H76" s="50"/>
      <c r="J76" s="378"/>
      <c r="K76" s="379"/>
      <c r="L76" s="379"/>
      <c r="M76" s="379"/>
      <c r="N76" s="379"/>
      <c r="O76" s="379"/>
      <c r="P76" s="379"/>
      <c r="Q76" s="379"/>
      <c r="R76" s="379"/>
      <c r="S76" s="379"/>
      <c r="T76" s="379"/>
      <c r="U76" s="379"/>
      <c r="V76" s="379"/>
      <c r="W76" s="380"/>
    </row>
    <row r="77" spans="2:23" ht="22.5" customHeight="1">
      <c r="B77" s="48"/>
      <c r="C77" s="141" t="s">
        <v>469</v>
      </c>
      <c r="D77" s="72" t="s">
        <v>686</v>
      </c>
      <c r="E77" s="403"/>
      <c r="F77" s="403"/>
      <c r="G77" s="403"/>
      <c r="H77" s="50"/>
      <c r="J77" s="378"/>
      <c r="K77" s="379"/>
      <c r="L77" s="379"/>
      <c r="M77" s="379"/>
      <c r="N77" s="379"/>
      <c r="O77" s="379"/>
      <c r="P77" s="379"/>
      <c r="Q77" s="379"/>
      <c r="R77" s="379"/>
      <c r="S77" s="379"/>
      <c r="T77" s="379"/>
      <c r="U77" s="379"/>
      <c r="V77" s="379"/>
      <c r="W77" s="380"/>
    </row>
    <row r="78" spans="2:23" ht="22.5" customHeight="1">
      <c r="B78" s="48"/>
      <c r="C78" s="141" t="s">
        <v>471</v>
      </c>
      <c r="D78" s="72" t="s">
        <v>687</v>
      </c>
      <c r="E78" s="403">
        <v>2164729.64</v>
      </c>
      <c r="F78" s="403">
        <v>1334076.86</v>
      </c>
      <c r="G78" s="403">
        <v>814076.86</v>
      </c>
      <c r="H78" s="50"/>
      <c r="J78" s="378"/>
      <c r="K78" s="379"/>
      <c r="L78" s="379"/>
      <c r="M78" s="379"/>
      <c r="N78" s="379"/>
      <c r="O78" s="379"/>
      <c r="P78" s="379"/>
      <c r="Q78" s="379"/>
      <c r="R78" s="379"/>
      <c r="S78" s="379"/>
      <c r="T78" s="379"/>
      <c r="U78" s="379"/>
      <c r="V78" s="379"/>
      <c r="W78" s="380"/>
    </row>
    <row r="79" spans="2:23" ht="22.5" customHeight="1">
      <c r="B79" s="48"/>
      <c r="C79" s="141" t="s">
        <v>473</v>
      </c>
      <c r="D79" s="72" t="s">
        <v>688</v>
      </c>
      <c r="E79" s="403">
        <v>5878.62</v>
      </c>
      <c r="F79" s="403">
        <v>5625.31</v>
      </c>
      <c r="G79" s="403">
        <v>4425.31</v>
      </c>
      <c r="H79" s="50"/>
      <c r="J79" s="378"/>
      <c r="K79" s="379"/>
      <c r="L79" s="379"/>
      <c r="M79" s="379"/>
      <c r="N79" s="379"/>
      <c r="O79" s="379"/>
      <c r="P79" s="379"/>
      <c r="Q79" s="379"/>
      <c r="R79" s="379"/>
      <c r="S79" s="379"/>
      <c r="T79" s="379"/>
      <c r="U79" s="379"/>
      <c r="V79" s="379"/>
      <c r="W79" s="380"/>
    </row>
    <row r="80" spans="2:23" ht="22.5" customHeight="1">
      <c r="B80" s="48"/>
      <c r="C80" s="141" t="s">
        <v>569</v>
      </c>
      <c r="D80" s="72" t="s">
        <v>689</v>
      </c>
      <c r="E80" s="403"/>
      <c r="F80" s="403"/>
      <c r="G80" s="403"/>
      <c r="H80" s="50"/>
      <c r="J80" s="378"/>
      <c r="K80" s="379"/>
      <c r="L80" s="379"/>
      <c r="M80" s="379"/>
      <c r="N80" s="379"/>
      <c r="O80" s="379"/>
      <c r="P80" s="379"/>
      <c r="Q80" s="379"/>
      <c r="R80" s="379"/>
      <c r="S80" s="379"/>
      <c r="T80" s="379"/>
      <c r="U80" s="379"/>
      <c r="V80" s="379"/>
      <c r="W80" s="380"/>
    </row>
    <row r="81" spans="2:23" ht="22.5" customHeight="1">
      <c r="B81" s="48"/>
      <c r="C81" s="141" t="s">
        <v>483</v>
      </c>
      <c r="D81" s="72" t="s">
        <v>690</v>
      </c>
      <c r="E81" s="403">
        <v>188265.61</v>
      </c>
      <c r="F81" s="403">
        <v>193262.03</v>
      </c>
      <c r="G81" s="403">
        <v>98262.03</v>
      </c>
      <c r="H81" s="50"/>
      <c r="J81" s="378"/>
      <c r="K81" s="379"/>
      <c r="L81" s="379"/>
      <c r="M81" s="379"/>
      <c r="N81" s="379"/>
      <c r="O81" s="379"/>
      <c r="P81" s="379"/>
      <c r="Q81" s="379"/>
      <c r="R81" s="379"/>
      <c r="S81" s="379"/>
      <c r="T81" s="379"/>
      <c r="U81" s="379"/>
      <c r="V81" s="379"/>
      <c r="W81" s="380"/>
    </row>
    <row r="82" spans="2:23" ht="22.5" customHeight="1">
      <c r="B82" s="48"/>
      <c r="C82" s="141" t="s">
        <v>488</v>
      </c>
      <c r="D82" s="72" t="s">
        <v>691</v>
      </c>
      <c r="E82" s="403"/>
      <c r="F82" s="403"/>
      <c r="G82" s="403"/>
      <c r="H82" s="50"/>
      <c r="J82" s="378"/>
      <c r="K82" s="379"/>
      <c r="L82" s="379"/>
      <c r="M82" s="379"/>
      <c r="N82" s="379"/>
      <c r="O82" s="379"/>
      <c r="P82" s="379"/>
      <c r="Q82" s="379"/>
      <c r="R82" s="379"/>
      <c r="S82" s="379"/>
      <c r="T82" s="379"/>
      <c r="U82" s="379"/>
      <c r="V82" s="379"/>
      <c r="W82" s="380"/>
    </row>
    <row r="83" spans="2:23" ht="22.5" customHeight="1">
      <c r="B83" s="48"/>
      <c r="C83" s="139" t="s">
        <v>593</v>
      </c>
      <c r="D83" s="70" t="s">
        <v>619</v>
      </c>
      <c r="E83" s="404">
        <v>637779.75</v>
      </c>
      <c r="F83" s="404">
        <v>308570.46</v>
      </c>
      <c r="G83" s="404">
        <v>67881.27</v>
      </c>
      <c r="H83" s="50"/>
      <c r="J83" s="378"/>
      <c r="K83" s="379"/>
      <c r="L83" s="379"/>
      <c r="M83" s="379"/>
      <c r="N83" s="379"/>
      <c r="O83" s="379"/>
      <c r="P83" s="379"/>
      <c r="Q83" s="379"/>
      <c r="R83" s="379"/>
      <c r="S83" s="379"/>
      <c r="T83" s="379"/>
      <c r="U83" s="379"/>
      <c r="V83" s="379"/>
      <c r="W83" s="380"/>
    </row>
    <row r="84" spans="2:23" ht="22.5" customHeight="1">
      <c r="B84" s="48"/>
      <c r="C84" s="139" t="s">
        <v>595</v>
      </c>
      <c r="D84" s="70" t="s">
        <v>692</v>
      </c>
      <c r="E84" s="404"/>
      <c r="F84" s="404"/>
      <c r="G84" s="404"/>
      <c r="H84" s="50"/>
      <c r="J84" s="378"/>
      <c r="K84" s="379"/>
      <c r="L84" s="379"/>
      <c r="M84" s="379"/>
      <c r="N84" s="379"/>
      <c r="O84" s="379"/>
      <c r="P84" s="379"/>
      <c r="Q84" s="379"/>
      <c r="R84" s="379"/>
      <c r="S84" s="379"/>
      <c r="T84" s="379"/>
      <c r="U84" s="379"/>
      <c r="V84" s="379"/>
      <c r="W84" s="380"/>
    </row>
    <row r="85" spans="2:23" ht="22.5" customHeight="1">
      <c r="B85" s="48"/>
      <c r="C85" s="137"/>
      <c r="D85" s="86"/>
      <c r="E85" s="135"/>
      <c r="F85" s="135"/>
      <c r="G85" s="135"/>
      <c r="H85" s="50"/>
      <c r="J85" s="378"/>
      <c r="K85" s="379"/>
      <c r="L85" s="379"/>
      <c r="M85" s="379"/>
      <c r="N85" s="379"/>
      <c r="O85" s="379"/>
      <c r="P85" s="379"/>
      <c r="Q85" s="379"/>
      <c r="R85" s="379"/>
      <c r="S85" s="379"/>
      <c r="T85" s="379"/>
      <c r="U85" s="379"/>
      <c r="V85" s="379"/>
      <c r="W85" s="380"/>
    </row>
    <row r="86" spans="2:23" ht="22.5" customHeight="1" thickBot="1">
      <c r="B86" s="48"/>
      <c r="C86" s="145" t="s">
        <v>693</v>
      </c>
      <c r="D86" s="79"/>
      <c r="E86" s="136">
        <f>E16+E43+E61</f>
        <v>137250080.55</v>
      </c>
      <c r="F86" s="136">
        <f>F16+F43+F61</f>
        <v>200997409.39999998</v>
      </c>
      <c r="G86" s="136">
        <f>G16+G43+G61</f>
        <v>198881591.06</v>
      </c>
      <c r="H86" s="50"/>
      <c r="J86" s="378"/>
      <c r="K86" s="379"/>
      <c r="L86" s="379"/>
      <c r="M86" s="379"/>
      <c r="N86" s="379"/>
      <c r="O86" s="379"/>
      <c r="P86" s="379"/>
      <c r="Q86" s="379"/>
      <c r="R86" s="379"/>
      <c r="S86" s="379"/>
      <c r="T86" s="379"/>
      <c r="U86" s="379"/>
      <c r="V86" s="379"/>
      <c r="W86" s="380"/>
    </row>
    <row r="87" spans="2:23" ht="22.5" customHeight="1" thickBot="1">
      <c r="B87" s="52"/>
      <c r="C87" s="1239"/>
      <c r="D87" s="1239"/>
      <c r="E87" s="1239"/>
      <c r="F87" s="1239"/>
      <c r="G87" s="54"/>
      <c r="H87" s="55"/>
      <c r="J87" s="381"/>
      <c r="K87" s="382"/>
      <c r="L87" s="382"/>
      <c r="M87" s="382"/>
      <c r="N87" s="382"/>
      <c r="O87" s="382"/>
      <c r="P87" s="382"/>
      <c r="Q87" s="382"/>
      <c r="R87" s="382"/>
      <c r="S87" s="382"/>
      <c r="T87" s="382"/>
      <c r="U87" s="382"/>
      <c r="V87" s="382"/>
      <c r="W87" s="383"/>
    </row>
    <row r="88" spans="3:9" ht="22.5" customHeight="1">
      <c r="C88" s="44"/>
      <c r="D88" s="44"/>
      <c r="E88" s="44"/>
      <c r="F88" s="44"/>
      <c r="G88" s="44"/>
      <c r="I88" s="42" t="s">
        <v>154</v>
      </c>
    </row>
    <row r="89" spans="3:7" ht="12.75">
      <c r="C89" s="37" t="s">
        <v>451</v>
      </c>
      <c r="D89" s="44"/>
      <c r="E89" s="44"/>
      <c r="F89" s="44"/>
      <c r="G89" s="41" t="s">
        <v>1066</v>
      </c>
    </row>
    <row r="90" spans="3:7" ht="12.75">
      <c r="C90" s="38" t="s">
        <v>452</v>
      </c>
      <c r="D90" s="44"/>
      <c r="E90" s="44"/>
      <c r="F90" s="44"/>
      <c r="G90" s="44"/>
    </row>
    <row r="91" spans="3:7" ht="12.75">
      <c r="C91" s="38" t="s">
        <v>453</v>
      </c>
      <c r="D91" s="44"/>
      <c r="E91" s="44"/>
      <c r="F91" s="44"/>
      <c r="G91" s="44"/>
    </row>
    <row r="92" spans="3:7" ht="12.75">
      <c r="C92" s="38" t="s">
        <v>454</v>
      </c>
      <c r="D92" s="44"/>
      <c r="E92" s="44"/>
      <c r="F92" s="44"/>
      <c r="G92" s="44"/>
    </row>
    <row r="93" spans="3:7" ht="12.75">
      <c r="C93" s="38" t="s">
        <v>455</v>
      </c>
      <c r="D93" s="44"/>
      <c r="E93" s="44"/>
      <c r="F93" s="44"/>
      <c r="G93" s="44"/>
    </row>
    <row r="94" spans="3:7" ht="22.5" customHeight="1">
      <c r="C94" s="44"/>
      <c r="D94" s="44"/>
      <c r="E94" s="653">
        <f>IF(_CHECK_LIST!J15&gt;0,"Revisa","")</f>
      </c>
      <c r="F94" s="653">
        <f>IF(_CHECK_LIST!K15&gt;0,"Revisa","")</f>
      </c>
      <c r="G94" s="653">
        <f>IF(_CHECK_LIST!L15&gt;0,"Revisa","")</f>
      </c>
    </row>
    <row r="95" spans="3:7" ht="22.5" customHeight="1">
      <c r="C95" s="44"/>
      <c r="D95" s="44"/>
      <c r="E95" s="44"/>
      <c r="F95" s="44"/>
      <c r="G95" s="44"/>
    </row>
    <row r="96" spans="3:7" ht="22.5" customHeight="1">
      <c r="C96" s="44"/>
      <c r="D96" s="44"/>
      <c r="E96" s="44"/>
      <c r="F96" s="44"/>
      <c r="G96" s="44"/>
    </row>
    <row r="97" spans="3:7" ht="22.5" customHeight="1">
      <c r="C97" s="44"/>
      <c r="D97" s="44"/>
      <c r="E97" s="44"/>
      <c r="F97" s="44"/>
      <c r="G97" s="44"/>
    </row>
    <row r="98" spans="6:7" ht="22.5" customHeight="1">
      <c r="F98" s="44"/>
      <c r="G98" s="44"/>
    </row>
  </sheetData>
  <sheetProtection password="C494" sheet="1" objects="1" scenarios="1"/>
  <mergeCells count="3">
    <mergeCell ref="G6:G7"/>
    <mergeCell ref="D9:G9"/>
    <mergeCell ref="C87:F87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6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zoomScale="70" zoomScaleNormal="70" zoomScalePageLayoutView="0" workbookViewId="0" topLeftCell="A1">
      <selection activeCell="K54" sqref="K54"/>
    </sheetView>
  </sheetViews>
  <sheetFormatPr defaultColWidth="10.6640625" defaultRowHeight="22.5" customHeight="1"/>
  <cols>
    <col min="1" max="1" width="4.3359375" style="659" bestFit="1" customWidth="1"/>
    <col min="2" max="2" width="3.3359375" style="659" customWidth="1"/>
    <col min="3" max="3" width="13.5546875" style="659" customWidth="1"/>
    <col min="4" max="4" width="76.6640625" style="659" customWidth="1"/>
    <col min="5" max="16" width="18.3359375" style="659" customWidth="1"/>
    <col min="17" max="17" width="3.3359375" style="659" customWidth="1"/>
    <col min="18" max="16384" width="10.6640625" style="659" customWidth="1"/>
  </cols>
  <sheetData>
    <row r="1" ht="22.5" customHeight="1">
      <c r="D1" s="660"/>
    </row>
    <row r="2" ht="22.5" customHeight="1">
      <c r="D2" s="1136" t="s">
        <v>410</v>
      </c>
    </row>
    <row r="3" ht="22.5" customHeight="1">
      <c r="D3" s="1136" t="s">
        <v>411</v>
      </c>
    </row>
    <row r="4" ht="22.5" customHeight="1" thickBot="1">
      <c r="A4" s="659" t="s">
        <v>153</v>
      </c>
    </row>
    <row r="5" spans="2:32" ht="9" customHeight="1">
      <c r="B5" s="662"/>
      <c r="C5" s="663"/>
      <c r="D5" s="663"/>
      <c r="E5" s="663"/>
      <c r="F5" s="663"/>
      <c r="G5" s="663"/>
      <c r="H5" s="663"/>
      <c r="I5" s="663"/>
      <c r="J5" s="663"/>
      <c r="K5" s="663"/>
      <c r="L5" s="663"/>
      <c r="M5" s="663"/>
      <c r="N5" s="663"/>
      <c r="O5" s="663"/>
      <c r="P5" s="663"/>
      <c r="Q5" s="664"/>
      <c r="S5" s="362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4"/>
    </row>
    <row r="6" spans="2:32" ht="30" customHeight="1">
      <c r="B6" s="665"/>
      <c r="C6" s="666" t="s">
        <v>379</v>
      </c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0"/>
      <c r="P6" s="1232">
        <f>ejercicio</f>
        <v>2019</v>
      </c>
      <c r="Q6" s="667"/>
      <c r="S6" s="365"/>
      <c r="T6" s="366" t="s">
        <v>1067</v>
      </c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8"/>
    </row>
    <row r="7" spans="2:32" ht="30" customHeight="1">
      <c r="B7" s="665"/>
      <c r="C7" s="666" t="s">
        <v>380</v>
      </c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1232"/>
      <c r="Q7" s="667"/>
      <c r="S7" s="365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8"/>
    </row>
    <row r="8" spans="2:32" ht="30" customHeight="1">
      <c r="B8" s="665"/>
      <c r="C8" s="669"/>
      <c r="D8" s="660"/>
      <c r="E8" s="660"/>
      <c r="F8" s="660"/>
      <c r="G8" s="660"/>
      <c r="H8" s="660"/>
      <c r="I8" s="660"/>
      <c r="J8" s="660"/>
      <c r="K8" s="660"/>
      <c r="L8" s="660"/>
      <c r="M8" s="660"/>
      <c r="N8" s="660"/>
      <c r="O8" s="660"/>
      <c r="P8" s="670"/>
      <c r="Q8" s="667"/>
      <c r="S8" s="365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8"/>
    </row>
    <row r="9" spans="2:32" s="674" customFormat="1" ht="30" customHeight="1">
      <c r="B9" s="671"/>
      <c r="C9" s="672" t="s">
        <v>381</v>
      </c>
      <c r="D9" s="1234" t="str">
        <f>Entidad</f>
        <v>INSTITUTO TECNOLOGICO Y DE ENERGIAS RENOVABLES S.A.</v>
      </c>
      <c r="E9" s="1234"/>
      <c r="F9" s="1234"/>
      <c r="G9" s="1234"/>
      <c r="H9" s="1234"/>
      <c r="I9" s="1234"/>
      <c r="J9" s="1234"/>
      <c r="K9" s="1234"/>
      <c r="L9" s="1234"/>
      <c r="M9" s="1234"/>
      <c r="N9" s="1234"/>
      <c r="O9" s="1234"/>
      <c r="P9" s="1234"/>
      <c r="Q9" s="673"/>
      <c r="S9" s="369"/>
      <c r="T9" s="370"/>
      <c r="U9" s="370"/>
      <c r="V9" s="370"/>
      <c r="W9" s="370"/>
      <c r="X9" s="370"/>
      <c r="Y9" s="370"/>
      <c r="Z9" s="370"/>
      <c r="AA9" s="370"/>
      <c r="AB9" s="370"/>
      <c r="AC9" s="370"/>
      <c r="AD9" s="370"/>
      <c r="AE9" s="370"/>
      <c r="AF9" s="371"/>
    </row>
    <row r="10" spans="2:32" ht="6.75" customHeight="1">
      <c r="B10" s="665"/>
      <c r="C10" s="660"/>
      <c r="D10" s="660"/>
      <c r="E10" s="660"/>
      <c r="F10" s="660"/>
      <c r="G10" s="660"/>
      <c r="H10" s="660"/>
      <c r="I10" s="660"/>
      <c r="J10" s="660"/>
      <c r="K10" s="660"/>
      <c r="L10" s="660"/>
      <c r="M10" s="660"/>
      <c r="N10" s="660"/>
      <c r="O10" s="660"/>
      <c r="P10" s="660"/>
      <c r="Q10" s="667"/>
      <c r="S10" s="365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8"/>
    </row>
    <row r="11" spans="2:32" s="678" customFormat="1" ht="30" customHeight="1">
      <c r="B11" s="675"/>
      <c r="C11" s="676" t="s">
        <v>178</v>
      </c>
      <c r="D11" s="676"/>
      <c r="E11" s="676"/>
      <c r="F11" s="676"/>
      <c r="G11" s="676"/>
      <c r="H11" s="676"/>
      <c r="I11" s="676"/>
      <c r="J11" s="676"/>
      <c r="K11" s="676"/>
      <c r="L11" s="676"/>
      <c r="M11" s="676"/>
      <c r="N11" s="676"/>
      <c r="O11" s="676"/>
      <c r="P11" s="676"/>
      <c r="Q11" s="677"/>
      <c r="S11" s="372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4"/>
    </row>
    <row r="12" spans="2:32" s="678" customFormat="1" ht="30" customHeight="1">
      <c r="B12" s="675"/>
      <c r="C12" s="934"/>
      <c r="D12" s="934"/>
      <c r="E12" s="934"/>
      <c r="F12" s="934"/>
      <c r="G12" s="934"/>
      <c r="H12" s="934"/>
      <c r="I12" s="934"/>
      <c r="J12" s="934"/>
      <c r="K12" s="934"/>
      <c r="L12" s="934"/>
      <c r="M12" s="934"/>
      <c r="N12" s="934"/>
      <c r="O12" s="934"/>
      <c r="P12" s="934"/>
      <c r="Q12" s="677"/>
      <c r="S12" s="372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4"/>
    </row>
    <row r="13" spans="2:32" ht="22.5" customHeight="1">
      <c r="B13" s="665"/>
      <c r="C13" s="1286">
        <f>ejercicio-1</f>
        <v>2018</v>
      </c>
      <c r="D13" s="1288" t="s">
        <v>186</v>
      </c>
      <c r="E13" s="1137" t="s">
        <v>1057</v>
      </c>
      <c r="F13" s="1137" t="s">
        <v>179</v>
      </c>
      <c r="G13" s="1137" t="s">
        <v>180</v>
      </c>
      <c r="H13" s="1137" t="s">
        <v>179</v>
      </c>
      <c r="I13" s="1138" t="s">
        <v>183</v>
      </c>
      <c r="J13" s="1138" t="s">
        <v>184</v>
      </c>
      <c r="K13" s="1138" t="s">
        <v>207</v>
      </c>
      <c r="L13" s="1137" t="s">
        <v>185</v>
      </c>
      <c r="M13" s="1271"/>
      <c r="N13" s="1272"/>
      <c r="O13" s="1272"/>
      <c r="P13" s="1273"/>
      <c r="Q13" s="667"/>
      <c r="S13" s="365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8"/>
    </row>
    <row r="14" spans="2:32" ht="22.5" customHeight="1">
      <c r="B14" s="665"/>
      <c r="C14" s="1287"/>
      <c r="D14" s="1289"/>
      <c r="E14" s="1139">
        <f>ejercicio-2</f>
        <v>2017</v>
      </c>
      <c r="F14" s="1140" t="s">
        <v>632</v>
      </c>
      <c r="G14" s="1140" t="s">
        <v>632</v>
      </c>
      <c r="H14" s="1140" t="s">
        <v>182</v>
      </c>
      <c r="I14" s="1141" t="s">
        <v>181</v>
      </c>
      <c r="J14" s="1142" t="s">
        <v>188</v>
      </c>
      <c r="K14" s="1141" t="s">
        <v>208</v>
      </c>
      <c r="L14" s="1139">
        <f>ejercicio-1</f>
        <v>2018</v>
      </c>
      <c r="M14" s="1268" t="s">
        <v>209</v>
      </c>
      <c r="N14" s="1269"/>
      <c r="O14" s="1269"/>
      <c r="P14" s="1270"/>
      <c r="Q14" s="667"/>
      <c r="S14" s="365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8"/>
    </row>
    <row r="15" spans="2:32" ht="22.5" customHeight="1">
      <c r="B15" s="665"/>
      <c r="C15" s="1143"/>
      <c r="D15" s="1144"/>
      <c r="E15" s="1145"/>
      <c r="F15" s="1145"/>
      <c r="G15" s="1145"/>
      <c r="H15" s="1145"/>
      <c r="I15" s="1145"/>
      <c r="J15" s="1145"/>
      <c r="K15" s="1145"/>
      <c r="L15" s="1145"/>
      <c r="M15" s="1274"/>
      <c r="N15" s="1275"/>
      <c r="O15" s="1275"/>
      <c r="P15" s="1276"/>
      <c r="Q15" s="667"/>
      <c r="S15" s="365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8"/>
    </row>
    <row r="16" spans="2:32" s="1146" customFormat="1" ht="27" customHeight="1">
      <c r="B16" s="675"/>
      <c r="C16" s="1147" t="s">
        <v>510</v>
      </c>
      <c r="D16" s="1148" t="s">
        <v>631</v>
      </c>
      <c r="E16" s="1149">
        <f aca="true" t="shared" si="0" ref="E16:L16">+E17+E20+E21+E26+E27+E30+E31+E32+E33</f>
        <v>105363631.46000001</v>
      </c>
      <c r="F16" s="1149">
        <f t="shared" si="0"/>
        <v>25999921.099999998</v>
      </c>
      <c r="G16" s="1149">
        <f t="shared" si="0"/>
        <v>0</v>
      </c>
      <c r="H16" s="1149">
        <f t="shared" si="0"/>
        <v>0</v>
      </c>
      <c r="I16" s="1149">
        <f t="shared" si="0"/>
        <v>0</v>
      </c>
      <c r="J16" s="1149">
        <f t="shared" si="0"/>
        <v>0</v>
      </c>
      <c r="K16" s="1149">
        <f t="shared" si="0"/>
        <v>9200873.63</v>
      </c>
      <c r="L16" s="1149">
        <f t="shared" si="0"/>
        <v>140564426.19</v>
      </c>
      <c r="M16" s="1277"/>
      <c r="N16" s="1278"/>
      <c r="O16" s="1278"/>
      <c r="P16" s="1279"/>
      <c r="Q16" s="677"/>
      <c r="S16" s="1133"/>
      <c r="T16" s="1134"/>
      <c r="U16" s="1134"/>
      <c r="V16" s="1134"/>
      <c r="W16" s="1134"/>
      <c r="X16" s="1134"/>
      <c r="Y16" s="1134"/>
      <c r="Z16" s="1134"/>
      <c r="AA16" s="1134"/>
      <c r="AB16" s="1134"/>
      <c r="AC16" s="1134"/>
      <c r="AD16" s="1134"/>
      <c r="AE16" s="1134"/>
      <c r="AF16" s="1135"/>
    </row>
    <row r="17" spans="2:32" ht="27" customHeight="1">
      <c r="B17" s="665"/>
      <c r="C17" s="1150" t="s">
        <v>563</v>
      </c>
      <c r="D17" s="1151" t="s">
        <v>632</v>
      </c>
      <c r="E17" s="491">
        <f aca="true" t="shared" si="1" ref="E17:L17">SUM(E18:E19)</f>
        <v>26816139.2</v>
      </c>
      <c r="F17" s="491">
        <f t="shared" si="1"/>
        <v>7118965.2</v>
      </c>
      <c r="G17" s="491">
        <f t="shared" si="1"/>
        <v>0</v>
      </c>
      <c r="H17" s="491">
        <f t="shared" si="1"/>
        <v>0</v>
      </c>
      <c r="I17" s="491">
        <f t="shared" si="1"/>
        <v>0</v>
      </c>
      <c r="J17" s="491">
        <f t="shared" si="1"/>
        <v>0</v>
      </c>
      <c r="K17" s="491">
        <f t="shared" si="1"/>
        <v>0</v>
      </c>
      <c r="L17" s="491">
        <f t="shared" si="1"/>
        <v>33935104.4</v>
      </c>
      <c r="M17" s="1280"/>
      <c r="N17" s="1281"/>
      <c r="O17" s="1281"/>
      <c r="P17" s="1282"/>
      <c r="Q17" s="667"/>
      <c r="S17" s="365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8"/>
    </row>
    <row r="18" spans="2:32" ht="27" customHeight="1">
      <c r="B18" s="665"/>
      <c r="C18" s="1152" t="s">
        <v>462</v>
      </c>
      <c r="D18" s="1153" t="s">
        <v>633</v>
      </c>
      <c r="E18" s="1154">
        <f>'FC-4_PASIVO'!E19</f>
        <v>26816139.2</v>
      </c>
      <c r="F18" s="402">
        <f>999943.8+6119021.4</f>
        <v>7118965.2</v>
      </c>
      <c r="G18" s="402"/>
      <c r="H18" s="402"/>
      <c r="I18" s="402"/>
      <c r="J18" s="402"/>
      <c r="K18" s="402"/>
      <c r="L18" s="1154">
        <f>SUM(E18:K18)</f>
        <v>33935104.4</v>
      </c>
      <c r="M18" s="1283"/>
      <c r="N18" s="1284"/>
      <c r="O18" s="1284"/>
      <c r="P18" s="1285"/>
      <c r="Q18" s="667"/>
      <c r="S18" s="365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8"/>
    </row>
    <row r="19" spans="2:32" ht="27" customHeight="1">
      <c r="B19" s="665"/>
      <c r="C19" s="1155" t="s">
        <v>469</v>
      </c>
      <c r="D19" s="1156" t="s">
        <v>634</v>
      </c>
      <c r="E19" s="1157">
        <f>'FC-4_PASIVO'!E20</f>
        <v>0</v>
      </c>
      <c r="F19" s="403"/>
      <c r="G19" s="403"/>
      <c r="H19" s="403"/>
      <c r="I19" s="403"/>
      <c r="J19" s="403"/>
      <c r="K19" s="403"/>
      <c r="L19" s="1157">
        <f>SUM(E19:K19)</f>
        <v>0</v>
      </c>
      <c r="M19" s="1265"/>
      <c r="N19" s="1266"/>
      <c r="O19" s="1266"/>
      <c r="P19" s="1267"/>
      <c r="Q19" s="667"/>
      <c r="S19" s="365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8"/>
    </row>
    <row r="20" spans="2:32" ht="27" customHeight="1">
      <c r="B20" s="665"/>
      <c r="C20" s="1150" t="s">
        <v>573</v>
      </c>
      <c r="D20" s="1151" t="s">
        <v>635</v>
      </c>
      <c r="E20" s="491">
        <f>'FC-4_PASIVO'!E21</f>
        <v>1608057.62</v>
      </c>
      <c r="F20" s="404">
        <v>18880955.9</v>
      </c>
      <c r="G20" s="404"/>
      <c r="H20" s="404"/>
      <c r="I20" s="404"/>
      <c r="J20" s="404"/>
      <c r="K20" s="404"/>
      <c r="L20" s="491">
        <f>SUM(E20:K20)</f>
        <v>20489013.52</v>
      </c>
      <c r="M20" s="1262"/>
      <c r="N20" s="1263"/>
      <c r="O20" s="1263"/>
      <c r="P20" s="1264"/>
      <c r="Q20" s="667"/>
      <c r="S20" s="365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8"/>
    </row>
    <row r="21" spans="2:32" ht="27" customHeight="1">
      <c r="B21" s="665"/>
      <c r="C21" s="1150" t="s">
        <v>578</v>
      </c>
      <c r="D21" s="1151" t="s">
        <v>636</v>
      </c>
      <c r="E21" s="491">
        <f aca="true" t="shared" si="2" ref="E21:L21">SUM(E22:E25)</f>
        <v>76660247.48</v>
      </c>
      <c r="F21" s="491">
        <f t="shared" si="2"/>
        <v>0</v>
      </c>
      <c r="G21" s="491">
        <f t="shared" si="2"/>
        <v>0</v>
      </c>
      <c r="H21" s="491">
        <f t="shared" si="2"/>
        <v>0</v>
      </c>
      <c r="I21" s="491">
        <f t="shared" si="2"/>
        <v>2281349.19</v>
      </c>
      <c r="J21" s="491">
        <f t="shared" si="2"/>
        <v>0</v>
      </c>
      <c r="K21" s="491">
        <f t="shared" si="2"/>
        <v>0</v>
      </c>
      <c r="L21" s="491">
        <f t="shared" si="2"/>
        <v>78941596.67</v>
      </c>
      <c r="M21" s="1280"/>
      <c r="N21" s="1281"/>
      <c r="O21" s="1281"/>
      <c r="P21" s="1282"/>
      <c r="Q21" s="667"/>
      <c r="S21" s="365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8"/>
    </row>
    <row r="22" spans="2:32" ht="27" customHeight="1">
      <c r="B22" s="665"/>
      <c r="C22" s="1152" t="s">
        <v>462</v>
      </c>
      <c r="D22" s="1153" t="s">
        <v>637</v>
      </c>
      <c r="E22" s="1154">
        <f>'FC-4_PASIVO'!E23</f>
        <v>3276467.18</v>
      </c>
      <c r="F22" s="402"/>
      <c r="G22" s="402"/>
      <c r="H22" s="402"/>
      <c r="I22" s="402">
        <f>E31*0.1</f>
        <v>228134.919</v>
      </c>
      <c r="J22" s="402"/>
      <c r="K22" s="402"/>
      <c r="L22" s="1154">
        <f>SUM(E22:K22)</f>
        <v>3504602.0990000004</v>
      </c>
      <c r="M22" s="1283"/>
      <c r="N22" s="1284"/>
      <c r="O22" s="1284"/>
      <c r="P22" s="1285"/>
      <c r="Q22" s="667"/>
      <c r="S22" s="365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8"/>
    </row>
    <row r="23" spans="2:32" ht="27" customHeight="1">
      <c r="B23" s="665"/>
      <c r="C23" s="1155" t="s">
        <v>469</v>
      </c>
      <c r="D23" s="1156" t="s">
        <v>638</v>
      </c>
      <c r="E23" s="1157">
        <f>'FC-4_PASIVO'!E24</f>
        <v>73383780.3</v>
      </c>
      <c r="F23" s="403"/>
      <c r="G23" s="403"/>
      <c r="H23" s="403"/>
      <c r="I23" s="403">
        <f>E31*0.9</f>
        <v>2053214.271</v>
      </c>
      <c r="J23" s="403"/>
      <c r="K23" s="403"/>
      <c r="L23" s="1157">
        <f>SUM(E23:K23)</f>
        <v>75436994.571</v>
      </c>
      <c r="M23" s="1265"/>
      <c r="N23" s="1266"/>
      <c r="O23" s="1266"/>
      <c r="P23" s="1267"/>
      <c r="Q23" s="667"/>
      <c r="S23" s="365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8"/>
    </row>
    <row r="24" spans="2:32" ht="27" customHeight="1">
      <c r="B24" s="665"/>
      <c r="C24" s="1155" t="s">
        <v>471</v>
      </c>
      <c r="D24" s="1156" t="s">
        <v>639</v>
      </c>
      <c r="E24" s="1157">
        <f>'FC-4_PASIVO'!E25</f>
        <v>0</v>
      </c>
      <c r="F24" s="403"/>
      <c r="G24" s="403"/>
      <c r="H24" s="403"/>
      <c r="I24" s="403"/>
      <c r="J24" s="403"/>
      <c r="K24" s="403"/>
      <c r="L24" s="1157">
        <f>SUM(E24:K24)</f>
        <v>0</v>
      </c>
      <c r="M24" s="1265"/>
      <c r="N24" s="1266"/>
      <c r="O24" s="1266"/>
      <c r="P24" s="1267"/>
      <c r="Q24" s="667"/>
      <c r="S24" s="365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8"/>
    </row>
    <row r="25" spans="2:32" ht="27" customHeight="1">
      <c r="B25" s="665"/>
      <c r="C25" s="1155" t="s">
        <v>473</v>
      </c>
      <c r="D25" s="1156" t="s">
        <v>694</v>
      </c>
      <c r="E25" s="1157">
        <f>'FC-4_PASIVO'!E26</f>
        <v>0</v>
      </c>
      <c r="F25" s="403"/>
      <c r="G25" s="403"/>
      <c r="H25" s="403"/>
      <c r="I25" s="403"/>
      <c r="J25" s="403"/>
      <c r="K25" s="403"/>
      <c r="L25" s="1157">
        <f>SUM(E25:K25)</f>
        <v>0</v>
      </c>
      <c r="M25" s="1265"/>
      <c r="N25" s="1266"/>
      <c r="O25" s="1266"/>
      <c r="P25" s="1267"/>
      <c r="Q25" s="667"/>
      <c r="S25" s="365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8"/>
    </row>
    <row r="26" spans="2:32" ht="27" customHeight="1">
      <c r="B26" s="665"/>
      <c r="C26" s="1150" t="s">
        <v>582</v>
      </c>
      <c r="D26" s="1151" t="s">
        <v>640</v>
      </c>
      <c r="E26" s="491">
        <f>'FC-4_PASIVO'!E27</f>
        <v>-2000000</v>
      </c>
      <c r="F26" s="404"/>
      <c r="G26" s="404"/>
      <c r="H26" s="404"/>
      <c r="I26" s="404"/>
      <c r="J26" s="404"/>
      <c r="K26" s="404"/>
      <c r="L26" s="491">
        <f>SUM(E26:K26)</f>
        <v>-2000000</v>
      </c>
      <c r="M26" s="1262"/>
      <c r="N26" s="1263"/>
      <c r="O26" s="1263"/>
      <c r="P26" s="1264"/>
      <c r="Q26" s="667"/>
      <c r="S26" s="365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8"/>
    </row>
    <row r="27" spans="2:32" ht="27" customHeight="1">
      <c r="B27" s="665"/>
      <c r="C27" s="1150" t="s">
        <v>590</v>
      </c>
      <c r="D27" s="1151" t="s">
        <v>641</v>
      </c>
      <c r="E27" s="491">
        <f aca="true" t="shared" si="3" ref="E27:L27">SUM(E28:E29)</f>
        <v>-2162.03</v>
      </c>
      <c r="F27" s="491">
        <f t="shared" si="3"/>
        <v>0</v>
      </c>
      <c r="G27" s="491">
        <f t="shared" si="3"/>
        <v>0</v>
      </c>
      <c r="H27" s="491">
        <f t="shared" si="3"/>
        <v>0</v>
      </c>
      <c r="I27" s="491">
        <f t="shared" si="3"/>
        <v>0</v>
      </c>
      <c r="J27" s="491">
        <f t="shared" si="3"/>
        <v>0</v>
      </c>
      <c r="K27" s="491">
        <f t="shared" si="3"/>
        <v>0</v>
      </c>
      <c r="L27" s="491">
        <f t="shared" si="3"/>
        <v>-2162.03</v>
      </c>
      <c r="M27" s="1280"/>
      <c r="N27" s="1281"/>
      <c r="O27" s="1281"/>
      <c r="P27" s="1282"/>
      <c r="Q27" s="667"/>
      <c r="S27" s="365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8"/>
    </row>
    <row r="28" spans="2:32" ht="27" customHeight="1">
      <c r="B28" s="665"/>
      <c r="C28" s="1152" t="s">
        <v>462</v>
      </c>
      <c r="D28" s="1153" t="s">
        <v>642</v>
      </c>
      <c r="E28" s="1154">
        <f>'FC-4_PASIVO'!E29</f>
        <v>0</v>
      </c>
      <c r="F28" s="402"/>
      <c r="G28" s="402"/>
      <c r="H28" s="402"/>
      <c r="I28" s="402"/>
      <c r="J28" s="402"/>
      <c r="K28" s="402"/>
      <c r="L28" s="1154">
        <f aca="true" t="shared" si="4" ref="L28:L33">SUM(E28:K28)</f>
        <v>0</v>
      </c>
      <c r="M28" s="1283"/>
      <c r="N28" s="1284"/>
      <c r="O28" s="1284"/>
      <c r="P28" s="1285"/>
      <c r="Q28" s="667"/>
      <c r="S28" s="365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8"/>
    </row>
    <row r="29" spans="2:32" ht="27" customHeight="1">
      <c r="B29" s="665"/>
      <c r="C29" s="1155" t="s">
        <v>469</v>
      </c>
      <c r="D29" s="1156" t="s">
        <v>643</v>
      </c>
      <c r="E29" s="1157">
        <f>'FC-4_PASIVO'!E30</f>
        <v>-2162.03</v>
      </c>
      <c r="F29" s="403"/>
      <c r="G29" s="403"/>
      <c r="H29" s="403"/>
      <c r="I29" s="403"/>
      <c r="J29" s="403"/>
      <c r="K29" s="403"/>
      <c r="L29" s="1157">
        <f t="shared" si="4"/>
        <v>-2162.03</v>
      </c>
      <c r="M29" s="1265"/>
      <c r="N29" s="1266"/>
      <c r="O29" s="1266"/>
      <c r="P29" s="1267"/>
      <c r="Q29" s="667"/>
      <c r="S29" s="375"/>
      <c r="T29" s="376"/>
      <c r="U29" s="376"/>
      <c r="V29" s="376"/>
      <c r="W29" s="376"/>
      <c r="X29" s="376"/>
      <c r="Y29" s="376"/>
      <c r="Z29" s="376"/>
      <c r="AA29" s="376"/>
      <c r="AB29" s="376"/>
      <c r="AC29" s="376"/>
      <c r="AD29" s="376"/>
      <c r="AE29" s="376"/>
      <c r="AF29" s="377"/>
    </row>
    <row r="30" spans="2:32" ht="27" customHeight="1">
      <c r="B30" s="665"/>
      <c r="C30" s="1150" t="s">
        <v>593</v>
      </c>
      <c r="D30" s="1151" t="s">
        <v>644</v>
      </c>
      <c r="E30" s="491">
        <f>'FC-4_PASIVO'!E31</f>
        <v>0</v>
      </c>
      <c r="F30" s="404"/>
      <c r="G30" s="404"/>
      <c r="H30" s="404"/>
      <c r="I30" s="404"/>
      <c r="J30" s="404"/>
      <c r="K30" s="404"/>
      <c r="L30" s="491">
        <f t="shared" si="4"/>
        <v>0</v>
      </c>
      <c r="M30" s="1262"/>
      <c r="N30" s="1263"/>
      <c r="O30" s="1263"/>
      <c r="P30" s="1264"/>
      <c r="Q30" s="667"/>
      <c r="S30" s="375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7"/>
    </row>
    <row r="31" spans="2:32" ht="27" customHeight="1">
      <c r="B31" s="665"/>
      <c r="C31" s="1150" t="s">
        <v>595</v>
      </c>
      <c r="D31" s="1151" t="s">
        <v>645</v>
      </c>
      <c r="E31" s="491">
        <f>'FC-4_PASIVO'!E32</f>
        <v>2281349.19</v>
      </c>
      <c r="F31" s="404"/>
      <c r="G31" s="404"/>
      <c r="H31" s="404"/>
      <c r="I31" s="404">
        <v>-2281349.19</v>
      </c>
      <c r="J31" s="404"/>
      <c r="K31" s="404">
        <v>9200873.63</v>
      </c>
      <c r="L31" s="491">
        <f t="shared" si="4"/>
        <v>9200873.63</v>
      </c>
      <c r="M31" s="1280"/>
      <c r="N31" s="1281"/>
      <c r="O31" s="1281"/>
      <c r="P31" s="1282"/>
      <c r="Q31" s="667"/>
      <c r="S31" s="365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8"/>
    </row>
    <row r="32" spans="2:32" ht="27" customHeight="1">
      <c r="B32" s="665"/>
      <c r="C32" s="1150" t="s">
        <v>646</v>
      </c>
      <c r="D32" s="1151" t="s">
        <v>647</v>
      </c>
      <c r="E32" s="491">
        <f>'FC-4_PASIVO'!E33</f>
        <v>0</v>
      </c>
      <c r="F32" s="404"/>
      <c r="G32" s="404"/>
      <c r="H32" s="404"/>
      <c r="I32" s="404"/>
      <c r="J32" s="404"/>
      <c r="K32" s="404"/>
      <c r="L32" s="491">
        <f t="shared" si="4"/>
        <v>0</v>
      </c>
      <c r="M32" s="1280"/>
      <c r="N32" s="1281"/>
      <c r="O32" s="1281"/>
      <c r="P32" s="1282"/>
      <c r="Q32" s="667"/>
      <c r="S32" s="365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8"/>
    </row>
    <row r="33" spans="2:32" ht="27" customHeight="1">
      <c r="B33" s="665"/>
      <c r="C33" s="1150" t="s">
        <v>648</v>
      </c>
      <c r="D33" s="1151" t="s">
        <v>649</v>
      </c>
      <c r="E33" s="491">
        <f>'FC-4_PASIVO'!E34</f>
        <v>0</v>
      </c>
      <c r="F33" s="404"/>
      <c r="G33" s="404"/>
      <c r="H33" s="404"/>
      <c r="I33" s="404"/>
      <c r="J33" s="404"/>
      <c r="K33" s="404"/>
      <c r="L33" s="491">
        <f t="shared" si="4"/>
        <v>0</v>
      </c>
      <c r="M33" s="1280"/>
      <c r="N33" s="1281"/>
      <c r="O33" s="1281"/>
      <c r="P33" s="1282"/>
      <c r="Q33" s="667"/>
      <c r="S33" s="365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8"/>
    </row>
    <row r="34" spans="2:32" ht="27" customHeight="1">
      <c r="B34" s="665"/>
      <c r="C34" s="1158"/>
      <c r="D34" s="666"/>
      <c r="E34" s="1159"/>
      <c r="F34" s="1159"/>
      <c r="G34" s="1159"/>
      <c r="H34" s="1159"/>
      <c r="I34" s="1159"/>
      <c r="J34" s="1159"/>
      <c r="K34" s="1159"/>
      <c r="L34" s="1159"/>
      <c r="M34" s="1159"/>
      <c r="N34" s="1159"/>
      <c r="O34" s="1159"/>
      <c r="P34" s="1160"/>
      <c r="Q34" s="667"/>
      <c r="S34" s="365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8"/>
    </row>
    <row r="35" spans="2:32" ht="27" customHeight="1">
      <c r="B35" s="665"/>
      <c r="C35" s="1286">
        <f>ejercicio</f>
        <v>2019</v>
      </c>
      <c r="D35" s="1288" t="s">
        <v>186</v>
      </c>
      <c r="E35" s="1137" t="str">
        <f>+L13</f>
        <v>Saldo final 31-12</v>
      </c>
      <c r="F35" s="1137" t="s">
        <v>179</v>
      </c>
      <c r="G35" s="1137" t="s">
        <v>180</v>
      </c>
      <c r="H35" s="1137" t="s">
        <v>179</v>
      </c>
      <c r="I35" s="1138" t="s">
        <v>183</v>
      </c>
      <c r="J35" s="1138" t="s">
        <v>184</v>
      </c>
      <c r="K35" s="1138" t="s">
        <v>207</v>
      </c>
      <c r="L35" s="1137" t="s">
        <v>185</v>
      </c>
      <c r="M35" s="1271"/>
      <c r="N35" s="1272"/>
      <c r="O35" s="1272"/>
      <c r="P35" s="1273"/>
      <c r="Q35" s="667"/>
      <c r="S35" s="365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8"/>
    </row>
    <row r="36" spans="2:32" ht="27" customHeight="1">
      <c r="B36" s="665"/>
      <c r="C36" s="1287"/>
      <c r="D36" s="1289"/>
      <c r="E36" s="1139">
        <f>+L14</f>
        <v>2018</v>
      </c>
      <c r="F36" s="1140" t="s">
        <v>632</v>
      </c>
      <c r="G36" s="1140" t="s">
        <v>632</v>
      </c>
      <c r="H36" s="1140" t="s">
        <v>182</v>
      </c>
      <c r="I36" s="1141" t="s">
        <v>181</v>
      </c>
      <c r="J36" s="1142" t="s">
        <v>188</v>
      </c>
      <c r="K36" s="1141" t="s">
        <v>208</v>
      </c>
      <c r="L36" s="1139">
        <f>ejercicio</f>
        <v>2019</v>
      </c>
      <c r="M36" s="1268" t="s">
        <v>209</v>
      </c>
      <c r="N36" s="1269"/>
      <c r="O36" s="1269"/>
      <c r="P36" s="1270"/>
      <c r="Q36" s="667"/>
      <c r="S36" s="365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7"/>
      <c r="AE36" s="367"/>
      <c r="AF36" s="368"/>
    </row>
    <row r="37" spans="2:32" ht="27" customHeight="1">
      <c r="B37" s="665"/>
      <c r="C37" s="1143"/>
      <c r="D37" s="1144"/>
      <c r="E37" s="1145"/>
      <c r="F37" s="1145"/>
      <c r="G37" s="1145"/>
      <c r="H37" s="1145"/>
      <c r="I37" s="1145"/>
      <c r="J37" s="1145"/>
      <c r="K37" s="1145"/>
      <c r="L37" s="1145"/>
      <c r="M37" s="1274"/>
      <c r="N37" s="1275"/>
      <c r="O37" s="1275"/>
      <c r="P37" s="1276"/>
      <c r="Q37" s="667"/>
      <c r="S37" s="365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  <c r="AF37" s="368"/>
    </row>
    <row r="38" spans="2:32" ht="27" customHeight="1">
      <c r="B38" s="665"/>
      <c r="C38" s="1147" t="s">
        <v>510</v>
      </c>
      <c r="D38" s="1148" t="s">
        <v>631</v>
      </c>
      <c r="E38" s="1149">
        <f aca="true" t="shared" si="5" ref="E38:L38">+E39+E42+E43+E48+E49+E52+E53+E54+E55</f>
        <v>140564426.19</v>
      </c>
      <c r="F38" s="1149">
        <f t="shared" si="5"/>
        <v>0</v>
      </c>
      <c r="G38" s="1149">
        <f t="shared" si="5"/>
        <v>0</v>
      </c>
      <c r="H38" s="1149">
        <f t="shared" si="5"/>
        <v>0</v>
      </c>
      <c r="I38" s="1149">
        <f t="shared" si="5"/>
        <v>0</v>
      </c>
      <c r="J38" s="1149">
        <f t="shared" si="5"/>
        <v>0</v>
      </c>
      <c r="K38" s="1149">
        <f t="shared" si="5"/>
        <v>2818259.62</v>
      </c>
      <c r="L38" s="1149">
        <f t="shared" si="5"/>
        <v>143382685.81</v>
      </c>
      <c r="M38" s="1277"/>
      <c r="N38" s="1278"/>
      <c r="O38" s="1278"/>
      <c r="P38" s="1279"/>
      <c r="Q38" s="667"/>
      <c r="S38" s="365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8"/>
    </row>
    <row r="39" spans="2:32" ht="27" customHeight="1">
      <c r="B39" s="665"/>
      <c r="C39" s="1150" t="s">
        <v>563</v>
      </c>
      <c r="D39" s="1151" t="s">
        <v>632</v>
      </c>
      <c r="E39" s="491">
        <f aca="true" t="shared" si="6" ref="E39:L39">SUM(E40:E41)</f>
        <v>33935104.4</v>
      </c>
      <c r="F39" s="491">
        <f t="shared" si="6"/>
        <v>0</v>
      </c>
      <c r="G39" s="491">
        <f t="shared" si="6"/>
        <v>-965025.7</v>
      </c>
      <c r="H39" s="491">
        <f t="shared" si="6"/>
        <v>0</v>
      </c>
      <c r="I39" s="491">
        <f t="shared" si="6"/>
        <v>0</v>
      </c>
      <c r="J39" s="491">
        <f t="shared" si="6"/>
        <v>0</v>
      </c>
      <c r="K39" s="491">
        <f t="shared" si="6"/>
        <v>0</v>
      </c>
      <c r="L39" s="491">
        <f t="shared" si="6"/>
        <v>32970078.7</v>
      </c>
      <c r="M39" s="1280"/>
      <c r="N39" s="1281"/>
      <c r="O39" s="1281"/>
      <c r="P39" s="1282"/>
      <c r="Q39" s="667"/>
      <c r="S39" s="365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67"/>
      <c r="AF39" s="368"/>
    </row>
    <row r="40" spans="2:32" ht="27" customHeight="1">
      <c r="B40" s="665"/>
      <c r="C40" s="1152" t="s">
        <v>462</v>
      </c>
      <c r="D40" s="1153" t="s">
        <v>633</v>
      </c>
      <c r="E40" s="1154">
        <f>+L18</f>
        <v>33935104.4</v>
      </c>
      <c r="F40" s="402"/>
      <c r="G40" s="402">
        <v>-965025.7</v>
      </c>
      <c r="H40" s="402"/>
      <c r="I40" s="402"/>
      <c r="J40" s="402"/>
      <c r="K40" s="402"/>
      <c r="L40" s="1154">
        <f>SUM(E40:K40)</f>
        <v>32970078.7</v>
      </c>
      <c r="M40" s="1283"/>
      <c r="N40" s="1284"/>
      <c r="O40" s="1284"/>
      <c r="P40" s="1285"/>
      <c r="Q40" s="667"/>
      <c r="S40" s="365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8"/>
    </row>
    <row r="41" spans="2:32" ht="27" customHeight="1">
      <c r="B41" s="665"/>
      <c r="C41" s="1155" t="s">
        <v>469</v>
      </c>
      <c r="D41" s="1156" t="s">
        <v>634</v>
      </c>
      <c r="E41" s="1157">
        <f>+L19</f>
        <v>0</v>
      </c>
      <c r="F41" s="403"/>
      <c r="G41" s="403"/>
      <c r="H41" s="403"/>
      <c r="I41" s="403"/>
      <c r="J41" s="403"/>
      <c r="K41" s="403"/>
      <c r="L41" s="1157">
        <f>SUM(E41:K41)</f>
        <v>0</v>
      </c>
      <c r="M41" s="1265"/>
      <c r="N41" s="1266"/>
      <c r="O41" s="1266"/>
      <c r="P41" s="1267"/>
      <c r="Q41" s="667"/>
      <c r="S41" s="365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8"/>
    </row>
    <row r="42" spans="2:32" ht="27" customHeight="1">
      <c r="B42" s="665"/>
      <c r="C42" s="1150" t="s">
        <v>573</v>
      </c>
      <c r="D42" s="1151" t="s">
        <v>635</v>
      </c>
      <c r="E42" s="491">
        <f>+L20</f>
        <v>20489013.52</v>
      </c>
      <c r="F42" s="404"/>
      <c r="G42" s="404">
        <v>-1034974.3</v>
      </c>
      <c r="H42" s="404"/>
      <c r="I42" s="404"/>
      <c r="J42" s="404"/>
      <c r="K42" s="404"/>
      <c r="L42" s="491">
        <f>SUM(E42:K42)</f>
        <v>19454039.22</v>
      </c>
      <c r="M42" s="1262"/>
      <c r="N42" s="1263"/>
      <c r="O42" s="1263"/>
      <c r="P42" s="1264"/>
      <c r="Q42" s="667"/>
      <c r="S42" s="365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8"/>
    </row>
    <row r="43" spans="2:32" ht="27" customHeight="1">
      <c r="B43" s="665"/>
      <c r="C43" s="1150" t="s">
        <v>578</v>
      </c>
      <c r="D43" s="1151" t="s">
        <v>636</v>
      </c>
      <c r="E43" s="491">
        <f aca="true" t="shared" si="7" ref="E43:L43">SUM(E44:E47)</f>
        <v>78941596.67</v>
      </c>
      <c r="F43" s="491">
        <f t="shared" si="7"/>
        <v>0</v>
      </c>
      <c r="G43" s="491">
        <f t="shared" si="7"/>
        <v>0</v>
      </c>
      <c r="H43" s="491">
        <f t="shared" si="7"/>
        <v>0</v>
      </c>
      <c r="I43" s="491">
        <f t="shared" si="7"/>
        <v>9200873.63</v>
      </c>
      <c r="J43" s="491">
        <f t="shared" si="7"/>
        <v>0</v>
      </c>
      <c r="K43" s="491">
        <f t="shared" si="7"/>
        <v>0</v>
      </c>
      <c r="L43" s="491">
        <f t="shared" si="7"/>
        <v>88142470.3</v>
      </c>
      <c r="M43" s="1280"/>
      <c r="N43" s="1281"/>
      <c r="O43" s="1281"/>
      <c r="P43" s="1282"/>
      <c r="Q43" s="667"/>
      <c r="S43" s="365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8"/>
    </row>
    <row r="44" spans="2:32" ht="27" customHeight="1">
      <c r="B44" s="665"/>
      <c r="C44" s="1152" t="s">
        <v>462</v>
      </c>
      <c r="D44" s="1153" t="s">
        <v>637</v>
      </c>
      <c r="E44" s="1154">
        <f>+L22</f>
        <v>3504602.0990000004</v>
      </c>
      <c r="F44" s="402"/>
      <c r="G44" s="402"/>
      <c r="H44" s="402"/>
      <c r="I44" s="402">
        <f>E53*0.1</f>
        <v>920087.3630000001</v>
      </c>
      <c r="J44" s="402"/>
      <c r="K44" s="402"/>
      <c r="L44" s="1154">
        <f>SUM(E44:K44)</f>
        <v>4424689.462</v>
      </c>
      <c r="M44" s="1283"/>
      <c r="N44" s="1284"/>
      <c r="O44" s="1284"/>
      <c r="P44" s="1285"/>
      <c r="Q44" s="667"/>
      <c r="S44" s="365"/>
      <c r="T44" s="367"/>
      <c r="U44" s="367"/>
      <c r="V44" s="367"/>
      <c r="W44" s="367"/>
      <c r="X44" s="367"/>
      <c r="Y44" s="367"/>
      <c r="Z44" s="367"/>
      <c r="AA44" s="367"/>
      <c r="AB44" s="367"/>
      <c r="AC44" s="367"/>
      <c r="AD44" s="367"/>
      <c r="AE44" s="367"/>
      <c r="AF44" s="368"/>
    </row>
    <row r="45" spans="2:32" ht="27" customHeight="1">
      <c r="B45" s="665"/>
      <c r="C45" s="1155" t="s">
        <v>469</v>
      </c>
      <c r="D45" s="1156" t="s">
        <v>638</v>
      </c>
      <c r="E45" s="1157">
        <f>+L23</f>
        <v>75436994.571</v>
      </c>
      <c r="F45" s="403"/>
      <c r="G45" s="403"/>
      <c r="H45" s="403"/>
      <c r="I45" s="403">
        <f>E53*0.9</f>
        <v>8280786.267000001</v>
      </c>
      <c r="J45" s="403"/>
      <c r="K45" s="403"/>
      <c r="L45" s="1157">
        <f>SUM(E45:K45)</f>
        <v>83717780.838</v>
      </c>
      <c r="M45" s="1265"/>
      <c r="N45" s="1266"/>
      <c r="O45" s="1266"/>
      <c r="P45" s="1267"/>
      <c r="Q45" s="667"/>
      <c r="S45" s="365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68"/>
    </row>
    <row r="46" spans="2:32" ht="27" customHeight="1">
      <c r="B46" s="665"/>
      <c r="C46" s="1155" t="s">
        <v>471</v>
      </c>
      <c r="D46" s="1156" t="s">
        <v>639</v>
      </c>
      <c r="E46" s="1157">
        <f>+L24</f>
        <v>0</v>
      </c>
      <c r="F46" s="403"/>
      <c r="G46" s="403"/>
      <c r="H46" s="403"/>
      <c r="I46" s="403"/>
      <c r="J46" s="403"/>
      <c r="K46" s="403"/>
      <c r="L46" s="1157">
        <f>SUM(E46:K46)</f>
        <v>0</v>
      </c>
      <c r="M46" s="1265"/>
      <c r="N46" s="1266"/>
      <c r="O46" s="1266"/>
      <c r="P46" s="1267"/>
      <c r="Q46" s="667"/>
      <c r="S46" s="365"/>
      <c r="T46" s="367"/>
      <c r="U46" s="367"/>
      <c r="V46" s="367"/>
      <c r="W46" s="367"/>
      <c r="X46" s="367"/>
      <c r="Y46" s="367"/>
      <c r="Z46" s="367"/>
      <c r="AA46" s="367"/>
      <c r="AB46" s="367"/>
      <c r="AC46" s="367"/>
      <c r="AD46" s="367"/>
      <c r="AE46" s="367"/>
      <c r="AF46" s="368"/>
    </row>
    <row r="47" spans="2:32" ht="27" customHeight="1">
      <c r="B47" s="665"/>
      <c r="C47" s="1155" t="s">
        <v>473</v>
      </c>
      <c r="D47" s="1156" t="s">
        <v>694</v>
      </c>
      <c r="E47" s="1157">
        <f>+L25</f>
        <v>0</v>
      </c>
      <c r="F47" s="403"/>
      <c r="G47" s="403"/>
      <c r="H47" s="403"/>
      <c r="I47" s="403"/>
      <c r="J47" s="403"/>
      <c r="K47" s="403"/>
      <c r="L47" s="1157">
        <f>SUM(E47:K47)</f>
        <v>0</v>
      </c>
      <c r="M47" s="1265"/>
      <c r="N47" s="1266"/>
      <c r="O47" s="1266"/>
      <c r="P47" s="1267"/>
      <c r="Q47" s="667"/>
      <c r="S47" s="365"/>
      <c r="T47" s="367"/>
      <c r="U47" s="367"/>
      <c r="V47" s="367"/>
      <c r="W47" s="367"/>
      <c r="X47" s="367"/>
      <c r="Y47" s="367"/>
      <c r="Z47" s="367"/>
      <c r="AA47" s="367"/>
      <c r="AB47" s="367"/>
      <c r="AC47" s="367"/>
      <c r="AD47" s="367"/>
      <c r="AE47" s="367"/>
      <c r="AF47" s="368"/>
    </row>
    <row r="48" spans="2:32" ht="27" customHeight="1">
      <c r="B48" s="665"/>
      <c r="C48" s="1150" t="s">
        <v>582</v>
      </c>
      <c r="D48" s="1151" t="s">
        <v>640</v>
      </c>
      <c r="E48" s="491">
        <f>+L26</f>
        <v>-2000000</v>
      </c>
      <c r="F48" s="404"/>
      <c r="G48" s="404">
        <v>2000000</v>
      </c>
      <c r="H48" s="404"/>
      <c r="I48" s="404"/>
      <c r="J48" s="404"/>
      <c r="K48" s="404"/>
      <c r="L48" s="491">
        <f>SUM(E48:K48)</f>
        <v>0</v>
      </c>
      <c r="M48" s="1262"/>
      <c r="N48" s="1263"/>
      <c r="O48" s="1263"/>
      <c r="P48" s="1264"/>
      <c r="Q48" s="667"/>
      <c r="S48" s="365"/>
      <c r="T48" s="367"/>
      <c r="U48" s="367"/>
      <c r="V48" s="367"/>
      <c r="W48" s="367"/>
      <c r="X48" s="367"/>
      <c r="Y48" s="367"/>
      <c r="Z48" s="367"/>
      <c r="AA48" s="367"/>
      <c r="AB48" s="367"/>
      <c r="AC48" s="367"/>
      <c r="AD48" s="367"/>
      <c r="AE48" s="367"/>
      <c r="AF48" s="368"/>
    </row>
    <row r="49" spans="2:32" ht="27" customHeight="1">
      <c r="B49" s="665"/>
      <c r="C49" s="1150" t="s">
        <v>590</v>
      </c>
      <c r="D49" s="1151" t="s">
        <v>641</v>
      </c>
      <c r="E49" s="491">
        <f aca="true" t="shared" si="8" ref="E49:L49">SUM(E50:E51)</f>
        <v>-2162.03</v>
      </c>
      <c r="F49" s="491">
        <f t="shared" si="8"/>
        <v>0</v>
      </c>
      <c r="G49" s="491">
        <f t="shared" si="8"/>
        <v>0</v>
      </c>
      <c r="H49" s="491">
        <f t="shared" si="8"/>
        <v>0</v>
      </c>
      <c r="I49" s="491">
        <f t="shared" si="8"/>
        <v>0</v>
      </c>
      <c r="J49" s="491">
        <f t="shared" si="8"/>
        <v>0</v>
      </c>
      <c r="K49" s="491">
        <f t="shared" si="8"/>
        <v>0</v>
      </c>
      <c r="L49" s="491">
        <f t="shared" si="8"/>
        <v>-2162.03</v>
      </c>
      <c r="M49" s="1280"/>
      <c r="N49" s="1281"/>
      <c r="O49" s="1281"/>
      <c r="P49" s="1282"/>
      <c r="Q49" s="667"/>
      <c r="S49" s="365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8"/>
    </row>
    <row r="50" spans="2:32" ht="27" customHeight="1">
      <c r="B50" s="665"/>
      <c r="C50" s="1152" t="s">
        <v>462</v>
      </c>
      <c r="D50" s="1153" t="s">
        <v>642</v>
      </c>
      <c r="E50" s="1154">
        <f aca="true" t="shared" si="9" ref="E50:E55">+L28</f>
        <v>0</v>
      </c>
      <c r="F50" s="402"/>
      <c r="G50" s="402"/>
      <c r="H50" s="402"/>
      <c r="I50" s="402"/>
      <c r="J50" s="402"/>
      <c r="K50" s="402"/>
      <c r="L50" s="1154">
        <f aca="true" t="shared" si="10" ref="L50:L55">SUM(E50:K50)</f>
        <v>0</v>
      </c>
      <c r="M50" s="1283"/>
      <c r="N50" s="1284"/>
      <c r="O50" s="1284"/>
      <c r="P50" s="1285"/>
      <c r="Q50" s="667"/>
      <c r="S50" s="365"/>
      <c r="T50" s="367"/>
      <c r="U50" s="367"/>
      <c r="V50" s="367"/>
      <c r="W50" s="367"/>
      <c r="X50" s="367"/>
      <c r="Y50" s="367"/>
      <c r="Z50" s="367"/>
      <c r="AA50" s="367"/>
      <c r="AB50" s="367"/>
      <c r="AC50" s="367"/>
      <c r="AD50" s="367"/>
      <c r="AE50" s="367"/>
      <c r="AF50" s="368"/>
    </row>
    <row r="51" spans="2:32" ht="27" customHeight="1">
      <c r="B51" s="665"/>
      <c r="C51" s="1155" t="s">
        <v>469</v>
      </c>
      <c r="D51" s="1156" t="s">
        <v>643</v>
      </c>
      <c r="E51" s="1157">
        <f t="shared" si="9"/>
        <v>-2162.03</v>
      </c>
      <c r="F51" s="403"/>
      <c r="G51" s="403"/>
      <c r="H51" s="403"/>
      <c r="I51" s="403"/>
      <c r="J51" s="403"/>
      <c r="K51" s="403"/>
      <c r="L51" s="1157">
        <f t="shared" si="10"/>
        <v>-2162.03</v>
      </c>
      <c r="M51" s="1265"/>
      <c r="N51" s="1266"/>
      <c r="O51" s="1266"/>
      <c r="P51" s="1267"/>
      <c r="Q51" s="667"/>
      <c r="S51" s="365"/>
      <c r="T51" s="367"/>
      <c r="U51" s="367"/>
      <c r="V51" s="367"/>
      <c r="W51" s="367"/>
      <c r="X51" s="367"/>
      <c r="Y51" s="367"/>
      <c r="Z51" s="367"/>
      <c r="AA51" s="367"/>
      <c r="AB51" s="367"/>
      <c r="AC51" s="367"/>
      <c r="AD51" s="367"/>
      <c r="AE51" s="367"/>
      <c r="AF51" s="368"/>
    </row>
    <row r="52" spans="2:32" ht="27" customHeight="1">
      <c r="B52" s="665"/>
      <c r="C52" s="1150" t="s">
        <v>593</v>
      </c>
      <c r="D52" s="1151" t="s">
        <v>644</v>
      </c>
      <c r="E52" s="491">
        <f t="shared" si="9"/>
        <v>0</v>
      </c>
      <c r="F52" s="404"/>
      <c r="G52" s="404"/>
      <c r="H52" s="404"/>
      <c r="I52" s="404"/>
      <c r="J52" s="404"/>
      <c r="K52" s="404"/>
      <c r="L52" s="491">
        <f t="shared" si="10"/>
        <v>0</v>
      </c>
      <c r="M52" s="1262"/>
      <c r="N52" s="1263"/>
      <c r="O52" s="1263"/>
      <c r="P52" s="1264"/>
      <c r="Q52" s="667"/>
      <c r="S52" s="365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8"/>
    </row>
    <row r="53" spans="2:32" ht="27" customHeight="1">
      <c r="B53" s="665"/>
      <c r="C53" s="1150" t="s">
        <v>595</v>
      </c>
      <c r="D53" s="1151" t="s">
        <v>645</v>
      </c>
      <c r="E53" s="491">
        <f t="shared" si="9"/>
        <v>9200873.63</v>
      </c>
      <c r="F53" s="404"/>
      <c r="G53" s="404"/>
      <c r="H53" s="404"/>
      <c r="I53" s="404">
        <v>-9200873.63</v>
      </c>
      <c r="J53" s="404"/>
      <c r="K53" s="404">
        <v>2818259.62</v>
      </c>
      <c r="L53" s="491">
        <f t="shared" si="10"/>
        <v>2818259.62</v>
      </c>
      <c r="M53" s="1280"/>
      <c r="N53" s="1281"/>
      <c r="O53" s="1281"/>
      <c r="P53" s="1282"/>
      <c r="Q53" s="667"/>
      <c r="S53" s="365"/>
      <c r="T53" s="367"/>
      <c r="U53" s="367"/>
      <c r="V53" s="367"/>
      <c r="W53" s="367"/>
      <c r="X53" s="367"/>
      <c r="Y53" s="367"/>
      <c r="Z53" s="367"/>
      <c r="AA53" s="367"/>
      <c r="AB53" s="367"/>
      <c r="AC53" s="367"/>
      <c r="AD53" s="367"/>
      <c r="AE53" s="367"/>
      <c r="AF53" s="368"/>
    </row>
    <row r="54" spans="2:32" ht="27" customHeight="1">
      <c r="B54" s="665"/>
      <c r="C54" s="1150" t="s">
        <v>646</v>
      </c>
      <c r="D54" s="1151" t="s">
        <v>647</v>
      </c>
      <c r="E54" s="491">
        <f t="shared" si="9"/>
        <v>0</v>
      </c>
      <c r="F54" s="404"/>
      <c r="G54" s="404"/>
      <c r="H54" s="404"/>
      <c r="I54" s="404"/>
      <c r="J54" s="404"/>
      <c r="K54" s="404"/>
      <c r="L54" s="491">
        <f t="shared" si="10"/>
        <v>0</v>
      </c>
      <c r="M54" s="1280"/>
      <c r="N54" s="1281"/>
      <c r="O54" s="1281"/>
      <c r="P54" s="1282"/>
      <c r="Q54" s="667"/>
      <c r="S54" s="365"/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7"/>
      <c r="AE54" s="367"/>
      <c r="AF54" s="368"/>
    </row>
    <row r="55" spans="2:32" ht="27" customHeight="1">
      <c r="B55" s="665"/>
      <c r="C55" s="1150" t="s">
        <v>648</v>
      </c>
      <c r="D55" s="1151" t="s">
        <v>649</v>
      </c>
      <c r="E55" s="491">
        <f t="shared" si="9"/>
        <v>0</v>
      </c>
      <c r="F55" s="404"/>
      <c r="G55" s="404"/>
      <c r="H55" s="404"/>
      <c r="I55" s="404"/>
      <c r="J55" s="404"/>
      <c r="K55" s="404"/>
      <c r="L55" s="491">
        <f t="shared" si="10"/>
        <v>0</v>
      </c>
      <c r="M55" s="1280"/>
      <c r="N55" s="1281"/>
      <c r="O55" s="1281"/>
      <c r="P55" s="1282"/>
      <c r="Q55" s="667"/>
      <c r="S55" s="365"/>
      <c r="T55" s="367"/>
      <c r="U55" s="367"/>
      <c r="V55" s="367"/>
      <c r="W55" s="367"/>
      <c r="X55" s="367"/>
      <c r="Y55" s="367"/>
      <c r="Z55" s="367"/>
      <c r="AA55" s="367"/>
      <c r="AB55" s="367"/>
      <c r="AC55" s="367"/>
      <c r="AD55" s="367"/>
      <c r="AE55" s="367"/>
      <c r="AF55" s="368"/>
    </row>
    <row r="56" spans="2:32" ht="27" customHeight="1">
      <c r="B56" s="665"/>
      <c r="C56" s="1158"/>
      <c r="D56" s="666"/>
      <c r="E56" s="1159"/>
      <c r="F56" s="1159"/>
      <c r="G56" s="1159"/>
      <c r="H56" s="1159"/>
      <c r="I56" s="1159"/>
      <c r="J56" s="1159"/>
      <c r="K56" s="1159"/>
      <c r="L56" s="1159"/>
      <c r="M56" s="1159"/>
      <c r="N56" s="1159"/>
      <c r="O56" s="1159"/>
      <c r="P56" s="1160"/>
      <c r="Q56" s="667"/>
      <c r="S56" s="365"/>
      <c r="T56" s="367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8"/>
    </row>
    <row r="57" spans="2:32" ht="22.5" customHeight="1" thickBot="1">
      <c r="B57" s="665"/>
      <c r="C57" s="1161"/>
      <c r="D57" s="1162"/>
      <c r="E57" s="1163"/>
      <c r="F57" s="1163"/>
      <c r="G57" s="1163"/>
      <c r="H57" s="1163"/>
      <c r="I57" s="1163"/>
      <c r="J57" s="1163"/>
      <c r="K57" s="1163"/>
      <c r="L57" s="1163"/>
      <c r="M57" s="1163"/>
      <c r="N57" s="1163"/>
      <c r="O57" s="1163"/>
      <c r="P57" s="1164"/>
      <c r="Q57" s="667"/>
      <c r="S57" s="378"/>
      <c r="T57" s="379"/>
      <c r="U57" s="379"/>
      <c r="V57" s="379"/>
      <c r="W57" s="379"/>
      <c r="X57" s="379"/>
      <c r="Y57" s="379"/>
      <c r="Z57" s="379"/>
      <c r="AA57" s="379"/>
      <c r="AB57" s="379"/>
      <c r="AC57" s="379"/>
      <c r="AD57" s="379"/>
      <c r="AE57" s="379"/>
      <c r="AF57" s="380"/>
    </row>
    <row r="58" spans="2:32" ht="22.5" customHeight="1" thickBot="1">
      <c r="B58" s="695"/>
      <c r="C58" s="1233"/>
      <c r="D58" s="1233"/>
      <c r="E58" s="1233"/>
      <c r="F58" s="1233"/>
      <c r="G58" s="1233"/>
      <c r="H58" s="1233"/>
      <c r="I58" s="1233"/>
      <c r="J58" s="1233"/>
      <c r="K58" s="1233"/>
      <c r="L58" s="1233"/>
      <c r="M58" s="1233"/>
      <c r="N58" s="1233"/>
      <c r="O58" s="1233"/>
      <c r="P58" s="696"/>
      <c r="Q58" s="697"/>
      <c r="S58" s="381"/>
      <c r="T58" s="382"/>
      <c r="U58" s="382"/>
      <c r="V58" s="382"/>
      <c r="W58" s="382"/>
      <c r="X58" s="382"/>
      <c r="Y58" s="382"/>
      <c r="Z58" s="382"/>
      <c r="AA58" s="382"/>
      <c r="AB58" s="382"/>
      <c r="AC58" s="382"/>
      <c r="AD58" s="382"/>
      <c r="AE58" s="382"/>
      <c r="AF58" s="383"/>
    </row>
    <row r="59" spans="3:18" ht="22.5" customHeight="1">
      <c r="C59" s="660"/>
      <c r="D59" s="660"/>
      <c r="E59" s="660"/>
      <c r="F59" s="660"/>
      <c r="G59" s="660"/>
      <c r="H59" s="660"/>
      <c r="I59" s="660"/>
      <c r="J59" s="660"/>
      <c r="K59" s="660"/>
      <c r="L59" s="660"/>
      <c r="M59" s="660"/>
      <c r="N59" s="660"/>
      <c r="O59" s="660"/>
      <c r="P59" s="660"/>
      <c r="R59" s="659" t="s">
        <v>154</v>
      </c>
    </row>
    <row r="60" spans="3:16" ht="12.75">
      <c r="C60" s="698" t="s">
        <v>451</v>
      </c>
      <c r="D60" s="660"/>
      <c r="E60" s="660"/>
      <c r="F60" s="660"/>
      <c r="G60" s="660"/>
      <c r="H60" s="660"/>
      <c r="I60" s="660"/>
      <c r="J60" s="660"/>
      <c r="K60" s="660"/>
      <c r="L60" s="660"/>
      <c r="M60" s="660"/>
      <c r="N60" s="660"/>
      <c r="O60" s="660"/>
      <c r="P60" s="639" t="s">
        <v>187</v>
      </c>
    </row>
    <row r="61" spans="3:16" ht="12.75">
      <c r="C61" s="699" t="s">
        <v>452</v>
      </c>
      <c r="D61" s="660"/>
      <c r="E61" s="660"/>
      <c r="F61" s="660"/>
      <c r="G61" s="660"/>
      <c r="H61" s="660"/>
      <c r="I61" s="660"/>
      <c r="J61" s="660"/>
      <c r="K61" s="660"/>
      <c r="L61" s="660"/>
      <c r="M61" s="660"/>
      <c r="N61" s="660"/>
      <c r="O61" s="660"/>
      <c r="P61" s="660"/>
    </row>
    <row r="62" spans="3:16" ht="12.75">
      <c r="C62" s="699" t="s">
        <v>453</v>
      </c>
      <c r="D62" s="660"/>
      <c r="E62" s="660"/>
      <c r="F62" s="660"/>
      <c r="G62" s="660"/>
      <c r="H62" s="660"/>
      <c r="I62" s="660"/>
      <c r="J62" s="660"/>
      <c r="K62" s="660"/>
      <c r="L62" s="660"/>
      <c r="M62" s="660"/>
      <c r="N62" s="660"/>
      <c r="O62" s="660"/>
      <c r="P62" s="660"/>
    </row>
    <row r="63" spans="3:16" ht="12.75">
      <c r="C63" s="699" t="s">
        <v>454</v>
      </c>
      <c r="D63" s="660"/>
      <c r="E63" s="660"/>
      <c r="F63" s="660"/>
      <c r="G63" s="660"/>
      <c r="H63" s="660"/>
      <c r="I63" s="660"/>
      <c r="J63" s="660"/>
      <c r="K63" s="660"/>
      <c r="L63" s="660"/>
      <c r="M63" s="660"/>
      <c r="N63" s="660"/>
      <c r="O63" s="660"/>
      <c r="P63" s="660"/>
    </row>
    <row r="64" spans="3:16" ht="12.75">
      <c r="C64" s="699" t="s">
        <v>455</v>
      </c>
      <c r="D64" s="660"/>
      <c r="E64" s="660"/>
      <c r="F64" s="660"/>
      <c r="G64" s="660"/>
      <c r="H64" s="660"/>
      <c r="I64" s="660"/>
      <c r="J64" s="660"/>
      <c r="K64" s="660"/>
      <c r="L64" s="660"/>
      <c r="M64" s="660"/>
      <c r="N64" s="660"/>
      <c r="O64" s="660"/>
      <c r="P64" s="660"/>
    </row>
    <row r="65" spans="3:16" ht="22.5" customHeight="1">
      <c r="C65" s="660"/>
      <c r="D65" s="660"/>
      <c r="E65" s="1165"/>
      <c r="F65" s="1165"/>
      <c r="G65" s="1165"/>
      <c r="H65" s="1165"/>
      <c r="I65" s="1165"/>
      <c r="J65" s="1165"/>
      <c r="K65" s="1165"/>
      <c r="L65" s="1165"/>
      <c r="M65" s="1165"/>
      <c r="N65" s="1165"/>
      <c r="O65" s="1165">
        <f>IF(_CHECK_LIST!K15&gt;0,"Revisa","")</f>
      </c>
      <c r="P65" s="1165">
        <f>IF(_CHECK_LIST!L15&gt;0,"Revisa","")</f>
      </c>
    </row>
    <row r="66" spans="3:16" ht="22.5" customHeight="1">
      <c r="C66" s="660"/>
      <c r="D66" s="660"/>
      <c r="E66" s="660"/>
      <c r="F66" s="660"/>
      <c r="G66" s="660"/>
      <c r="H66" s="660"/>
      <c r="I66" s="660"/>
      <c r="J66" s="660"/>
      <c r="K66" s="660"/>
      <c r="L66" s="660"/>
      <c r="M66" s="660"/>
      <c r="N66" s="660"/>
      <c r="O66" s="660"/>
      <c r="P66" s="660"/>
    </row>
    <row r="67" spans="3:16" ht="22.5" customHeight="1">
      <c r="C67" s="660"/>
      <c r="D67" s="660"/>
      <c r="E67" s="660"/>
      <c r="F67" s="660"/>
      <c r="G67" s="660"/>
      <c r="H67" s="660"/>
      <c r="I67" s="660"/>
      <c r="J67" s="660"/>
      <c r="K67" s="660"/>
      <c r="L67" s="660"/>
      <c r="M67" s="660"/>
      <c r="N67" s="660"/>
      <c r="O67" s="660"/>
      <c r="P67" s="660"/>
    </row>
    <row r="68" spans="3:16" ht="12.75">
      <c r="C68" s="660"/>
      <c r="D68" s="660"/>
      <c r="E68" s="660"/>
      <c r="F68" s="660"/>
      <c r="G68" s="660"/>
      <c r="H68" s="660"/>
      <c r="I68" s="660"/>
      <c r="J68" s="660"/>
      <c r="K68" s="660"/>
      <c r="L68" s="660"/>
      <c r="M68" s="660"/>
      <c r="N68" s="660"/>
      <c r="O68" s="660"/>
      <c r="P68" s="660"/>
    </row>
    <row r="69" spans="15:16" ht="12.75">
      <c r="O69" s="660"/>
      <c r="P69" s="660"/>
    </row>
  </sheetData>
  <sheetProtection password="C494" sheet="1" objects="1" scenarios="1"/>
  <mergeCells count="47">
    <mergeCell ref="M46:P46"/>
    <mergeCell ref="C13:C14"/>
    <mergeCell ref="D13:D14"/>
    <mergeCell ref="D35:D36"/>
    <mergeCell ref="M47:P47"/>
    <mergeCell ref="M41:P41"/>
    <mergeCell ref="M42:P42"/>
    <mergeCell ref="M43:P43"/>
    <mergeCell ref="M33:P33"/>
    <mergeCell ref="M35:P35"/>
    <mergeCell ref="M44:P44"/>
    <mergeCell ref="M53:P53"/>
    <mergeCell ref="M54:P54"/>
    <mergeCell ref="M55:P55"/>
    <mergeCell ref="C35:C36"/>
    <mergeCell ref="M48:P48"/>
    <mergeCell ref="M49:P49"/>
    <mergeCell ref="M50:P50"/>
    <mergeCell ref="M51:P51"/>
    <mergeCell ref="M52:P52"/>
    <mergeCell ref="M28:P28"/>
    <mergeCell ref="M37:P38"/>
    <mergeCell ref="M39:P39"/>
    <mergeCell ref="M40:P40"/>
    <mergeCell ref="M30:P30"/>
    <mergeCell ref="M31:P31"/>
    <mergeCell ref="M36:P36"/>
    <mergeCell ref="M19:P19"/>
    <mergeCell ref="M45:P45"/>
    <mergeCell ref="M32:P32"/>
    <mergeCell ref="M21:P21"/>
    <mergeCell ref="M22:P22"/>
    <mergeCell ref="M23:P23"/>
    <mergeCell ref="M24:P24"/>
    <mergeCell ref="M25:P25"/>
    <mergeCell ref="M26:P26"/>
    <mergeCell ref="M27:P27"/>
    <mergeCell ref="M20:P20"/>
    <mergeCell ref="M29:P29"/>
    <mergeCell ref="P6:P7"/>
    <mergeCell ref="D9:P9"/>
    <mergeCell ref="C58:O58"/>
    <mergeCell ref="M14:P14"/>
    <mergeCell ref="M13:P13"/>
    <mergeCell ref="M15:P16"/>
    <mergeCell ref="M17:P17"/>
    <mergeCell ref="M18:P18"/>
  </mergeCells>
  <printOptions/>
  <pageMargins left="0.7500000000000001" right="0.7500000000000001" top="1" bottom="1" header="0.5" footer="0.5"/>
  <pageSetup fitToHeight="1" fitToWidth="1" orientation="landscape" paperSize="9" scale="3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Abreu</dc:creator>
  <cp:keywords/>
  <dc:description/>
  <cp:lastModifiedBy>Silvia Davara Arricivita</cp:lastModifiedBy>
  <cp:lastPrinted>2018-11-05T09:51:30Z</cp:lastPrinted>
  <dcterms:created xsi:type="dcterms:W3CDTF">2017-09-18T15:25:23Z</dcterms:created>
  <dcterms:modified xsi:type="dcterms:W3CDTF">2018-11-06T17:29:46Z</dcterms:modified>
  <cp:category/>
  <cp:version/>
  <cp:contentType/>
  <cp:contentStatus/>
</cp:coreProperties>
</file>