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15" windowWidth="17250" windowHeight="3630" tabRatio="870" firstSheet="13" activeTab="21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Estado de Flujos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INF. ADIC. CPYG" sheetId="13" r:id="rId13"/>
    <sheet name="Transf. y subv." sheetId="14" r:id="rId14"/>
    <sheet name="Anexo Transf. y subv." sheetId="15" r:id="rId15"/>
    <sheet name="Estado de situación de la deuda" sheetId="16" r:id="rId16"/>
    <sheet name="Deuda L.P." sheetId="17" r:id="rId17"/>
    <sheet name="EP7 A" sheetId="18" state="hidden" r:id="rId18"/>
    <sheet name="Deuda C.P." sheetId="19" r:id="rId19"/>
    <sheet name="Personal" sheetId="20" r:id="rId20"/>
    <sheet name="Operaciones Internas" sheetId="21" r:id="rId21"/>
    <sheet name="Encomiendas" sheetId="22" r:id="rId22"/>
    <sheet name="1" sheetId="23" r:id="rId23"/>
    <sheet name="2" sheetId="24" r:id="rId24"/>
    <sheet name="3" sheetId="25" r:id="rId25"/>
  </sheets>
  <definedNames>
    <definedName name="_xlnm.Print_Area" localSheetId="22">'1'!$A$1:$H$30</definedName>
    <definedName name="_xlnm.Print_Area" localSheetId="23">'2'!$B$2:$D$61</definedName>
    <definedName name="_xlnm.Print_Area" localSheetId="24">'3'!$B$2:$D$93</definedName>
    <definedName name="_xlnm.Print_Area" localSheetId="2">'ACCIONISTAS'!$A$1:$E$49</definedName>
    <definedName name="_xlnm.Print_Area" localSheetId="5">'ACTIVO'!$A$1:$D$48</definedName>
    <definedName name="_xlnm.Print_Area" localSheetId="14">'Anexo Transf. y subv.'!$B$1:$H$64</definedName>
    <definedName name="_xlnm.Print_Area" localSheetId="3">'COMPROBACION'!$B$1:$D$72</definedName>
    <definedName name="_xlnm.Print_Area" localSheetId="4">'CPYG'!$A$1:$D$112</definedName>
    <definedName name="_xlnm.Print_Area" localSheetId="18">'Deuda C.P.'!$A$1:$O$22</definedName>
    <definedName name="_xlnm.Print_Area" localSheetId="16">'Deuda L.P.'!$A$1:$O$29</definedName>
    <definedName name="_xlnm.Print_Area" localSheetId="21">'Encomiendas'!$A$1:$E$28</definedName>
    <definedName name="_xlnm.Print_Area" localSheetId="17">'EP7 A'!$A$1:$H$25</definedName>
    <definedName name="_xlnm.Print_Area" localSheetId="7">'Estado de Flujos'!$A$1:$D$86</definedName>
    <definedName name="_xlnm.Print_Area" localSheetId="15">'Estado de situación de la deuda'!$A$1:$J$57</definedName>
    <definedName name="_xlnm.Print_Area" localSheetId="12">'INF. ADIC. CPYG'!$A$1:$E$28</definedName>
    <definedName name="_xlnm.Print_Area" localSheetId="10">'Inv. FIN'!$A$1:$L$45</definedName>
    <definedName name="_xlnm.Print_Area" localSheetId="9">'Inv. NO FIN'!$A$1:$K$28</definedName>
    <definedName name="_xlnm.Print_Area" localSheetId="8">'Inversiones reales'!$A$1:$P$33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0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9">'Personal'!$A$1:$H$59</definedName>
    <definedName name="_xlnm.Print_Area" localSheetId="13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<sst xmlns="http://schemas.openxmlformats.org/spreadsheetml/2006/main" count="1583" uniqueCount="936">
  <si>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</si>
  <si>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</si>
  <si>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</si>
  <si>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</si>
  <si>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</si>
  <si>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</si>
  <si>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</si>
  <si>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</si>
  <si>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</si>
  <si>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</si>
  <si>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</si>
  <si>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</si>
  <si>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</si>
  <si>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</si>
  <si>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</si>
  <si>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</si>
  <si>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</si>
  <si>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</si>
  <si>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</si>
  <si>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</si>
  <si>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</si>
  <si>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</si>
  <si>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</si>
  <si>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</si>
  <si>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</si>
  <si>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</si>
  <si>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</si>
  <si>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</si>
  <si>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</si>
  <si>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</si>
  <si>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</si>
  <si>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</si>
  <si>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</si>
  <si>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</si>
  <si>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</si>
  <si>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</si>
  <si>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</si>
  <si>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</si>
  <si>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</si>
  <si>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</si>
  <si>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</si>
  <si>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</si>
  <si>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</si>
  <si>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</si>
  <si>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</si>
  <si>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</si>
  <si>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</si>
  <si>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</si>
  <si>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</si>
  <si>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</si>
  <si>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</si>
  <si>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</si>
  <si>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</si>
  <si>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2016             (previsión)</t>
  </si>
  <si>
    <t>2015           (estimado)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</si>
  <si>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</si>
  <si>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</si>
  <si>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</si>
  <si>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</si>
  <si>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</si>
  <si>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</si>
  <si>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</si>
  <si>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</si>
  <si>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</si>
  <si>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</si>
  <si>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</si>
  <si>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</si>
  <si>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</si>
  <si>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</si>
  <si>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</si>
  <si>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</si>
  <si>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</si>
  <si>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</si>
  <si>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</si>
  <si>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</si>
  <si>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</si>
  <si>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</si>
  <si>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</si>
  <si>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</si>
  <si>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</si>
  <si>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</si>
  <si>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</si>
  <si>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</si>
  <si>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</si>
  <si>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</si>
  <si>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</si>
  <si>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</si>
  <si>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</si>
  <si>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</si>
  <si>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</si>
  <si>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</si>
  <si>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</si>
  <si>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</si>
  <si>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</si>
  <si>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</si>
  <si>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</si>
  <si>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</si>
  <si>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</si>
  <si>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</si>
  <si>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</si>
  <si>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</si>
  <si>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</si>
  <si>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</si>
  <si>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</si>
  <si>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</si>
  <si>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</si>
  <si>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</si>
  <si>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</si>
  <si>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</si>
  <si>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</si>
  <si>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</si>
  <si>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</si>
  <si>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</si>
  <si>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</si>
  <si>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</si>
  <si>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</si>
  <si>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</si>
  <si>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</si>
  <si>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</si>
  <si>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</si>
  <si>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</si>
  <si>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</si>
  <si>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</si>
  <si>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</si>
  <si>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</si>
  <si>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</si>
  <si>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</si>
  <si>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</si>
  <si>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</si>
  <si>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</si>
  <si>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</si>
  <si>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</si>
  <si>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</si>
  <si>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</si>
  <si>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</si>
  <si>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</si>
  <si>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</si>
  <si>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</si>
  <si>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</si>
  <si>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</si>
  <si>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</si>
  <si>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</si>
  <si>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</si>
  <si>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</si>
  <si>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</si>
  <si>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</si>
  <si>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</si>
  <si>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</si>
  <si>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</si>
  <si>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</si>
  <si>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</si>
  <si>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</si>
  <si>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</si>
  <si>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</si>
  <si>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</si>
  <si>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</si>
  <si>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</si>
  <si>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</si>
  <si>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</si>
  <si>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</si>
  <si>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</si>
  <si>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</si>
  <si>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</si>
  <si>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</si>
  <si>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</si>
  <si>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</si>
  <si>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</si>
  <si>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</si>
  <si>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</si>
  <si>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</si>
  <si>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</si>
  <si>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</si>
  <si>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</si>
  <si>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</si>
  <si>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</si>
  <si>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</si>
  <si>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</si>
  <si>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</si>
  <si>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</si>
  <si>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</si>
  <si>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</si>
  <si>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</si>
  <si>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</si>
  <si>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>OFICINA TÉCNICA MOVILIDAD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</si>
  <si>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</si>
  <si>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</si>
  <si>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</si>
  <si>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</si>
  <si>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</si>
  <si>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</si>
  <si>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</si>
  <si>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</si>
  <si>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</si>
  <si>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</si>
  <si>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</si>
  <si>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</si>
  <si>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</si>
  <si>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</si>
  <si>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</si>
  <si>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</si>
  <si>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</si>
  <si>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</si>
  <si>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</si>
  <si>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</si>
  <si>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</si>
  <si>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</si>
  <si>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</si>
  <si>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</si>
  <si>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</si>
  <si>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</si>
  <si>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</si>
  <si>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</si>
  <si>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</si>
  <si>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</si>
  <si>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</si>
  <si>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</si>
  <si>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</si>
  <si>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</si>
  <si>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</si>
  <si>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</si>
  <si>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</si>
  <si>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</si>
  <si>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</si>
  <si>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</si>
  <si>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</si>
  <si>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</si>
  <si>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</si>
  <si>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</si>
  <si>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</si>
  <si>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</si>
  <si>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</si>
  <si>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</si>
  <si>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</si>
  <si>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</si>
  <si>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</si>
  <si>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</si>
  <si>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</si>
  <si>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</si>
  <si>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</si>
  <si>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</si>
  <si>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</si>
  <si>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</si>
  <si>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</si>
  <si>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</si>
  <si>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</si>
  <si>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</si>
  <si>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</si>
  <si>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</si>
  <si>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</si>
  <si>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</si>
  <si>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</si>
  <si>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</si>
  <si>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</si>
  <si>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</si>
  <si>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</si>
  <si>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</si>
  <si>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</si>
  <si>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</si>
  <si>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</si>
  <si>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</si>
  <si>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</si>
  <si>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</si>
  <si>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</si>
  <si>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</si>
  <si>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</si>
  <si>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</si>
  <si>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</si>
  <si>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</si>
  <si>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</si>
  <si>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</si>
  <si>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</si>
  <si>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</si>
  <si>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</si>
  <si>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</si>
  <si>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</si>
  <si>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</si>
  <si>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 xml:space="preserve">       VI.Otras aportaciones de socios.</t>
  </si>
  <si>
    <t xml:space="preserve">      VII. Resultado del Ejercicio</t>
  </si>
  <si>
    <t xml:space="preserve">       VIII.(Dividendo a cuenta).</t>
  </si>
  <si>
    <t>ÁREA DE MOVILIDAD</t>
  </si>
  <si>
    <t>GESTIÓN DE LA ESTACIÓN DE GUAGUAS DE ADEJE</t>
  </si>
  <si>
    <t>4% BENIFICIO LÍQUIDO</t>
  </si>
  <si>
    <t>20 AÑOS</t>
  </si>
  <si>
    <t>GESTIÓN ESTACIÓN DE GUAGUAS DE ICOD DE LOS VINOS</t>
  </si>
  <si>
    <t>CANON MÍNIMO (60 €) + 4% BENEFICIO OBTENIDO RESPECTO AL CANON MÍNIMO</t>
  </si>
  <si>
    <t>INDEFINIDA</t>
  </si>
  <si>
    <t>EXPLOTACIÓN DE LA ESTACIÓN DE BUENAVISTA DEL NORTE</t>
  </si>
  <si>
    <t>GESTIÓN DE LA ESTACIÓN DE GUAGUAS DE GUÍA DE ISORA</t>
  </si>
  <si>
    <t>GESTIÓN DE LA ESTACIÓN DE GUAGUAS DE PADRE ANCHIETA</t>
  </si>
  <si>
    <t>10 AÑOS</t>
  </si>
  <si>
    <t>ERNST &amp; YOUNG, S.L.</t>
  </si>
  <si>
    <t>Talleres</t>
  </si>
  <si>
    <t>Mantenimiento</t>
  </si>
  <si>
    <t>Tecnologías de la información</t>
  </si>
  <si>
    <t>UTE City Sightseeing Santa Cruz de Tenerife - U76531201</t>
  </si>
  <si>
    <t>UTE City Expert Santa Cruz de Tenerife - U76614023</t>
  </si>
  <si>
    <t>D. Miguel Becerra Domínguez</t>
  </si>
  <si>
    <t>D. Manuel Víctor Ortega Santaella</t>
  </si>
  <si>
    <t>D. Dámaso Arteaga Suárez</t>
  </si>
  <si>
    <t>D. José Jonathan Domínguez Roger</t>
  </si>
  <si>
    <t>D. Manuel Fernández Vega</t>
  </si>
  <si>
    <t>D. Manuel Fernando Martínez Álvarez</t>
  </si>
  <si>
    <t>D. Alberto Bernabé Teja</t>
  </si>
  <si>
    <t>D. Fernando Sabaté Bel</t>
  </si>
  <si>
    <t>D. Jose Antonio Valbuena</t>
  </si>
  <si>
    <t>D. Jacobo Kalitovics Nóbrega</t>
  </si>
  <si>
    <t>TRANSPORTES INTERURBANOS DE TENERIFE, S.A.U.</t>
  </si>
  <si>
    <t>520 - Deudas a C/P con entidades de crédito</t>
  </si>
  <si>
    <t>Caja Siete</t>
  </si>
  <si>
    <t>75+788</t>
  </si>
  <si>
    <t>Ver anexo transferencias y subvenciones</t>
  </si>
  <si>
    <t>PLAN DE SANEAMIENTO</t>
  </si>
  <si>
    <t>POLITICA DE TRANSPORTE 2013</t>
  </si>
  <si>
    <t>POLITICA DE TRANSPORTE 2014</t>
  </si>
  <si>
    <t>DÉFICIT 2014</t>
  </si>
  <si>
    <t>CIRCULANTE 2014</t>
  </si>
  <si>
    <t>POLÍTICA DE TPTE. 2015</t>
  </si>
  <si>
    <t>IGIC POLÍTICA DE TPTE. 2015</t>
  </si>
  <si>
    <t>DÉFICIT 2015</t>
  </si>
  <si>
    <t>BONOS SOCIALES 2015</t>
  </si>
  <si>
    <t>INVERSIÓN 2015</t>
  </si>
  <si>
    <t>DÉFICIT 2016</t>
  </si>
  <si>
    <t>INVERSIÓN 2016</t>
  </si>
  <si>
    <t>RECARROZADO Y REMOTORIZADO</t>
  </si>
  <si>
    <t>RENTING FLOTA 1 (34 VEH.IU)</t>
  </si>
  <si>
    <t>ASISTENCIA TÉCNICA IMPLANTACIÓN SIS.BILLÉTICA</t>
  </si>
  <si>
    <t>RENTING FLOTA 2  (6M) 48 VEH.</t>
  </si>
  <si>
    <t>RENTING FLOTA 3 (3M)  49 VEH.</t>
  </si>
  <si>
    <t>EQUIPOS BILLÉTICA SIN CONTACTO Y SAE</t>
  </si>
  <si>
    <t>CONVENIOS 2014</t>
  </si>
  <si>
    <t>DEUDA ANTERIOR 2008</t>
  </si>
  <si>
    <t xml:space="preserve">GASTOS FINANCIEROS </t>
  </si>
  <si>
    <t>LIQUIDACIÓN 2014</t>
  </si>
  <si>
    <t>LIQUIDACIÓN 2015</t>
  </si>
  <si>
    <t>LIQUIDACIÓN 2016</t>
  </si>
  <si>
    <t>RENTING FLOTA 1 (19 VEH.U)</t>
  </si>
  <si>
    <t>ENTE</t>
  </si>
  <si>
    <t>Cabildo</t>
  </si>
  <si>
    <t>Cabildo:</t>
  </si>
  <si>
    <t>Ayuntamiento de Santa Cruz:</t>
  </si>
  <si>
    <t>Ayuntamiento de La Laguna:</t>
  </si>
  <si>
    <t>566 - Depósitos constituidos C/P</t>
  </si>
  <si>
    <t>260 - Fianzas constituidas L/P</t>
  </si>
  <si>
    <t>265 - Depósitos constituidos L/P</t>
  </si>
  <si>
    <t>Deudas con Entidades de Crédito L/P</t>
  </si>
  <si>
    <t>Caixa</t>
  </si>
  <si>
    <t>CONVENIOS 2015</t>
  </si>
  <si>
    <t>CONVENIOS 2016</t>
  </si>
  <si>
    <t>Devolución Ibi Cuevas Blancas</t>
  </si>
  <si>
    <t>Multas y sanciones</t>
  </si>
  <si>
    <t>Arrendamientos, Ingresos recaudación, parking, publicidad, etc.</t>
  </si>
  <si>
    <t>DE EXPLOTACION E INVERSIÓN:</t>
  </si>
  <si>
    <t>CAMPAÑA FOMENTO TTPE PUB TF5</t>
  </si>
  <si>
    <t>VÍA MÓVIL FUERA AREA METROP.2015</t>
  </si>
  <si>
    <t>VÍA MÓVIL FUERA AREA METROP.2016</t>
  </si>
  <si>
    <t>Multas y Sanciones</t>
  </si>
  <si>
    <t>Cta.contable</t>
  </si>
  <si>
    <t>Estado Contable</t>
  </si>
  <si>
    <t>Partida</t>
  </si>
  <si>
    <t>Administración</t>
  </si>
  <si>
    <t>CYP</t>
  </si>
  <si>
    <t>Subvenciones de explotación incorporadas al resultado del ejercicio.</t>
  </si>
  <si>
    <t>CABILDO</t>
  </si>
  <si>
    <t>Ventas</t>
  </si>
  <si>
    <t>Balance</t>
  </si>
  <si>
    <t>Hacienda Pública, impuestos repercutidos</t>
  </si>
  <si>
    <t>Hacienda Pública, subvenciones</t>
  </si>
  <si>
    <t>2xx</t>
  </si>
  <si>
    <t>En cuentas de inmovilizado</t>
  </si>
  <si>
    <t>Ayto. SC</t>
  </si>
  <si>
    <t>Ayto. LL</t>
  </si>
  <si>
    <t>0153</t>
  </si>
  <si>
    <t>4421</t>
  </si>
  <si>
    <t>74050</t>
  </si>
  <si>
    <t>44909</t>
  </si>
  <si>
    <t>4416</t>
  </si>
  <si>
    <t>anexo</t>
  </si>
  <si>
    <t>4413</t>
  </si>
  <si>
    <t>4414-4415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</si>
  <si>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</si>
  <si>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</si>
  <si>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</si>
  <si>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</si>
  <si>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</si>
  <si>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</si>
  <si>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</si>
  <si>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</si>
  <si>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</si>
  <si>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</si>
  <si>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</si>
  <si>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</si>
  <si>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</si>
  <si>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</si>
  <si>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</si>
  <si>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</si>
  <si>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</si>
  <si>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</si>
  <si>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</si>
  <si>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</si>
  <si>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</si>
  <si>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</si>
  <si>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</si>
  <si>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</si>
  <si>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</si>
  <si>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</si>
  <si>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</si>
  <si>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</si>
  <si>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</si>
  <si>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</si>
  <si>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</si>
  <si>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</si>
  <si>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</si>
  <si>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</si>
  <si>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</si>
  <si>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</si>
  <si>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</si>
  <si>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</si>
  <si>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</si>
  <si>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</si>
  <si>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</si>
  <si>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</si>
  <si>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</si>
  <si>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</si>
  <si>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</si>
  <si>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</si>
  <si>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</si>
  <si>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</si>
  <si>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</si>
  <si>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</si>
  <si>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</si>
  <si>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</si>
  <si>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</si>
  <si>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</si>
  <si>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</si>
  <si>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</si>
  <si>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</si>
  <si>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</si>
  <si>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</si>
  <si>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</si>
  <si>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</si>
  <si>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</si>
  <si>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</si>
  <si>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</si>
  <si>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</si>
  <si>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</si>
  <si>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</si>
  <si>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</si>
  <si>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</si>
  <si>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</si>
  <si>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</si>
  <si>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</si>
  <si>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</si>
  <si>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</si>
  <si>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</si>
  <si>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</si>
  <si>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</si>
  <si>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</si>
  <si>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</si>
  <si>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</si>
  <si>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</si>
  <si>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</si>
  <si>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</si>
  <si>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</si>
  <si>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</si>
  <si>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</si>
  <si>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</si>
  <si>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</si>
  <si>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</si>
  <si>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</si>
  <si>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</si>
  <si>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</si>
  <si>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</si>
  <si>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</si>
  <si>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</si>
  <si>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</si>
  <si>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</si>
  <si>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</si>
  <si>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</si>
  <si>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</si>
  <si>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</si>
  <si>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</si>
  <si>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</si>
  <si>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</si>
  <si>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</si>
  <si>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</si>
  <si>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</si>
  <si>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</si>
  <si>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</si>
  <si>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</si>
  <si>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METROPOLITANO DE TENERIFE, S.A.</t>
  </si>
  <si>
    <t>TITSA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</si>
  <si>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</si>
  <si>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</si>
  <si>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</si>
  <si>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</si>
  <si>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</si>
  <si>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</si>
  <si>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</si>
  <si>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</si>
  <si>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</si>
  <si>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</si>
  <si>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</si>
  <si>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</si>
  <si>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</si>
  <si>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</si>
  <si>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</si>
  <si>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</si>
  <si>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</si>
  <si>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</si>
  <si>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</si>
  <si>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</si>
  <si>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</si>
  <si>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</si>
  <si>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</si>
  <si>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</si>
  <si>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</si>
  <si>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</si>
  <si>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</si>
  <si>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</si>
  <si>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</si>
  <si>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</si>
  <si>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</si>
  <si>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</si>
  <si>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</si>
  <si>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</si>
  <si>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</si>
  <si>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</si>
  <si>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</si>
  <si>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</si>
  <si>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</si>
  <si>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</si>
  <si>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</si>
  <si>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</si>
  <si>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</si>
  <si>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</si>
  <si>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</si>
  <si>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</si>
  <si>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</si>
  <si>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</si>
  <si>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</si>
  <si>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</si>
  <si>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</si>
  <si>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</si>
  <si>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</si>
  <si>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</si>
  <si>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</si>
  <si>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</si>
  <si>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</si>
  <si>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</si>
  <si>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</si>
  <si>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</si>
  <si>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</si>
  <si>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</si>
  <si>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</si>
  <si>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</si>
  <si>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</si>
  <si>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</si>
  <si>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</si>
  <si>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</si>
  <si>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</si>
  <si>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</si>
  <si>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</si>
  <si>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</si>
  <si>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</si>
  <si>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</si>
  <si>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</si>
  <si>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</si>
  <si>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</si>
  <si>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</si>
  <si>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</si>
  <si>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</si>
  <si>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</si>
  <si>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</si>
  <si>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</si>
  <si>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</si>
  <si>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</si>
  <si>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</si>
  <si>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</si>
  <si>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</si>
  <si>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</si>
  <si>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</si>
  <si>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</si>
  <si>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</si>
  <si>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</si>
  <si>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</si>
  <si>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</si>
  <si>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</si>
  <si>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</si>
  <si>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</si>
  <si>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</si>
  <si>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</si>
  <si>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</si>
  <si>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</si>
  <si>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</si>
  <si>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</si>
  <si>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</si>
  <si>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</si>
  <si>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</si>
  <si>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</si>
  <si>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</si>
  <si>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</si>
  <si>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</si>
  <si>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</si>
  <si>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</si>
  <si>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</si>
  <si>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</si>
  <si>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</si>
  <si>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</si>
  <si>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</si>
  <si>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</si>
  <si>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</si>
  <si>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</si>
  <si>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</si>
  <si>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</si>
  <si>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</si>
  <si>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</si>
  <si>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</si>
  <si>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</si>
  <si>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</si>
  <si>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</si>
  <si>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</si>
  <si>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</si>
  <si>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</si>
  <si>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</si>
  <si>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</si>
  <si>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</si>
  <si>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</si>
  <si>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</si>
  <si>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</si>
  <si>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</si>
  <si>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</si>
  <si>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</si>
  <si>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</si>
  <si>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</si>
  <si>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</si>
  <si>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</si>
  <si>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</si>
  <si>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</si>
  <si>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</si>
  <si>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</si>
  <si>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</si>
  <si>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</si>
  <si>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</si>
  <si>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</si>
  <si>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</si>
  <si>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</si>
  <si>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</si>
  <si>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</si>
  <si>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</si>
  <si>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</si>
  <si>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</si>
  <si>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</si>
  <si>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</si>
  <si>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</si>
  <si>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</si>
  <si>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</si>
  <si>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</si>
  <si>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</si>
  <si>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</si>
  <si>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</si>
  <si>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</si>
  <si>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</si>
  <si>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</si>
  <si>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</si>
  <si>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</si>
  <si>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</si>
  <si>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</si>
  <si>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</si>
  <si>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</si>
  <si>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</si>
  <si>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</si>
  <si>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</si>
  <si>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</si>
  <si>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</si>
  <si>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</si>
  <si>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</si>
  <si>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</si>
  <si>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</si>
  <si>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</si>
  <si>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</si>
  <si>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</si>
  <si>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</si>
  <si>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</si>
  <si>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</si>
  <si>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</si>
  <si>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</si>
  <si>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</si>
  <si>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</si>
  <si>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</si>
  <si>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</si>
  <si>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</si>
  <si>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</si>
  <si>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</si>
  <si>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</si>
  <si>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</si>
  <si>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</si>
  <si>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</si>
  <si>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</si>
  <si>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</si>
  <si>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</si>
  <si>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</si>
  <si>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</si>
  <si>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</si>
  <si>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</si>
  <si>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</si>
  <si>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</si>
  <si>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</si>
  <si>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</si>
  <si>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</si>
  <si>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</si>
  <si>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</si>
  <si>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</si>
  <si>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</si>
  <si>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</si>
  <si>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</si>
  <si>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</si>
  <si>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</si>
  <si>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</si>
  <si>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</si>
  <si>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</si>
  <si>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</si>
  <si>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</si>
  <si>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</si>
  <si>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</si>
  <si>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</si>
  <si>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</si>
  <si>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</si>
  <si>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</si>
  <si>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</si>
  <si>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</si>
  <si>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</si>
  <si>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</si>
  <si>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</si>
  <si>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</si>
  <si>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</si>
  <si>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</si>
  <si>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</si>
  <si>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</si>
  <si>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</si>
  <si>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</si>
  <si>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</si>
  <si>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</si>
  <si>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</si>
  <si>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</si>
  <si>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</si>
  <si>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</si>
  <si>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</si>
  <si>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</si>
  <si>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</si>
  <si>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</si>
  <si>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</si>
  <si>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</si>
  <si>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</si>
  <si>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</si>
  <si>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</si>
  <si>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</si>
  <si>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</si>
  <si>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</si>
  <si>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</si>
  <si>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</si>
  <si>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</si>
  <si>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</si>
  <si>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</si>
  <si>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</si>
  <si>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</si>
  <si>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</si>
  <si>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TRANSPORTES INTERURBANOS DE TENERIFE</t>
  </si>
  <si>
    <t>TRANSPORTES INTERURBANOS DE TENERIFE S.A.U.</t>
  </si>
  <si>
    <t>TRANSFERENCIAS Y SUBVENCIONES (ANEXO)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</si>
  <si>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</si>
  <si>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</si>
  <si>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</si>
  <si>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</si>
  <si>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</si>
  <si>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</si>
  <si>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</si>
  <si>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</si>
  <si>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</si>
  <si>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</si>
  <si>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</si>
  <si>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</si>
  <si>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</si>
  <si>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</si>
  <si>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</si>
  <si>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</si>
  <si>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</si>
  <si>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</si>
  <si>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</si>
  <si>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</si>
  <si>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</si>
  <si>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</si>
  <si>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</si>
  <si>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</si>
  <si>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</si>
  <si>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</si>
  <si>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</si>
  <si>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</si>
  <si>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</si>
  <si>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</si>
  <si>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</si>
  <si>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</si>
  <si>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</si>
  <si>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</si>
  <si>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</si>
  <si>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</si>
  <si>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</si>
  <si>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</si>
  <si>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</si>
  <si>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</si>
  <si>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</si>
  <si>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</si>
  <si>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</si>
  <si>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</si>
  <si>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</si>
  <si>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</si>
  <si>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</si>
  <si>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</si>
  <si>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</si>
  <si>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</si>
  <si>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</si>
  <si>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</si>
  <si>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</si>
  <si>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</si>
  <si>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</si>
  <si>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</si>
  <si>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</si>
  <si>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</si>
  <si>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</si>
  <si>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</si>
  <si>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</si>
  <si>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</si>
  <si>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</si>
  <si>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</si>
  <si>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</si>
  <si>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</si>
  <si>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A) FLUJOS DE EFECTIVO DE LAS ACTIVIDADES DE EXPLOTACIÓN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</si>
  <si>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</si>
  <si>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</si>
  <si>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</si>
  <si>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</si>
  <si>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</si>
  <si>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</si>
  <si>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</si>
  <si>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</si>
  <si>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</si>
  <si>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</si>
  <si>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</si>
  <si>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</si>
  <si>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</si>
  <si>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</si>
  <si>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</si>
  <si>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</si>
  <si>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</si>
  <si>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</si>
  <si>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</si>
  <si>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</si>
  <si>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</si>
  <si>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</si>
  <si>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</si>
  <si>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</si>
  <si>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</si>
  <si>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</si>
  <si>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</si>
  <si>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</si>
  <si>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</si>
  <si>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</si>
  <si>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</si>
  <si>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</si>
  <si>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</si>
  <si>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</si>
  <si>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</si>
  <si>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</si>
  <si>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Liquidación CPI</t>
  </si>
  <si>
    <t>Devolución paga extra</t>
  </si>
  <si>
    <t>Recarrozado y Remotorizado 2014</t>
  </si>
  <si>
    <t>Recarrozado y Remotorizado 2015</t>
  </si>
  <si>
    <t>Asistencia técnica implantación sis.billética</t>
  </si>
  <si>
    <t>Remotorizado 2016</t>
  </si>
  <si>
    <t>Renting Flota 1 (34 veh.iu)</t>
  </si>
  <si>
    <t>Renting Flota 2  (6m) 48 veh.</t>
  </si>
  <si>
    <t>Renting Flota 3 (3m)  49 veh.</t>
  </si>
  <si>
    <t>Equipos billética sin contacto y sae</t>
  </si>
  <si>
    <t>Convenios</t>
  </si>
  <si>
    <t>Ayuntamiento de SC:</t>
  </si>
  <si>
    <t>Liquidación convenio usc</t>
  </si>
  <si>
    <t>Intercambiador SC (42,10%)</t>
  </si>
  <si>
    <t>Renting Flota 1 (19 veh.u)</t>
  </si>
  <si>
    <t>Urbano Laguna</t>
  </si>
  <si>
    <t>politica cpi</t>
  </si>
  <si>
    <t>igic politica cpi</t>
  </si>
  <si>
    <t>politica conv</t>
  </si>
  <si>
    <t>igic pol conv</t>
  </si>
  <si>
    <t>circulante</t>
  </si>
  <si>
    <t>rdo financ</t>
  </si>
  <si>
    <t>remot</t>
  </si>
  <si>
    <t>déficit</t>
  </si>
  <si>
    <t>política CPI</t>
  </si>
  <si>
    <t>igic política CPI</t>
  </si>
  <si>
    <t>gastos financieros</t>
  </si>
  <si>
    <t>politica convenios</t>
  </si>
  <si>
    <t>igic convenios</t>
  </si>
  <si>
    <t>deficit convenios</t>
  </si>
  <si>
    <t>RENTING FLOTA 1 (19 VEH.U) 2015</t>
  </si>
  <si>
    <t>RENTING FLOTA 1 (19 VEH.U) 2016</t>
  </si>
  <si>
    <t>Urbano Laguna 2016</t>
  </si>
  <si>
    <t>APORTACION AAPP</t>
  </si>
  <si>
    <t>LIQUIDACIÓN 2016 A CUENTA</t>
  </si>
  <si>
    <t>2XX</t>
  </si>
  <si>
    <t>ANUALIDAD CONTRATO</t>
  </si>
  <si>
    <t>CONVENIOS</t>
  </si>
  <si>
    <t>ASIST,RENTING, EQUIPO BILL</t>
  </si>
  <si>
    <t>ANUALIDAD CONVENIO USC 2016</t>
  </si>
  <si>
    <t>CAMP.FOM + VIA MOVIL</t>
  </si>
  <si>
    <t>DÉFICIT LA LAGUNA 2014</t>
  </si>
  <si>
    <t>DÉFICIT LA LAGUNA 2015</t>
  </si>
  <si>
    <t>DEVENGOS</t>
  </si>
  <si>
    <t>COBROS</t>
  </si>
  <si>
    <t>PROMOCIÓN USO TRANS.PÚB.(ENM.)</t>
  </si>
  <si>
    <t>CONV.C.A.DTO.ESTUDIANTE (ENM.)</t>
  </si>
  <si>
    <t>4415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</si>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</sst>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  <numFmt numFmtId="214" formatCode="_-* #,##0.00\ [$€-803]_-;\-* #,##0.00\ [$€-803]_-;_-* &quot;-&quot;??\ [$€-803]_-;_-@_-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1"/>
      <name val="Verdana"/>
      <family val="2"/>
    </font>
    <font>
      <sz val="10"/>
      <color indexed="9"/>
      <name val="Tahoma"/>
      <family val="2"/>
    </font>
    <font>
      <sz val="10"/>
      <color indexed="9"/>
      <name val="Arial"/>
      <family val="0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9"/>
      <color indexed="8"/>
      <name val="Tahoma"/>
      <family val="2"/>
    </font>
    <font>
      <sz val="1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 style="medium"/>
      <top style="thin"/>
      <bottom style="thin"/>
    </border>
    <border>
      <left style="thin"/>
      <right style="medium"/>
      <top style="thin">
        <color indexed="41"/>
      </top>
      <bottom style="medium"/>
    </border>
    <border>
      <left style="thin"/>
      <right style="medium"/>
      <top style="medium"/>
      <bottom style="thin">
        <color indexed="41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91">
    <xf numFmtId="0" fontId="0" fillId="0" borderId="0" xfId="0" applyAlignment="1">
      <alignment/>
    </xf>
    <xf numFmtId="3" fontId="0" fillId="0" borderId="0" xfId="73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73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73" applyNumberFormat="1" applyFont="1" applyBorder="1" applyAlignment="1">
      <alignment vertical="center"/>
      <protection/>
    </xf>
    <xf numFmtId="3" fontId="0" fillId="0" borderId="0" xfId="73" applyNumberFormat="1" applyFont="1" applyFill="1" applyBorder="1">
      <alignment/>
      <protection/>
    </xf>
    <xf numFmtId="3" fontId="1" fillId="0" borderId="0" xfId="73" applyNumberFormat="1" applyFont="1" applyFill="1" applyBorder="1">
      <alignment/>
      <protection/>
    </xf>
    <xf numFmtId="3" fontId="1" fillId="0" borderId="0" xfId="73" applyNumberFormat="1" applyFont="1" applyBorder="1">
      <alignment/>
      <protection/>
    </xf>
    <xf numFmtId="3" fontId="1" fillId="0" borderId="11" xfId="63" applyNumberFormat="1" applyFont="1" applyFill="1" applyBorder="1" applyAlignment="1">
      <alignment horizontal="center" vertical="center"/>
      <protection/>
    </xf>
    <xf numFmtId="3" fontId="0" fillId="0" borderId="10" xfId="73" applyNumberFormat="1" applyFont="1" applyBorder="1" applyAlignment="1">
      <alignment vertical="center"/>
      <protection/>
    </xf>
    <xf numFmtId="3" fontId="1" fillId="0" borderId="10" xfId="73" applyNumberFormat="1" applyFont="1" applyBorder="1" applyAlignment="1">
      <alignment horizontal="left" vertical="center" wrapText="1"/>
      <protection/>
    </xf>
    <xf numFmtId="3" fontId="0" fillId="0" borderId="10" xfId="73" applyNumberFormat="1" applyFont="1" applyBorder="1" applyAlignment="1">
      <alignment horizontal="left" vertical="center" wrapText="1"/>
      <protection/>
    </xf>
    <xf numFmtId="3" fontId="29" fillId="8" borderId="12" xfId="63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63" applyNumberFormat="1" applyFont="1" applyFill="1" applyBorder="1" applyAlignment="1">
      <alignment horizontal="center" vertical="center"/>
      <protection/>
    </xf>
    <xf numFmtId="3" fontId="1" fillId="0" borderId="11" xfId="63" applyNumberFormat="1" applyFont="1" applyFill="1" applyBorder="1" applyAlignment="1">
      <alignment horizontal="center" vertical="center" wrapText="1"/>
      <protection/>
    </xf>
    <xf numFmtId="3" fontId="1" fillId="0" borderId="14" xfId="63" applyNumberFormat="1" applyFont="1" applyFill="1" applyBorder="1" applyAlignment="1">
      <alignment horizontal="center" vertical="center" wrapText="1"/>
      <protection/>
    </xf>
    <xf numFmtId="3" fontId="1" fillId="0" borderId="15" xfId="73" applyNumberFormat="1" applyFont="1" applyBorder="1" applyAlignment="1">
      <alignment horizontal="centerContinuous" vertical="center"/>
      <protection/>
    </xf>
    <xf numFmtId="3" fontId="1" fillId="0" borderId="16" xfId="73" applyNumberFormat="1" applyFont="1" applyBorder="1" applyAlignment="1">
      <alignment vertical="center"/>
      <protection/>
    </xf>
    <xf numFmtId="177" fontId="1" fillId="0" borderId="17" xfId="73" applyNumberFormat="1" applyFont="1" applyBorder="1" applyAlignment="1">
      <alignment horizontal="right" vertical="center"/>
      <protection/>
    </xf>
    <xf numFmtId="177" fontId="1" fillId="0" borderId="12" xfId="73" applyNumberFormat="1" applyFont="1" applyBorder="1" applyAlignment="1">
      <alignment horizontal="right" vertical="center"/>
      <protection/>
    </xf>
    <xf numFmtId="177" fontId="1" fillId="0" borderId="17" xfId="73" applyNumberFormat="1" applyFont="1" applyBorder="1" applyAlignment="1" applyProtection="1">
      <alignment horizontal="right" vertical="center"/>
      <protection locked="0"/>
    </xf>
    <xf numFmtId="177" fontId="1" fillId="0" borderId="12" xfId="73" applyNumberFormat="1" applyFont="1" applyBorder="1" applyAlignment="1" applyProtection="1">
      <alignment horizontal="right" vertical="center"/>
      <protection locked="0"/>
    </xf>
    <xf numFmtId="177" fontId="0" fillId="0" borderId="17" xfId="73" applyNumberFormat="1" applyFont="1" applyBorder="1" applyAlignment="1" applyProtection="1">
      <alignment horizontal="right" vertical="center"/>
      <protection locked="0"/>
    </xf>
    <xf numFmtId="177" fontId="0" fillId="0" borderId="12" xfId="73" applyNumberFormat="1" applyFont="1" applyBorder="1" applyAlignment="1" applyProtection="1">
      <alignment horizontal="right" vertical="center"/>
      <protection locked="0"/>
    </xf>
    <xf numFmtId="177" fontId="0" fillId="0" borderId="18" xfId="73" applyNumberFormat="1" applyFont="1" applyBorder="1" applyAlignment="1" applyProtection="1">
      <alignment horizontal="right" vertical="center"/>
      <protection locked="0"/>
    </xf>
    <xf numFmtId="177" fontId="0" fillId="0" borderId="12" xfId="73" applyNumberFormat="1" applyFont="1" applyFill="1" applyBorder="1" applyAlignment="1" applyProtection="1">
      <alignment horizontal="right" vertical="center"/>
      <protection locked="0"/>
    </xf>
    <xf numFmtId="177" fontId="0" fillId="0" borderId="17" xfId="73" applyNumberFormat="1" applyFont="1" applyBorder="1" applyAlignment="1">
      <alignment horizontal="right" vertical="center"/>
      <protection/>
    </xf>
    <xf numFmtId="177" fontId="0" fillId="0" borderId="12" xfId="73" applyNumberFormat="1" applyFont="1" applyBorder="1" applyAlignment="1">
      <alignment horizontal="right" vertical="center"/>
      <protection/>
    </xf>
    <xf numFmtId="177" fontId="1" fillId="0" borderId="19" xfId="73" applyNumberFormat="1" applyFont="1" applyBorder="1" applyAlignment="1">
      <alignment horizontal="right" vertical="center"/>
      <protection/>
    </xf>
    <xf numFmtId="177" fontId="1" fillId="0" borderId="20" xfId="73" applyNumberFormat="1" applyFont="1" applyBorder="1" applyAlignment="1">
      <alignment horizontal="right" vertical="center"/>
      <protection/>
    </xf>
    <xf numFmtId="177" fontId="0" fillId="0" borderId="0" xfId="73" applyNumberFormat="1" applyFont="1" applyBorder="1">
      <alignment/>
      <protection/>
    </xf>
    <xf numFmtId="177" fontId="0" fillId="0" borderId="0" xfId="73" applyNumberFormat="1" applyFont="1" applyBorder="1" applyAlignment="1">
      <alignment horizontal="center"/>
      <protection/>
    </xf>
    <xf numFmtId="177" fontId="0" fillId="0" borderId="0" xfId="73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73" applyNumberFormat="1" applyFont="1" applyFill="1" applyBorder="1" applyAlignment="1" applyProtection="1">
      <alignment horizontal="right" vertical="center"/>
      <protection locked="0"/>
    </xf>
    <xf numFmtId="10" fontId="0" fillId="0" borderId="0" xfId="77" applyNumberFormat="1" applyFont="1" applyBorder="1" applyAlignment="1">
      <alignment vertical="center"/>
    </xf>
    <xf numFmtId="3" fontId="1" fillId="0" borderId="0" xfId="73" applyNumberFormat="1" applyFont="1" applyBorder="1" applyAlignment="1">
      <alignment vertical="center"/>
      <protection/>
    </xf>
    <xf numFmtId="3" fontId="0" fillId="0" borderId="0" xfId="72" applyNumberFormat="1" applyFont="1" applyBorder="1">
      <alignment/>
      <protection/>
    </xf>
    <xf numFmtId="0" fontId="0" fillId="0" borderId="0" xfId="62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62" applyFont="1">
      <alignment/>
      <protection/>
    </xf>
    <xf numFmtId="0" fontId="1" fillId="0" borderId="0" xfId="62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2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2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2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8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2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62" applyFont="1" applyFill="1">
      <alignment/>
      <protection/>
    </xf>
    <xf numFmtId="3" fontId="0" fillId="3" borderId="0" xfId="72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4" applyFont="1" applyFill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0" fillId="0" borderId="0" xfId="59" applyFill="1">
      <alignment/>
      <protection/>
    </xf>
    <xf numFmtId="0" fontId="32" fillId="0" borderId="17" xfId="59" applyFont="1" applyBorder="1" applyAlignment="1">
      <alignment horizontal="center" vertical="center" wrapText="1"/>
      <protection/>
    </xf>
    <xf numFmtId="0" fontId="33" fillId="0" borderId="17" xfId="59" applyFont="1" applyBorder="1" applyAlignment="1">
      <alignment horizontal="center" vertical="center" wrapText="1"/>
      <protection/>
    </xf>
    <xf numFmtId="0" fontId="0" fillId="0" borderId="17" xfId="59" applyBorder="1">
      <alignment/>
      <protection/>
    </xf>
    <xf numFmtId="0" fontId="34" fillId="0" borderId="17" xfId="59" applyFont="1" applyBorder="1" applyAlignment="1">
      <alignment horizontal="left" wrapText="1"/>
      <protection/>
    </xf>
    <xf numFmtId="0" fontId="0" fillId="0" borderId="45" xfId="59" applyBorder="1">
      <alignment/>
      <protection/>
    </xf>
    <xf numFmtId="0" fontId="36" fillId="0" borderId="46" xfId="59" applyFont="1" applyBorder="1" applyAlignment="1">
      <alignment wrapText="1"/>
      <protection/>
    </xf>
    <xf numFmtId="172" fontId="35" fillId="0" borderId="46" xfId="59" applyNumberFormat="1" applyFont="1" applyBorder="1" applyAlignment="1">
      <alignment wrapText="1"/>
      <protection/>
    </xf>
    <xf numFmtId="172" fontId="37" fillId="0" borderId="46" xfId="59" applyNumberFormat="1" applyFont="1" applyBorder="1">
      <alignment/>
      <protection/>
    </xf>
    <xf numFmtId="172" fontId="37" fillId="0" borderId="47" xfId="59" applyNumberFormat="1" applyFont="1" applyBorder="1">
      <alignment/>
      <protection/>
    </xf>
    <xf numFmtId="2" fontId="8" fillId="8" borderId="25" xfId="64" applyNumberFormat="1" applyFont="1" applyFill="1" applyBorder="1" applyAlignment="1">
      <alignment horizontal="center" vertical="center" wrapText="1"/>
      <protection/>
    </xf>
    <xf numFmtId="0" fontId="0" fillId="0" borderId="46" xfId="59" applyFont="1" applyBorder="1">
      <alignment/>
      <protection/>
    </xf>
    <xf numFmtId="0" fontId="0" fillId="0" borderId="47" xfId="59" applyFont="1" applyBorder="1">
      <alignment/>
      <protection/>
    </xf>
    <xf numFmtId="0" fontId="0" fillId="0" borderId="0" xfId="59" applyFont="1">
      <alignment/>
      <protection/>
    </xf>
    <xf numFmtId="172" fontId="38" fillId="0" borderId="17" xfId="59" applyNumberFormat="1" applyFont="1" applyBorder="1" applyAlignment="1">
      <alignment horizontal="center" vertical="center" wrapText="1"/>
      <protection/>
    </xf>
    <xf numFmtId="172" fontId="39" fillId="0" borderId="17" xfId="59" applyNumberFormat="1" applyFont="1" applyBorder="1" applyAlignment="1">
      <alignment horizontal="center" wrapText="1"/>
      <protection/>
    </xf>
    <xf numFmtId="172" fontId="39" fillId="0" borderId="17" xfId="59" applyNumberFormat="1" applyFont="1" applyBorder="1" applyAlignment="1">
      <alignment horizontal="center" vertical="center" wrapText="1"/>
      <protection/>
    </xf>
    <xf numFmtId="172" fontId="38" fillId="0" borderId="48" xfId="59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2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2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2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2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8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62" applyFont="1" applyFill="1" applyAlignment="1">
      <alignment vertical="center"/>
      <protection/>
    </xf>
    <xf numFmtId="3" fontId="43" fillId="3" borderId="0" xfId="72" applyNumberFormat="1" applyFont="1" applyFill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3" fontId="43" fillId="0" borderId="0" xfId="72" applyNumberFormat="1" applyFont="1" applyBorder="1" applyAlignment="1">
      <alignment vertical="center"/>
      <protection/>
    </xf>
    <xf numFmtId="0" fontId="42" fillId="0" borderId="0" xfId="62" applyFont="1" applyAlignment="1">
      <alignment vertical="center" wrapText="1"/>
      <protection/>
    </xf>
    <xf numFmtId="0" fontId="42" fillId="0" borderId="0" xfId="62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8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7" applyFont="1" applyAlignment="1">
      <alignment vertical="center"/>
      <protection/>
    </xf>
    <xf numFmtId="0" fontId="43" fillId="0" borderId="0" xfId="57" applyFont="1" applyFill="1" applyAlignment="1">
      <alignment vertical="center"/>
      <protection/>
    </xf>
    <xf numFmtId="0" fontId="42" fillId="0" borderId="0" xfId="57" applyFont="1" applyAlignment="1">
      <alignment vertical="center"/>
      <protection/>
    </xf>
    <xf numFmtId="0" fontId="43" fillId="0" borderId="0" xfId="57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" fontId="47" fillId="8" borderId="13" xfId="63" applyNumberFormat="1" applyFont="1" applyFill="1" applyBorder="1" applyAlignment="1">
      <alignment horizontal="center" vertical="center"/>
      <protection/>
    </xf>
    <xf numFmtId="2" fontId="47" fillId="8" borderId="12" xfId="63" applyNumberFormat="1" applyFont="1" applyFill="1" applyBorder="1" applyAlignment="1">
      <alignment horizontal="center" vertical="center"/>
      <protection/>
    </xf>
    <xf numFmtId="0" fontId="42" fillId="0" borderId="51" xfId="57" applyFont="1" applyBorder="1" applyAlignment="1">
      <alignment horizontal="center" vertical="center" wrapText="1"/>
      <protection/>
    </xf>
    <xf numFmtId="0" fontId="42" fillId="0" borderId="52" xfId="57" applyFont="1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vertical="center" wrapText="1"/>
      <protection/>
    </xf>
    <xf numFmtId="177" fontId="42" fillId="0" borderId="19" xfId="54" applyNumberFormat="1" applyFont="1" applyBorder="1" applyAlignment="1">
      <alignment vertical="center"/>
    </xf>
    <xf numFmtId="0" fontId="42" fillId="0" borderId="20" xfId="57" applyFont="1" applyBorder="1" applyAlignment="1">
      <alignment vertical="center"/>
      <protection/>
    </xf>
    <xf numFmtId="177" fontId="42" fillId="22" borderId="0" xfId="57" applyNumberFormat="1" applyFont="1" applyFill="1" applyBorder="1" applyAlignment="1">
      <alignment vertical="center"/>
      <protection/>
    </xf>
    <xf numFmtId="177" fontId="43" fillId="26" borderId="11" xfId="54" applyNumberFormat="1" applyFont="1" applyFill="1" applyBorder="1" applyAlignment="1">
      <alignment vertical="center"/>
    </xf>
    <xf numFmtId="0" fontId="43" fillId="0" borderId="14" xfId="57" applyFont="1" applyFill="1" applyBorder="1" applyAlignment="1">
      <alignment vertical="center"/>
      <protection/>
    </xf>
    <xf numFmtId="177" fontId="43" fillId="26" borderId="17" xfId="54" applyNumberFormat="1" applyFont="1" applyFill="1" applyBorder="1" applyAlignment="1">
      <alignment vertical="center"/>
    </xf>
    <xf numFmtId="0" fontId="43" fillId="0" borderId="60" xfId="57" applyFont="1" applyBorder="1" applyAlignment="1">
      <alignment vertical="center"/>
      <protection/>
    </xf>
    <xf numFmtId="177" fontId="42" fillId="0" borderId="0" xfId="54" applyNumberFormat="1" applyFont="1" applyBorder="1" applyAlignment="1">
      <alignment vertical="center"/>
    </xf>
    <xf numFmtId="0" fontId="42" fillId="0" borderId="0" xfId="57" applyFont="1" applyBorder="1" applyAlignment="1">
      <alignment vertical="center"/>
      <protection/>
    </xf>
    <xf numFmtId="0" fontId="43" fillId="0" borderId="0" xfId="69" applyFont="1" applyAlignment="1">
      <alignment vertical="center"/>
      <protection/>
    </xf>
    <xf numFmtId="4" fontId="43" fillId="0" borderId="0" xfId="69" applyNumberFormat="1" applyFont="1" applyAlignment="1">
      <alignment vertical="center"/>
      <protection/>
    </xf>
    <xf numFmtId="3" fontId="43" fillId="0" borderId="0" xfId="69" applyNumberFormat="1" applyFont="1" applyAlignment="1">
      <alignment vertical="center"/>
      <protection/>
    </xf>
    <xf numFmtId="4" fontId="43" fillId="26" borderId="11" xfId="69" applyNumberFormat="1" applyFont="1" applyFill="1" applyBorder="1" applyAlignment="1" applyProtection="1">
      <alignment horizontal="center" vertical="center"/>
      <protection locked="0"/>
    </xf>
    <xf numFmtId="177" fontId="43" fillId="0" borderId="11" xfId="54" applyNumberFormat="1" applyFont="1" applyBorder="1" applyAlignment="1" applyProtection="1">
      <alignment horizontal="right" vertical="center"/>
      <protection locked="0"/>
    </xf>
    <xf numFmtId="0" fontId="43" fillId="0" borderId="61" xfId="69" applyNumberFormat="1" applyFont="1" applyFill="1" applyBorder="1" applyAlignment="1" applyProtection="1">
      <alignment vertical="center"/>
      <protection locked="0"/>
    </xf>
    <xf numFmtId="0" fontId="43" fillId="0" borderId="27" xfId="69" applyNumberFormat="1" applyFont="1" applyFill="1" applyBorder="1" applyAlignment="1" applyProtection="1">
      <alignment vertical="center"/>
      <protection locked="0"/>
    </xf>
    <xf numFmtId="177" fontId="43" fillId="0" borderId="17" xfId="54" applyNumberFormat="1" applyFont="1" applyBorder="1" applyAlignment="1" applyProtection="1">
      <alignment horizontal="right" vertical="center"/>
      <protection locked="0"/>
    </xf>
    <xf numFmtId="49" fontId="43" fillId="0" borderId="62" xfId="69" applyNumberFormat="1" applyFont="1" applyFill="1" applyBorder="1" applyAlignment="1" applyProtection="1">
      <alignment horizontal="center" vertical="center"/>
      <protection locked="0"/>
    </xf>
    <xf numFmtId="49" fontId="43" fillId="0" borderId="25" xfId="69" applyNumberFormat="1" applyFont="1" applyFill="1" applyBorder="1" applyAlignment="1" applyProtection="1">
      <alignment horizontal="center" vertical="center"/>
      <protection locked="0"/>
    </xf>
    <xf numFmtId="0" fontId="43" fillId="0" borderId="62" xfId="69" applyNumberFormat="1" applyFont="1" applyFill="1" applyBorder="1" applyAlignment="1" applyProtection="1">
      <alignment vertical="center"/>
      <protection locked="0"/>
    </xf>
    <xf numFmtId="0" fontId="43" fillId="0" borderId="25" xfId="69" applyNumberFormat="1" applyFont="1" applyFill="1" applyBorder="1" applyAlignment="1" applyProtection="1">
      <alignment vertical="center"/>
      <protection locked="0"/>
    </xf>
    <xf numFmtId="4" fontId="43" fillId="26" borderId="56" xfId="69" applyNumberFormat="1" applyFont="1" applyFill="1" applyBorder="1" applyAlignment="1" applyProtection="1">
      <alignment horizontal="center" vertical="center"/>
      <protection locked="0"/>
    </xf>
    <xf numFmtId="177" fontId="43" fillId="0" borderId="48" xfId="54" applyNumberFormat="1" applyFont="1" applyBorder="1" applyAlignment="1" applyProtection="1">
      <alignment horizontal="right" vertical="center"/>
      <protection locked="0"/>
    </xf>
    <xf numFmtId="0" fontId="43" fillId="0" borderId="63" xfId="69" applyNumberFormat="1" applyFont="1" applyFill="1" applyBorder="1" applyAlignment="1" applyProtection="1">
      <alignment vertical="center"/>
      <protection locked="0"/>
    </xf>
    <xf numFmtId="0" fontId="43" fillId="0" borderId="20" xfId="69" applyNumberFormat="1" applyFont="1" applyFill="1" applyBorder="1" applyAlignment="1" applyProtection="1">
      <alignment vertical="center"/>
      <protection locked="0"/>
    </xf>
    <xf numFmtId="4" fontId="43" fillId="0" borderId="17" xfId="69" applyNumberFormat="1" applyFont="1" applyBorder="1" applyAlignment="1" applyProtection="1">
      <alignment horizontal="center" vertical="center"/>
      <protection locked="0"/>
    </xf>
    <xf numFmtId="4" fontId="43" fillId="0" borderId="48" xfId="69" applyNumberFormat="1" applyFont="1" applyBorder="1" applyAlignment="1" applyProtection="1">
      <alignment horizontal="center" vertical="center"/>
      <protection locked="0"/>
    </xf>
    <xf numFmtId="177" fontId="43" fillId="0" borderId="48" xfId="69" applyNumberFormat="1" applyFont="1" applyBorder="1" applyAlignment="1" applyProtection="1">
      <alignment horizontal="right" vertical="center"/>
      <protection locked="0"/>
    </xf>
    <xf numFmtId="0" fontId="42" fillId="0" borderId="0" xfId="69" applyFont="1" applyBorder="1" applyAlignment="1">
      <alignment horizontal="center" vertical="center"/>
      <protection/>
    </xf>
    <xf numFmtId="0" fontId="43" fillId="0" borderId="0" xfId="69" applyFont="1" applyBorder="1" applyAlignment="1">
      <alignment vertical="center"/>
      <protection/>
    </xf>
    <xf numFmtId="177" fontId="42" fillId="0" borderId="0" xfId="69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70" applyFont="1" applyAlignment="1">
      <alignment vertical="center"/>
      <protection/>
    </xf>
    <xf numFmtId="4" fontId="43" fillId="0" borderId="0" xfId="70" applyNumberFormat="1" applyFont="1" applyAlignment="1">
      <alignment vertical="center"/>
      <protection/>
    </xf>
    <xf numFmtId="0" fontId="42" fillId="0" borderId="18" xfId="70" applyFont="1" applyFill="1" applyBorder="1" applyAlignment="1">
      <alignment horizontal="center" vertical="center" wrapText="1"/>
      <protection/>
    </xf>
    <xf numFmtId="0" fontId="42" fillId="0" borderId="17" xfId="70" applyFont="1" applyFill="1" applyBorder="1" applyAlignment="1">
      <alignment horizontal="center" vertical="center" wrapText="1"/>
      <protection/>
    </xf>
    <xf numFmtId="0" fontId="42" fillId="0" borderId="60" xfId="70" applyFont="1" applyFill="1" applyBorder="1" applyAlignment="1">
      <alignment vertical="center" wrapText="1"/>
      <protection/>
    </xf>
    <xf numFmtId="4" fontId="43" fillId="0" borderId="66" xfId="70" applyNumberFormat="1" applyFont="1" applyBorder="1" applyAlignment="1">
      <alignment vertical="center"/>
      <protection/>
    </xf>
    <xf numFmtId="4" fontId="43" fillId="0" borderId="17" xfId="70" applyNumberFormat="1" applyFont="1" applyFill="1" applyBorder="1" applyAlignment="1">
      <alignment horizontal="center" vertical="center" wrapText="1"/>
      <protection/>
    </xf>
    <xf numFmtId="4" fontId="43" fillId="0" borderId="66" xfId="70" applyNumberFormat="1" applyFont="1" applyFill="1" applyBorder="1" applyAlignment="1">
      <alignment vertical="center" wrapText="1"/>
      <protection/>
    </xf>
    <xf numFmtId="0" fontId="42" fillId="0" borderId="48" xfId="70" applyFont="1" applyFill="1" applyBorder="1" applyAlignment="1">
      <alignment horizontal="center" vertical="center" wrapText="1"/>
      <protection/>
    </xf>
    <xf numFmtId="4" fontId="42" fillId="0" borderId="12" xfId="70" applyNumberFormat="1" applyFont="1" applyFill="1" applyBorder="1" applyAlignment="1">
      <alignment horizontal="center" vertical="center" wrapText="1"/>
      <protection/>
    </xf>
    <xf numFmtId="4" fontId="55" fillId="0" borderId="0" xfId="70" applyNumberFormat="1" applyFont="1" applyAlignment="1">
      <alignment vertical="center"/>
      <protection/>
    </xf>
    <xf numFmtId="0" fontId="43" fillId="0" borderId="17" xfId="70" applyFont="1" applyFill="1" applyBorder="1" applyAlignment="1">
      <alignment horizontal="center" vertical="center"/>
      <protection/>
    </xf>
    <xf numFmtId="177" fontId="43" fillId="0" borderId="17" xfId="70" applyNumberFormat="1" applyFont="1" applyFill="1" applyBorder="1" applyAlignment="1">
      <alignment horizontal="center" vertical="center" wrapText="1"/>
      <protection/>
    </xf>
    <xf numFmtId="177" fontId="43" fillId="0" borderId="17" xfId="70" applyNumberFormat="1" applyFont="1" applyFill="1" applyBorder="1" applyAlignment="1">
      <alignment horizontal="right" vertical="center" wrapText="1"/>
      <protection/>
    </xf>
    <xf numFmtId="177" fontId="43" fillId="0" borderId="17" xfId="70" applyNumberFormat="1" applyFont="1" applyBorder="1" applyAlignment="1">
      <alignment horizontal="center" vertical="center"/>
      <protection/>
    </xf>
    <xf numFmtId="4" fontId="43" fillId="0" borderId="12" xfId="70" applyNumberFormat="1" applyFont="1" applyFill="1" applyBorder="1" applyAlignment="1">
      <alignment horizontal="center" vertical="center" wrapText="1"/>
      <protection/>
    </xf>
    <xf numFmtId="0" fontId="43" fillId="0" borderId="0" xfId="70" applyFont="1" applyAlignment="1">
      <alignment horizontal="center" vertical="center"/>
      <protection/>
    </xf>
    <xf numFmtId="4" fontId="55" fillId="0" borderId="0" xfId="70" applyNumberFormat="1" applyFont="1" applyAlignment="1">
      <alignment horizontal="center" vertical="center"/>
      <protection/>
    </xf>
    <xf numFmtId="4" fontId="43" fillId="0" borderId="0" xfId="70" applyNumberFormat="1" applyFont="1" applyAlignment="1">
      <alignment horizontal="center" vertical="center"/>
      <protection/>
    </xf>
    <xf numFmtId="4" fontId="43" fillId="0" borderId="59" xfId="70" applyNumberFormat="1" applyFont="1" applyFill="1" applyBorder="1" applyAlignment="1">
      <alignment horizontal="center" vertical="center" wrapText="1"/>
      <protection/>
    </xf>
    <xf numFmtId="171" fontId="43" fillId="0" borderId="17" xfId="70" applyNumberFormat="1" applyFont="1" applyFill="1" applyBorder="1" applyAlignment="1">
      <alignment horizontal="right" vertical="center" wrapText="1"/>
      <protection/>
    </xf>
    <xf numFmtId="0" fontId="43" fillId="0" borderId="17" xfId="70" applyNumberFormat="1" applyFont="1" applyBorder="1" applyAlignment="1">
      <alignment horizontal="center" vertical="center"/>
      <protection/>
    </xf>
    <xf numFmtId="4" fontId="43" fillId="0" borderId="64" xfId="70" applyNumberFormat="1" applyFont="1" applyFill="1" applyBorder="1" applyAlignment="1">
      <alignment horizontal="center" vertical="center" wrapText="1"/>
      <protection/>
    </xf>
    <xf numFmtId="0" fontId="43" fillId="0" borderId="48" xfId="70" applyFont="1" applyFill="1" applyBorder="1" applyAlignment="1">
      <alignment horizontal="center" vertical="center"/>
      <protection/>
    </xf>
    <xf numFmtId="4" fontId="43" fillId="0" borderId="48" xfId="70" applyNumberFormat="1" applyFont="1" applyFill="1" applyBorder="1" applyAlignment="1">
      <alignment horizontal="center" vertical="center" wrapText="1"/>
      <protection/>
    </xf>
    <xf numFmtId="171" fontId="43" fillId="0" borderId="48" xfId="70" applyNumberFormat="1" applyFont="1" applyFill="1" applyBorder="1" applyAlignment="1">
      <alignment horizontal="right" vertical="center" wrapText="1"/>
      <protection/>
    </xf>
    <xf numFmtId="0" fontId="43" fillId="0" borderId="48" xfId="70" applyNumberFormat="1" applyFont="1" applyBorder="1" applyAlignment="1">
      <alignment horizontal="center" vertical="center"/>
      <protection/>
    </xf>
    <xf numFmtId="4" fontId="43" fillId="0" borderId="25" xfId="70" applyNumberFormat="1" applyFont="1" applyFill="1" applyBorder="1" applyAlignment="1">
      <alignment horizontal="center" vertical="center" wrapText="1"/>
      <protection/>
    </xf>
    <xf numFmtId="49" fontId="43" fillId="0" borderId="67" xfId="70" applyNumberFormat="1" applyFont="1" applyBorder="1" applyAlignment="1">
      <alignment horizontal="center" vertical="center"/>
      <protection/>
    </xf>
    <xf numFmtId="0" fontId="43" fillId="0" borderId="68" xfId="70" applyFont="1" applyBorder="1" applyAlignment="1">
      <alignment horizontal="center" vertical="center"/>
      <protection/>
    </xf>
    <xf numFmtId="0" fontId="43" fillId="0" borderId="67" xfId="70" applyFont="1" applyBorder="1" applyAlignment="1">
      <alignment horizontal="center" vertical="center"/>
      <protection/>
    </xf>
    <xf numFmtId="0" fontId="43" fillId="0" borderId="67" xfId="70" applyNumberFormat="1" applyFont="1" applyBorder="1" applyAlignment="1" applyProtection="1">
      <alignment horizontal="center" vertical="center"/>
      <protection locked="0"/>
    </xf>
    <xf numFmtId="4" fontId="43" fillId="0" borderId="67" xfId="70" applyNumberFormat="1" applyFont="1" applyBorder="1" applyAlignment="1">
      <alignment horizontal="center" vertical="center"/>
      <protection/>
    </xf>
    <xf numFmtId="4" fontId="43" fillId="0" borderId="0" xfId="70" applyNumberFormat="1" applyFont="1" applyFill="1" applyBorder="1" applyAlignment="1">
      <alignment horizontal="center" vertical="center" wrapText="1"/>
      <protection/>
    </xf>
    <xf numFmtId="0" fontId="43" fillId="0" borderId="0" xfId="70" applyFont="1" applyFill="1" applyBorder="1" applyAlignment="1">
      <alignment horizontal="center" vertical="center"/>
      <protection/>
    </xf>
    <xf numFmtId="0" fontId="43" fillId="0" borderId="0" xfId="70" applyNumberFormat="1" applyFont="1" applyFill="1" applyBorder="1" applyAlignment="1">
      <alignment horizontal="center" vertical="center" wrapText="1"/>
      <protection/>
    </xf>
    <xf numFmtId="0" fontId="43" fillId="0" borderId="0" xfId="70" applyNumberFormat="1" applyFont="1" applyBorder="1" applyAlignment="1">
      <alignment horizontal="center" vertical="center"/>
      <protection/>
    </xf>
    <xf numFmtId="3" fontId="43" fillId="0" borderId="0" xfId="70" applyNumberFormat="1" applyFont="1" applyFill="1" applyBorder="1" applyAlignment="1">
      <alignment horizontal="center" vertical="center" wrapText="1"/>
      <protection/>
    </xf>
    <xf numFmtId="0" fontId="42" fillId="0" borderId="0" xfId="70" applyFont="1" applyAlignment="1">
      <alignment vertical="center"/>
      <protection/>
    </xf>
    <xf numFmtId="0" fontId="42" fillId="0" borderId="0" xfId="70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63" applyNumberFormat="1" applyFont="1" applyFill="1" applyBorder="1" applyAlignment="1">
      <alignment horizontal="center" vertical="center"/>
      <protection/>
    </xf>
    <xf numFmtId="2" fontId="47" fillId="8" borderId="72" xfId="63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63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9" applyNumberFormat="1" applyFont="1" applyFill="1" applyBorder="1" applyAlignment="1" applyProtection="1">
      <alignment horizontal="center" vertical="center"/>
      <protection locked="0"/>
    </xf>
    <xf numFmtId="177" fontId="43" fillId="0" borderId="19" xfId="54" applyNumberFormat="1" applyFont="1" applyBorder="1" applyAlignment="1" applyProtection="1">
      <alignment horizontal="right" vertical="center"/>
      <protection locked="0"/>
    </xf>
    <xf numFmtId="177" fontId="43" fillId="0" borderId="14" xfId="69" applyNumberFormat="1" applyFont="1" applyBorder="1" applyAlignment="1" applyProtection="1">
      <alignment horizontal="right" vertical="center"/>
      <protection locked="0"/>
    </xf>
    <xf numFmtId="177" fontId="43" fillId="0" borderId="25" xfId="69" applyNumberFormat="1" applyFont="1" applyBorder="1" applyAlignment="1" applyProtection="1">
      <alignment horizontal="right" vertical="center"/>
      <protection locked="0"/>
    </xf>
    <xf numFmtId="3" fontId="43" fillId="0" borderId="0" xfId="71" applyNumberFormat="1" applyFont="1">
      <alignment/>
      <protection/>
    </xf>
    <xf numFmtId="3" fontId="43" fillId="0" borderId="0" xfId="71" applyNumberFormat="1" applyFont="1" applyBorder="1">
      <alignment/>
      <protection/>
    </xf>
    <xf numFmtId="4" fontId="43" fillId="0" borderId="0" xfId="71" applyNumberFormat="1" applyFont="1">
      <alignment/>
      <protection/>
    </xf>
    <xf numFmtId="1" fontId="47" fillId="8" borderId="79" xfId="65" applyNumberFormat="1" applyFont="1" applyFill="1" applyBorder="1" applyAlignment="1">
      <alignment horizontal="center" vertical="center"/>
      <protection/>
    </xf>
    <xf numFmtId="3" fontId="43" fillId="0" borderId="0" xfId="71" applyNumberFormat="1" applyFont="1" applyAlignment="1">
      <alignment horizontal="centerContinuous"/>
      <protection/>
    </xf>
    <xf numFmtId="4" fontId="43" fillId="0" borderId="0" xfId="71" applyNumberFormat="1" applyFont="1" applyAlignment="1">
      <alignment horizontal="centerContinuous"/>
      <protection/>
    </xf>
    <xf numFmtId="3" fontId="47" fillId="8" borderId="80" xfId="65" applyNumberFormat="1" applyFont="1" applyFill="1" applyBorder="1" applyAlignment="1">
      <alignment horizontal="center" vertical="center" wrapText="1"/>
      <protection/>
    </xf>
    <xf numFmtId="3" fontId="42" fillId="0" borderId="64" xfId="71" applyNumberFormat="1" applyFont="1" applyBorder="1" applyAlignment="1">
      <alignment vertical="center"/>
      <protection/>
    </xf>
    <xf numFmtId="3" fontId="43" fillId="0" borderId="48" xfId="71" applyNumberFormat="1" applyFont="1" applyBorder="1" applyAlignment="1">
      <alignment vertical="center"/>
      <protection/>
    </xf>
    <xf numFmtId="1" fontId="42" fillId="0" borderId="62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50" xfId="71" applyNumberFormat="1" applyFont="1" applyFill="1" applyBorder="1" applyAlignment="1">
      <alignment horizontal="left" vertical="center" wrapText="1"/>
      <protection/>
    </xf>
    <xf numFmtId="3" fontId="43" fillId="0" borderId="51" xfId="71" applyNumberFormat="1" applyFont="1" applyFill="1" applyBorder="1" applyAlignment="1">
      <alignment vertical="center"/>
      <protection/>
    </xf>
    <xf numFmtId="43" fontId="42" fillId="0" borderId="51" xfId="71" applyNumberFormat="1" applyFont="1" applyFill="1" applyBorder="1" applyAlignment="1">
      <alignment vertical="center"/>
      <protection/>
    </xf>
    <xf numFmtId="43" fontId="42" fillId="0" borderId="47" xfId="71" applyNumberFormat="1" applyFont="1" applyFill="1" applyBorder="1" applyAlignment="1">
      <alignment vertical="center"/>
      <protection/>
    </xf>
    <xf numFmtId="3" fontId="42" fillId="0" borderId="81" xfId="71" applyNumberFormat="1" applyFont="1" applyBorder="1" applyAlignment="1">
      <alignment horizontal="left" vertical="center" wrapText="1"/>
      <protection/>
    </xf>
    <xf numFmtId="3" fontId="43" fillId="0" borderId="82" xfId="71" applyNumberFormat="1" applyFont="1" applyBorder="1" applyAlignment="1">
      <alignment vertical="center"/>
      <protection/>
    </xf>
    <xf numFmtId="3" fontId="42" fillId="0" borderId="59" xfId="71" applyNumberFormat="1" applyFont="1" applyBorder="1" applyAlignment="1">
      <alignment horizontal="left" vertical="center" wrapText="1"/>
      <protection/>
    </xf>
    <xf numFmtId="3" fontId="43" fillId="0" borderId="17" xfId="71" applyNumberFormat="1" applyFont="1" applyBorder="1" applyAlignment="1">
      <alignment vertical="center"/>
      <protection/>
    </xf>
    <xf numFmtId="3" fontId="43" fillId="0" borderId="10" xfId="74" applyNumberFormat="1" applyFont="1" applyBorder="1" applyAlignment="1">
      <alignment vertical="center"/>
      <protection/>
    </xf>
    <xf numFmtId="0" fontId="43" fillId="0" borderId="10" xfId="74" applyNumberFormat="1" applyFont="1" applyBorder="1" applyAlignment="1">
      <alignment horizontal="left" vertical="center" wrapText="1"/>
      <protection/>
    </xf>
    <xf numFmtId="3" fontId="43" fillId="0" borderId="0" xfId="71" applyNumberFormat="1" applyFont="1" applyFill="1">
      <alignment/>
      <protection/>
    </xf>
    <xf numFmtId="3" fontId="43" fillId="0" borderId="77" xfId="71" applyNumberFormat="1" applyFont="1" applyBorder="1" applyAlignment="1">
      <alignment vertical="center"/>
      <protection/>
    </xf>
    <xf numFmtId="3" fontId="43" fillId="0" borderId="83" xfId="74" applyNumberFormat="1" applyFont="1" applyBorder="1" applyAlignment="1">
      <alignment vertical="center"/>
      <protection/>
    </xf>
    <xf numFmtId="3" fontId="43" fillId="0" borderId="66" xfId="74" applyNumberFormat="1" applyFont="1" applyBorder="1" applyAlignment="1">
      <alignment vertical="center"/>
      <protection/>
    </xf>
    <xf numFmtId="3" fontId="42" fillId="16" borderId="57" xfId="71" applyNumberFormat="1" applyFont="1" applyFill="1" applyBorder="1" applyAlignment="1">
      <alignment horizontal="left" vertical="center" wrapText="1"/>
      <protection/>
    </xf>
    <xf numFmtId="3" fontId="43" fillId="16" borderId="84" xfId="74" applyNumberFormat="1" applyFont="1" applyFill="1" applyBorder="1" applyAlignment="1">
      <alignment vertical="center"/>
      <protection/>
    </xf>
    <xf numFmtId="3" fontId="42" fillId="0" borderId="65" xfId="71" applyNumberFormat="1" applyFont="1" applyBorder="1" applyAlignment="1">
      <alignment horizontal="left" vertical="center" wrapText="1"/>
      <protection/>
    </xf>
    <xf numFmtId="3" fontId="43" fillId="0" borderId="29" xfId="74" applyNumberFormat="1" applyFont="1" applyBorder="1" applyAlignment="1">
      <alignment vertical="center"/>
      <protection/>
    </xf>
    <xf numFmtId="3" fontId="43" fillId="0" borderId="85" xfId="74" applyNumberFormat="1" applyFont="1" applyBorder="1" applyAlignment="1">
      <alignment vertical="center"/>
      <protection/>
    </xf>
    <xf numFmtId="3" fontId="42" fillId="26" borderId="50" xfId="71" applyNumberFormat="1" applyFont="1" applyFill="1" applyBorder="1" applyAlignment="1">
      <alignment horizontal="left" vertical="center" wrapText="1"/>
      <protection/>
    </xf>
    <xf numFmtId="3" fontId="43" fillId="26" borderId="51" xfId="71" applyNumberFormat="1" applyFont="1" applyFill="1" applyBorder="1" applyAlignment="1">
      <alignment vertical="center"/>
      <protection/>
    </xf>
    <xf numFmtId="3" fontId="42" fillId="16" borderId="86" xfId="71" applyNumberFormat="1" applyFont="1" applyFill="1" applyBorder="1" applyAlignment="1">
      <alignment horizontal="left" vertical="center" wrapText="1"/>
      <protection/>
    </xf>
    <xf numFmtId="3" fontId="43" fillId="16" borderId="87" xfId="71" applyNumberFormat="1" applyFont="1" applyFill="1" applyBorder="1" applyAlignment="1">
      <alignment vertical="center"/>
      <protection/>
    </xf>
    <xf numFmtId="3" fontId="43" fillId="0" borderId="81" xfId="74" applyNumberFormat="1" applyFont="1" applyBorder="1" applyAlignment="1">
      <alignment vertical="center"/>
      <protection/>
    </xf>
    <xf numFmtId="3" fontId="43" fillId="0" borderId="82" xfId="74" applyNumberFormat="1" applyFont="1" applyBorder="1" applyAlignment="1">
      <alignment vertical="center"/>
      <protection/>
    </xf>
    <xf numFmtId="3" fontId="43" fillId="0" borderId="57" xfId="74" applyNumberFormat="1" applyFont="1" applyBorder="1" applyAlignment="1">
      <alignment vertical="center"/>
      <protection/>
    </xf>
    <xf numFmtId="3" fontId="43" fillId="0" borderId="19" xfId="74" applyNumberFormat="1" applyFont="1" applyBorder="1" applyAlignment="1">
      <alignment vertical="center"/>
      <protection/>
    </xf>
    <xf numFmtId="0" fontId="43" fillId="0" borderId="0" xfId="71" applyNumberFormat="1" applyFont="1">
      <alignment/>
      <protection/>
    </xf>
    <xf numFmtId="177" fontId="43" fillId="0" borderId="0" xfId="71" applyNumberFormat="1" applyFont="1">
      <alignment/>
      <protection/>
    </xf>
    <xf numFmtId="0" fontId="59" fillId="8" borderId="17" xfId="64" applyNumberFormat="1" applyFont="1" applyFill="1" applyBorder="1" applyAlignment="1">
      <alignment horizontal="center" vertical="center"/>
      <protection/>
    </xf>
    <xf numFmtId="0" fontId="59" fillId="0" borderId="0" xfId="64" applyNumberFormat="1" applyFont="1" applyFill="1" applyBorder="1" applyAlignment="1">
      <alignment horizontal="center" vertical="center"/>
      <protection/>
    </xf>
    <xf numFmtId="0" fontId="41" fillId="0" borderId="0" xfId="64" applyNumberFormat="1" applyFont="1" applyFill="1" applyBorder="1" applyAlignment="1">
      <alignment horizontal="center" vertical="center"/>
      <protection/>
    </xf>
    <xf numFmtId="3" fontId="40" fillId="0" borderId="0" xfId="73" applyNumberFormat="1" applyFont="1" applyBorder="1">
      <alignment/>
      <protection/>
    </xf>
    <xf numFmtId="3" fontId="43" fillId="0" borderId="0" xfId="73" applyNumberFormat="1" applyFont="1" applyBorder="1">
      <alignment/>
      <protection/>
    </xf>
    <xf numFmtId="2" fontId="59" fillId="8" borderId="17" xfId="64" applyNumberFormat="1" applyFont="1" applyFill="1" applyBorder="1" applyAlignment="1">
      <alignment horizontal="center" vertical="center"/>
      <protection/>
    </xf>
    <xf numFmtId="2" fontId="59" fillId="0" borderId="0" xfId="64" applyNumberFormat="1" applyFont="1" applyFill="1" applyBorder="1" applyAlignment="1">
      <alignment horizontal="center" vertical="center"/>
      <protection/>
    </xf>
    <xf numFmtId="2" fontId="41" fillId="0" borderId="0" xfId="64" applyNumberFormat="1" applyFont="1" applyFill="1" applyBorder="1" applyAlignment="1">
      <alignment horizontal="center" vertical="center"/>
      <protection/>
    </xf>
    <xf numFmtId="2" fontId="61" fillId="0" borderId="0" xfId="64" applyNumberFormat="1" applyFont="1" applyFill="1" applyBorder="1" applyAlignment="1">
      <alignment horizontal="center" vertical="center"/>
      <protection/>
    </xf>
    <xf numFmtId="2" fontId="62" fillId="0" borderId="0" xfId="64" applyNumberFormat="1" applyFont="1" applyFill="1" applyBorder="1" applyAlignment="1">
      <alignment horizontal="center" vertical="center"/>
      <protection/>
    </xf>
    <xf numFmtId="3" fontId="44" fillId="0" borderId="62" xfId="73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73" applyNumberFormat="1" applyFont="1" applyBorder="1" applyAlignment="1">
      <alignment horizontal="center" vertical="center" wrapText="1"/>
      <protection/>
    </xf>
    <xf numFmtId="3" fontId="32" fillId="0" borderId="18" xfId="73" applyNumberFormat="1" applyFont="1" applyFill="1" applyBorder="1" applyAlignment="1">
      <alignment vertical="center"/>
      <protection/>
    </xf>
    <xf numFmtId="4" fontId="44" fillId="0" borderId="0" xfId="73" applyNumberFormat="1" applyFont="1" applyBorder="1" applyAlignment="1">
      <alignment horizontal="right" vertical="center"/>
      <protection/>
    </xf>
    <xf numFmtId="3" fontId="43" fillId="0" borderId="0" xfId="73" applyNumberFormat="1" applyFont="1" applyBorder="1" applyAlignment="1">
      <alignment vertical="center"/>
      <protection/>
    </xf>
    <xf numFmtId="3" fontId="42" fillId="0" borderId="17" xfId="73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 applyProtection="1">
      <alignment horizontal="right" vertical="center"/>
      <protection locked="0"/>
    </xf>
    <xf numFmtId="179" fontId="41" fillId="0" borderId="0" xfId="51" applyNumberFormat="1" applyFont="1" applyBorder="1" applyAlignment="1" applyProtection="1">
      <alignment horizontal="right" vertical="center"/>
      <protection locked="0"/>
    </xf>
    <xf numFmtId="4" fontId="41" fillId="0" borderId="0" xfId="73" applyNumberFormat="1" applyFont="1" applyBorder="1" applyAlignment="1">
      <alignment vertical="center"/>
      <protection/>
    </xf>
    <xf numFmtId="3" fontId="43" fillId="0" borderId="17" xfId="73" applyNumberFormat="1" applyFont="1" applyFill="1" applyBorder="1" applyAlignment="1">
      <alignment vertical="center"/>
      <protection/>
    </xf>
    <xf numFmtId="179" fontId="56" fillId="0" borderId="0" xfId="51" applyNumberFormat="1" applyFont="1" applyBorder="1" applyAlignment="1" applyProtection="1">
      <alignment horizontal="right" vertical="center"/>
      <protection locked="0"/>
    </xf>
    <xf numFmtId="179" fontId="40" fillId="0" borderId="0" xfId="51" applyNumberFormat="1" applyFont="1" applyBorder="1" applyAlignment="1" applyProtection="1">
      <alignment horizontal="right" vertical="center"/>
      <protection locked="0"/>
    </xf>
    <xf numFmtId="3" fontId="40" fillId="0" borderId="0" xfId="73" applyNumberFormat="1" applyFont="1" applyBorder="1" applyAlignment="1">
      <alignment vertical="center"/>
      <protection/>
    </xf>
    <xf numFmtId="179" fontId="56" fillId="0" borderId="0" xfId="51" applyNumberFormat="1" applyFont="1" applyFill="1" applyBorder="1" applyAlignment="1" applyProtection="1">
      <alignment horizontal="right" vertical="center"/>
      <protection locked="0"/>
    </xf>
    <xf numFmtId="3" fontId="42" fillId="0" borderId="17" xfId="73" applyNumberFormat="1" applyFont="1" applyFill="1" applyBorder="1" applyAlignment="1">
      <alignment vertical="center" wrapText="1"/>
      <protection/>
    </xf>
    <xf numFmtId="179" fontId="44" fillId="0" borderId="0" xfId="51" applyNumberFormat="1" applyFont="1" applyFill="1" applyBorder="1" applyAlignment="1" applyProtection="1">
      <alignment horizontal="right" vertical="center"/>
      <protection locked="0"/>
    </xf>
    <xf numFmtId="179" fontId="41" fillId="0" borderId="0" xfId="51" applyNumberFormat="1" applyFont="1" applyFill="1" applyBorder="1" applyAlignment="1" applyProtection="1">
      <alignment horizontal="right" vertical="center"/>
      <protection locked="0"/>
    </xf>
    <xf numFmtId="3" fontId="42" fillId="0" borderId="17" xfId="73" applyNumberFormat="1" applyFont="1" applyFill="1" applyBorder="1" applyAlignment="1">
      <alignment horizontal="left" vertical="center" wrapText="1"/>
      <protection/>
    </xf>
    <xf numFmtId="179" fontId="40" fillId="0" borderId="0" xfId="51" applyNumberFormat="1" applyFont="1" applyFill="1" applyBorder="1" applyAlignment="1" applyProtection="1">
      <alignment horizontal="right" vertical="center"/>
      <protection locked="0"/>
    </xf>
    <xf numFmtId="3" fontId="40" fillId="0" borderId="0" xfId="73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>
      <alignment horizontal="right" vertical="center"/>
    </xf>
    <xf numFmtId="179" fontId="41" fillId="0" borderId="0" xfId="51" applyNumberFormat="1" applyFont="1" applyBorder="1" applyAlignment="1">
      <alignment horizontal="right" vertical="center"/>
    </xf>
    <xf numFmtId="179" fontId="56" fillId="0" borderId="0" xfId="51" applyNumberFormat="1" applyFont="1" applyFill="1" applyBorder="1" applyAlignment="1">
      <alignment horizontal="right" vertical="center"/>
    </xf>
    <xf numFmtId="179" fontId="40" fillId="0" borderId="0" xfId="51" applyNumberFormat="1" applyFont="1" applyFill="1" applyBorder="1" applyAlignment="1">
      <alignment horizontal="right" vertical="center"/>
    </xf>
    <xf numFmtId="179" fontId="44" fillId="0" borderId="0" xfId="51" applyNumberFormat="1" applyFont="1" applyFill="1" applyBorder="1" applyAlignment="1">
      <alignment horizontal="right" vertical="center"/>
    </xf>
    <xf numFmtId="179" fontId="41" fillId="0" borderId="0" xfId="51" applyNumberFormat="1" applyFont="1" applyFill="1" applyBorder="1" applyAlignment="1">
      <alignment horizontal="right" vertical="center"/>
    </xf>
    <xf numFmtId="3" fontId="43" fillId="0" borderId="17" xfId="73" applyNumberFormat="1" applyFont="1" applyFill="1" applyBorder="1" applyAlignment="1">
      <alignment vertical="center" wrapText="1"/>
      <protection/>
    </xf>
    <xf numFmtId="3" fontId="32" fillId="0" borderId="17" xfId="73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 applyProtection="1">
      <alignment vertical="center"/>
      <protection locked="0"/>
    </xf>
    <xf numFmtId="179" fontId="44" fillId="0" borderId="0" xfId="51" applyNumberFormat="1" applyFont="1" applyFill="1" applyBorder="1" applyAlignment="1">
      <alignment vertical="center"/>
    </xf>
    <xf numFmtId="3" fontId="32" fillId="0" borderId="17" xfId="73" applyNumberFormat="1" applyFont="1" applyFill="1" applyBorder="1" applyAlignment="1">
      <alignment vertical="center" wrapText="1"/>
      <protection/>
    </xf>
    <xf numFmtId="3" fontId="44" fillId="0" borderId="17" xfId="73" applyNumberFormat="1" applyFont="1" applyFill="1" applyBorder="1" applyAlignment="1">
      <alignment vertical="center"/>
      <protection/>
    </xf>
    <xf numFmtId="4" fontId="43" fillId="0" borderId="0" xfId="73" applyNumberFormat="1" applyFont="1" applyBorder="1">
      <alignment/>
      <protection/>
    </xf>
    <xf numFmtId="4" fontId="40" fillId="0" borderId="0" xfId="73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73" applyNumberFormat="1" applyFont="1" applyBorder="1">
      <alignment/>
      <protection/>
    </xf>
    <xf numFmtId="4" fontId="43" fillId="0" borderId="0" xfId="73" applyNumberFormat="1" applyFont="1" applyBorder="1" applyAlignment="1">
      <alignment horizontal="center"/>
      <protection/>
    </xf>
    <xf numFmtId="4" fontId="40" fillId="0" borderId="0" xfId="73" applyNumberFormat="1" applyFont="1" applyBorder="1" applyAlignment="1">
      <alignment horizontal="center"/>
      <protection/>
    </xf>
    <xf numFmtId="177" fontId="43" fillId="0" borderId="0" xfId="73" applyNumberFormat="1" applyFont="1" applyBorder="1">
      <alignment/>
      <protection/>
    </xf>
    <xf numFmtId="177" fontId="40" fillId="0" borderId="0" xfId="73" applyNumberFormat="1" applyFont="1" applyBorder="1">
      <alignment/>
      <protection/>
    </xf>
    <xf numFmtId="177" fontId="43" fillId="22" borderId="0" xfId="73" applyNumberFormat="1" applyFont="1" applyFill="1" applyBorder="1">
      <alignment/>
      <protection/>
    </xf>
    <xf numFmtId="177" fontId="40" fillId="22" borderId="0" xfId="73" applyNumberFormat="1" applyFont="1" applyFill="1" applyBorder="1">
      <alignment/>
      <protection/>
    </xf>
    <xf numFmtId="3" fontId="43" fillId="0" borderId="0" xfId="73" applyNumberFormat="1" applyFont="1" applyFill="1" applyBorder="1">
      <alignment/>
      <protection/>
    </xf>
    <xf numFmtId="177" fontId="43" fillId="0" borderId="0" xfId="73" applyNumberFormat="1" applyFont="1" applyFill="1" applyBorder="1">
      <alignment/>
      <protection/>
    </xf>
    <xf numFmtId="177" fontId="40" fillId="0" borderId="0" xfId="73" applyNumberFormat="1" applyFont="1" applyFill="1" applyBorder="1">
      <alignment/>
      <protection/>
    </xf>
    <xf numFmtId="3" fontId="40" fillId="0" borderId="0" xfId="73" applyNumberFormat="1" applyFont="1" applyFill="1" applyBorder="1">
      <alignment/>
      <protection/>
    </xf>
    <xf numFmtId="3" fontId="43" fillId="22" borderId="0" xfId="73" applyNumberFormat="1" applyFont="1" applyFill="1" applyBorder="1" applyAlignment="1">
      <alignment horizontal="right"/>
      <protection/>
    </xf>
    <xf numFmtId="4" fontId="43" fillId="22" borderId="0" xfId="73" applyNumberFormat="1" applyFont="1" applyFill="1" applyBorder="1">
      <alignment/>
      <protection/>
    </xf>
    <xf numFmtId="4" fontId="40" fillId="22" borderId="0" xfId="73" applyNumberFormat="1" applyFont="1" applyFill="1" applyBorder="1">
      <alignment/>
      <protection/>
    </xf>
    <xf numFmtId="0" fontId="59" fillId="25" borderId="17" xfId="64" applyFont="1" applyFill="1" applyBorder="1" applyAlignment="1">
      <alignment horizontal="center" vertical="center" wrapText="1"/>
      <protection/>
    </xf>
    <xf numFmtId="0" fontId="43" fillId="0" borderId="0" xfId="64" applyFont="1" applyAlignment="1">
      <alignment vertical="center"/>
      <protection/>
    </xf>
    <xf numFmtId="168" fontId="61" fillId="0" borderId="0" xfId="64" applyNumberFormat="1" applyFont="1" applyFill="1" applyBorder="1" applyAlignment="1">
      <alignment horizontal="center" vertical="center" wrapText="1"/>
      <protection/>
    </xf>
    <xf numFmtId="0" fontId="32" fillId="0" borderId="17" xfId="64" applyFont="1" applyFill="1" applyBorder="1" applyAlignment="1">
      <alignment horizontal="center" vertical="center"/>
      <protection/>
    </xf>
    <xf numFmtId="0" fontId="42" fillId="0" borderId="17" xfId="64" applyFont="1" applyFill="1" applyBorder="1" applyAlignment="1">
      <alignment horizontal="center" vertical="center"/>
      <protection/>
    </xf>
    <xf numFmtId="0" fontId="42" fillId="0" borderId="17" xfId="64" applyFont="1" applyFill="1" applyBorder="1" applyAlignment="1">
      <alignment horizontal="center" vertical="center" wrapText="1"/>
      <protection/>
    </xf>
    <xf numFmtId="0" fontId="42" fillId="0" borderId="0" xfId="64" applyFont="1" applyFill="1" applyBorder="1" applyAlignment="1">
      <alignment horizontal="center" vertical="center" wrapText="1"/>
      <protection/>
    </xf>
    <xf numFmtId="0" fontId="42" fillId="0" borderId="17" xfId="64" applyFont="1" applyFill="1" applyBorder="1" applyAlignment="1">
      <alignment vertical="center"/>
      <protection/>
    </xf>
    <xf numFmtId="4" fontId="42" fillId="0" borderId="0" xfId="64" applyNumberFormat="1" applyFont="1" applyFill="1" applyBorder="1" applyAlignment="1">
      <alignment horizontal="right" vertical="center"/>
      <protection/>
    </xf>
    <xf numFmtId="4" fontId="43" fillId="0" borderId="0" xfId="64" applyNumberFormat="1" applyFont="1" applyFill="1" applyBorder="1" applyAlignment="1">
      <alignment horizontal="right" vertical="center"/>
      <protection/>
    </xf>
    <xf numFmtId="0" fontId="43" fillId="0" borderId="17" xfId="64" applyFont="1" applyFill="1" applyBorder="1" applyAlignment="1">
      <alignment vertical="center"/>
      <protection/>
    </xf>
    <xf numFmtId="4" fontId="43" fillId="0" borderId="0" xfId="64" applyNumberFormat="1" applyFont="1" applyAlignment="1">
      <alignment vertical="center"/>
      <protection/>
    </xf>
    <xf numFmtId="0" fontId="43" fillId="0" borderId="0" xfId="64" applyFont="1" applyFill="1" applyAlignment="1">
      <alignment vertical="center"/>
      <protection/>
    </xf>
    <xf numFmtId="0" fontId="44" fillId="0" borderId="17" xfId="64" applyFont="1" applyFill="1" applyBorder="1" applyAlignment="1">
      <alignment horizontal="left" vertical="center"/>
      <protection/>
    </xf>
    <xf numFmtId="0" fontId="44" fillId="0" borderId="0" xfId="64" applyFont="1" applyFill="1" applyBorder="1" applyAlignment="1">
      <alignment horizontal="left" vertical="center"/>
      <protection/>
    </xf>
    <xf numFmtId="4" fontId="42" fillId="0" borderId="0" xfId="64" applyNumberFormat="1" applyFont="1" applyBorder="1" applyAlignment="1">
      <alignment horizontal="right" vertical="center"/>
      <protection/>
    </xf>
    <xf numFmtId="0" fontId="45" fillId="0" borderId="0" xfId="64" applyFont="1" applyAlignment="1" quotePrefix="1">
      <alignment vertical="center"/>
      <protection/>
    </xf>
    <xf numFmtId="2" fontId="43" fillId="0" borderId="0" xfId="64" applyNumberFormat="1" applyFont="1" applyAlignment="1">
      <alignment vertical="center"/>
      <protection/>
    </xf>
    <xf numFmtId="2" fontId="43" fillId="0" borderId="0" xfId="64" applyNumberFormat="1" applyFont="1" applyFill="1" applyAlignment="1">
      <alignment vertical="center"/>
      <protection/>
    </xf>
    <xf numFmtId="4" fontId="43" fillId="0" borderId="0" xfId="64" applyNumberFormat="1" applyFont="1" applyFill="1" applyBorder="1" applyAlignment="1">
      <alignment vertical="center"/>
      <protection/>
    </xf>
    <xf numFmtId="0" fontId="43" fillId="0" borderId="0" xfId="64" applyFont="1" applyFill="1" applyBorder="1" applyAlignment="1">
      <alignment vertical="center"/>
      <protection/>
    </xf>
    <xf numFmtId="4" fontId="43" fillId="27" borderId="0" xfId="64" applyNumberFormat="1" applyFont="1" applyFill="1" applyBorder="1" applyAlignment="1">
      <alignment vertical="center"/>
      <protection/>
    </xf>
    <xf numFmtId="0" fontId="42" fillId="0" borderId="0" xfId="64" applyFont="1" applyFill="1" applyBorder="1" applyAlignment="1">
      <alignment vertical="center"/>
      <protection/>
    </xf>
    <xf numFmtId="4" fontId="42" fillId="0" borderId="0" xfId="64" applyNumberFormat="1" applyFont="1" applyFill="1" applyBorder="1" applyAlignment="1">
      <alignment vertical="center"/>
      <protection/>
    </xf>
    <xf numFmtId="2" fontId="43" fillId="0" borderId="0" xfId="64" applyNumberFormat="1" applyFont="1" applyFill="1" applyBorder="1" applyAlignment="1">
      <alignment vertical="center"/>
      <protection/>
    </xf>
    <xf numFmtId="0" fontId="43" fillId="0" borderId="0" xfId="64" applyFont="1">
      <alignment/>
      <protection/>
    </xf>
    <xf numFmtId="2" fontId="43" fillId="0" borderId="0" xfId="64" applyNumberFormat="1" applyFont="1">
      <alignment/>
      <protection/>
    </xf>
    <xf numFmtId="2" fontId="43" fillId="0" borderId="0" xfId="64" applyNumberFormat="1" applyFont="1" applyFill="1">
      <alignment/>
      <protection/>
    </xf>
    <xf numFmtId="0" fontId="43" fillId="0" borderId="0" xfId="64" applyFont="1" applyFill="1">
      <alignment/>
      <protection/>
    </xf>
    <xf numFmtId="0" fontId="59" fillId="0" borderId="0" xfId="64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4" applyFont="1" applyFill="1" applyBorder="1" applyAlignment="1">
      <alignment horizontal="left" vertical="center"/>
      <protection/>
    </xf>
    <xf numFmtId="0" fontId="42" fillId="0" borderId="17" xfId="64" applyFont="1" applyBorder="1" applyAlignment="1">
      <alignment vertical="center"/>
      <protection/>
    </xf>
    <xf numFmtId="0" fontId="43" fillId="0" borderId="17" xfId="64" applyFont="1" applyBorder="1" applyAlignment="1">
      <alignment vertical="center"/>
      <protection/>
    </xf>
    <xf numFmtId="4" fontId="43" fillId="0" borderId="0" xfId="73" applyNumberFormat="1" applyFont="1" applyFill="1" applyBorder="1" applyAlignment="1">
      <alignment horizontal="right" vertical="center"/>
      <protection/>
    </xf>
    <xf numFmtId="0" fontId="43" fillId="0" borderId="17" xfId="64" applyFont="1" applyFill="1" applyBorder="1" applyAlignment="1">
      <alignment vertical="center" wrapText="1"/>
      <protection/>
    </xf>
    <xf numFmtId="0" fontId="42" fillId="0" borderId="17" xfId="64" applyFont="1" applyFill="1" applyBorder="1" applyAlignment="1">
      <alignment vertical="center" wrapText="1"/>
      <protection/>
    </xf>
    <xf numFmtId="4" fontId="43" fillId="0" borderId="0" xfId="64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2" applyNumberFormat="1" applyFont="1" applyBorder="1" applyAlignment="1" applyProtection="1">
      <alignment vertical="center"/>
      <protection/>
    </xf>
    <xf numFmtId="177" fontId="43" fillId="0" borderId="22" xfId="52" applyNumberFormat="1" applyFont="1" applyBorder="1" applyAlignment="1">
      <alignment vertical="center"/>
    </xf>
    <xf numFmtId="177" fontId="42" fillId="24" borderId="22" xfId="52" applyNumberFormat="1" applyFont="1" applyFill="1" applyBorder="1" applyAlignment="1" applyProtection="1">
      <alignment vertical="center"/>
      <protection/>
    </xf>
    <xf numFmtId="177" fontId="43" fillId="0" borderId="88" xfId="52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9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88" xfId="0" applyNumberFormat="1" applyFont="1" applyBorder="1" applyAlignment="1">
      <alignment vertical="center"/>
    </xf>
    <xf numFmtId="177" fontId="42" fillId="0" borderId="89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7" applyFont="1" applyBorder="1" applyAlignment="1">
      <alignment horizontal="center" vertical="center" wrapText="1"/>
      <protection/>
    </xf>
    <xf numFmtId="0" fontId="42" fillId="0" borderId="59" xfId="57" applyFont="1" applyBorder="1" applyAlignment="1">
      <alignment vertical="center" wrapText="1"/>
      <protection/>
    </xf>
    <xf numFmtId="0" fontId="42" fillId="0" borderId="59" xfId="57" applyFont="1" applyBorder="1" applyAlignment="1">
      <alignment horizontal="left" vertical="center" wrapText="1"/>
      <protection/>
    </xf>
    <xf numFmtId="0" fontId="43" fillId="0" borderId="59" xfId="57" applyFont="1" applyBorder="1" applyAlignment="1">
      <alignment vertical="center"/>
      <protection/>
    </xf>
    <xf numFmtId="0" fontId="42" fillId="0" borderId="57" xfId="57" applyFont="1" applyBorder="1" applyAlignment="1">
      <alignment horizontal="left" vertical="center" wrapText="1"/>
      <protection/>
    </xf>
    <xf numFmtId="171" fontId="42" fillId="0" borderId="67" xfId="70" applyNumberFormat="1" applyFont="1" applyFill="1" applyBorder="1" applyAlignment="1">
      <alignment horizontal="right" vertical="center" wrapText="1"/>
      <protection/>
    </xf>
    <xf numFmtId="179" fontId="42" fillId="0" borderId="17" xfId="51" applyNumberFormat="1" applyFont="1" applyFill="1" applyBorder="1" applyAlignment="1" applyProtection="1">
      <alignment horizontal="right" vertical="center"/>
      <protection locked="0"/>
    </xf>
    <xf numFmtId="179" fontId="43" fillId="0" borderId="17" xfId="51" applyNumberFormat="1" applyFont="1" applyFill="1" applyBorder="1" applyAlignment="1" applyProtection="1">
      <alignment horizontal="right" vertical="center"/>
      <protection locked="0"/>
    </xf>
    <xf numFmtId="179" fontId="42" fillId="0" borderId="17" xfId="51" applyNumberFormat="1" applyFont="1" applyFill="1" applyBorder="1" applyAlignment="1" applyProtection="1">
      <alignment vertical="center"/>
      <protection locked="0"/>
    </xf>
    <xf numFmtId="179" fontId="42" fillId="0" borderId="17" xfId="51" applyNumberFormat="1" applyFont="1" applyFill="1" applyBorder="1" applyAlignment="1" applyProtection="1">
      <alignment horizontal="right" vertical="center"/>
      <protection/>
    </xf>
    <xf numFmtId="179" fontId="43" fillId="0" borderId="17" xfId="51" applyNumberFormat="1" applyFont="1" applyFill="1" applyBorder="1" applyAlignment="1" applyProtection="1">
      <alignment horizontal="right" vertical="center"/>
      <protection/>
    </xf>
    <xf numFmtId="179" fontId="42" fillId="0" borderId="17" xfId="51" applyNumberFormat="1" applyFont="1" applyFill="1" applyBorder="1" applyAlignment="1" applyProtection="1">
      <alignment vertical="center"/>
      <protection/>
    </xf>
    <xf numFmtId="4" fontId="42" fillId="0" borderId="17" xfId="64" applyNumberFormat="1" applyFont="1" applyFill="1" applyBorder="1" applyAlignment="1" applyProtection="1">
      <alignment horizontal="right" vertical="center"/>
      <protection/>
    </xf>
    <xf numFmtId="0" fontId="49" fillId="0" borderId="90" xfId="0" applyFont="1" applyBorder="1" applyAlignment="1" applyProtection="1">
      <alignment vertical="center" wrapText="1"/>
      <protection locked="0"/>
    </xf>
    <xf numFmtId="169" fontId="49" fillId="0" borderId="90" xfId="45" applyFont="1" applyBorder="1" applyAlignment="1" applyProtection="1">
      <alignment vertical="center" wrapText="1"/>
      <protection locked="0"/>
    </xf>
    <xf numFmtId="169" fontId="43" fillId="0" borderId="90" xfId="45" applyFont="1" applyBorder="1" applyAlignment="1" applyProtection="1">
      <alignment vertical="center" wrapText="1"/>
      <protection locked="0"/>
    </xf>
    <xf numFmtId="177" fontId="43" fillId="0" borderId="90" xfId="45" applyNumberFormat="1" applyFont="1" applyBorder="1" applyAlignment="1" applyProtection="1">
      <alignment vertical="center" wrapText="1"/>
      <protection locked="0"/>
    </xf>
    <xf numFmtId="10" fontId="48" fillId="0" borderId="90" xfId="77" applyNumberFormat="1" applyFont="1" applyBorder="1" applyAlignment="1" applyProtection="1">
      <alignment vertical="center" wrapText="1"/>
      <protection locked="0"/>
    </xf>
    <xf numFmtId="177" fontId="43" fillId="0" borderId="90" xfId="77" applyNumberFormat="1" applyFont="1" applyBorder="1" applyAlignment="1" applyProtection="1">
      <alignment vertical="center" wrapText="1"/>
      <protection locked="0"/>
    </xf>
    <xf numFmtId="177" fontId="43" fillId="0" borderId="91" xfId="0" applyNumberFormat="1" applyFont="1" applyBorder="1" applyAlignment="1" applyProtection="1">
      <alignment vertical="center" wrapText="1"/>
      <protection locked="0"/>
    </xf>
    <xf numFmtId="177" fontId="43" fillId="0" borderId="90" xfId="0" applyNumberFormat="1" applyFont="1" applyBorder="1" applyAlignment="1" applyProtection="1">
      <alignment vertical="center" wrapText="1"/>
      <protection locked="0"/>
    </xf>
    <xf numFmtId="10" fontId="43" fillId="0" borderId="90" xfId="77" applyNumberFormat="1" applyFont="1" applyBorder="1" applyAlignment="1" applyProtection="1">
      <alignment horizontal="center" vertical="center" wrapText="1"/>
      <protection locked="0"/>
    </xf>
    <xf numFmtId="177" fontId="42" fillId="0" borderId="90" xfId="0" applyNumberFormat="1" applyFont="1" applyBorder="1" applyAlignment="1" applyProtection="1">
      <alignment horizontal="left" vertical="center" wrapText="1"/>
      <protection locked="0"/>
    </xf>
    <xf numFmtId="177" fontId="42" fillId="0" borderId="90" xfId="45" applyNumberFormat="1" applyFont="1" applyBorder="1" applyAlignment="1" applyProtection="1">
      <alignment vertical="center" wrapText="1"/>
      <protection locked="0"/>
    </xf>
    <xf numFmtId="177" fontId="42" fillId="0" borderId="91" xfId="0" applyNumberFormat="1" applyFont="1" applyBorder="1" applyAlignment="1" applyProtection="1">
      <alignment horizontal="left" vertical="center" wrapText="1"/>
      <protection locked="0"/>
    </xf>
    <xf numFmtId="177" fontId="43" fillId="0" borderId="92" xfId="0" applyNumberFormat="1" applyFont="1" applyBorder="1" applyAlignment="1" applyProtection="1">
      <alignment vertical="center" wrapText="1"/>
      <protection locked="0"/>
    </xf>
    <xf numFmtId="177" fontId="43" fillId="0" borderId="92" xfId="77" applyNumberFormat="1" applyFont="1" applyBorder="1" applyAlignment="1" applyProtection="1">
      <alignment vertical="center" wrapText="1"/>
      <protection locked="0"/>
    </xf>
    <xf numFmtId="177" fontId="43" fillId="0" borderId="93" xfId="0" applyNumberFormat="1" applyFont="1" applyBorder="1" applyAlignment="1" applyProtection="1">
      <alignment vertical="center" wrapText="1"/>
      <protection locked="0"/>
    </xf>
    <xf numFmtId="177" fontId="42" fillId="0" borderId="94" xfId="45" applyNumberFormat="1" applyFont="1" applyBorder="1" applyAlignment="1" applyProtection="1">
      <alignment vertical="center" wrapText="1"/>
      <protection locked="0"/>
    </xf>
    <xf numFmtId="177" fontId="42" fillId="0" borderId="95" xfId="0" applyNumberFormat="1" applyFont="1" applyBorder="1" applyAlignment="1" applyProtection="1">
      <alignment horizontal="left" vertical="center" wrapText="1"/>
      <protection locked="0"/>
    </xf>
    <xf numFmtId="179" fontId="42" fillId="0" borderId="90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7" applyFont="1" applyBorder="1" applyAlignment="1" applyProtection="1">
      <alignment horizontal="left" vertical="center" wrapText="1"/>
      <protection locked="0"/>
    </xf>
    <xf numFmtId="0" fontId="43" fillId="0" borderId="12" xfId="57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7" applyFont="1" applyBorder="1" applyAlignment="1" applyProtection="1">
      <alignment vertical="center"/>
      <protection locked="0"/>
    </xf>
    <xf numFmtId="2" fontId="43" fillId="0" borderId="17" xfId="57" applyNumberFormat="1" applyFont="1" applyBorder="1" applyAlignment="1" applyProtection="1">
      <alignment vertical="center"/>
      <protection locked="0"/>
    </xf>
    <xf numFmtId="0" fontId="43" fillId="0" borderId="12" xfId="57" applyFont="1" applyBorder="1" applyAlignment="1" applyProtection="1">
      <alignment vertical="center"/>
      <protection locked="0"/>
    </xf>
    <xf numFmtId="0" fontId="42" fillId="0" borderId="12" xfId="57" applyFont="1" applyBorder="1" applyAlignment="1" applyProtection="1">
      <alignment vertical="center"/>
      <protection locked="0"/>
    </xf>
    <xf numFmtId="0" fontId="43" fillId="0" borderId="20" xfId="57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4" applyNumberFormat="1" applyFont="1" applyBorder="1" applyAlignment="1" applyProtection="1">
      <alignment vertical="center"/>
      <protection locked="0"/>
    </xf>
    <xf numFmtId="4" fontId="43" fillId="0" borderId="17" xfId="64" applyNumberFormat="1" applyFont="1" applyFill="1" applyBorder="1" applyAlignment="1" applyProtection="1">
      <alignment vertical="center"/>
      <protection locked="0"/>
    </xf>
    <xf numFmtId="4" fontId="43" fillId="0" borderId="17" xfId="73" applyNumberFormat="1" applyFont="1" applyBorder="1" applyAlignment="1" applyProtection="1">
      <alignment horizontal="right" vertical="center"/>
      <protection locked="0"/>
    </xf>
    <xf numFmtId="4" fontId="43" fillId="0" borderId="17" xfId="73" applyNumberFormat="1" applyFont="1" applyFill="1" applyBorder="1" applyAlignment="1" applyProtection="1">
      <alignment horizontal="right" vertical="center"/>
      <protection locked="0"/>
    </xf>
    <xf numFmtId="4" fontId="42" fillId="0" borderId="17" xfId="64" applyNumberFormat="1" applyFont="1" applyFill="1" applyBorder="1" applyAlignment="1" applyProtection="1">
      <alignment vertical="center"/>
      <protection locked="0"/>
    </xf>
    <xf numFmtId="4" fontId="42" fillId="0" borderId="17" xfId="64" applyNumberFormat="1" applyFont="1" applyBorder="1" applyAlignment="1" applyProtection="1">
      <alignment vertical="center"/>
      <protection/>
    </xf>
    <xf numFmtId="4" fontId="43" fillId="0" borderId="17" xfId="64" applyNumberFormat="1" applyFont="1" applyBorder="1" applyAlignment="1" applyProtection="1">
      <alignment vertical="center"/>
      <protection/>
    </xf>
    <xf numFmtId="4" fontId="42" fillId="0" borderId="17" xfId="64" applyNumberFormat="1" applyFont="1" applyFill="1" applyBorder="1" applyAlignment="1" applyProtection="1">
      <alignment vertical="center"/>
      <protection/>
    </xf>
    <xf numFmtId="4" fontId="42" fillId="0" borderId="17" xfId="64" applyNumberFormat="1" applyFont="1" applyBorder="1" applyAlignment="1" applyProtection="1">
      <alignment horizontal="right" vertical="center"/>
      <protection/>
    </xf>
    <xf numFmtId="4" fontId="44" fillId="0" borderId="17" xfId="73" applyNumberFormat="1" applyFont="1" applyFill="1" applyBorder="1" applyAlignment="1" applyProtection="1">
      <alignment horizontal="right" vertical="center"/>
      <protection locked="0"/>
    </xf>
    <xf numFmtId="4" fontId="42" fillId="0" borderId="17" xfId="64" applyNumberFormat="1" applyFont="1" applyFill="1" applyBorder="1" applyAlignment="1" applyProtection="1">
      <alignment horizontal="right" vertical="center"/>
      <protection locked="0"/>
    </xf>
    <xf numFmtId="4" fontId="43" fillId="0" borderId="17" xfId="64" applyNumberFormat="1" applyFont="1" applyFill="1" applyBorder="1" applyAlignment="1" applyProtection="1">
      <alignment horizontal="right" vertical="center"/>
      <protection locked="0"/>
    </xf>
    <xf numFmtId="4" fontId="43" fillId="0" borderId="17" xfId="64" applyNumberFormat="1" applyFont="1" applyFill="1" applyBorder="1" applyAlignment="1" applyProtection="1">
      <alignment horizontal="right" vertical="center"/>
      <protection/>
    </xf>
    <xf numFmtId="179" fontId="42" fillId="0" borderId="90" xfId="45" applyNumberFormat="1" applyFont="1" applyFill="1" applyBorder="1" applyAlignment="1" applyProtection="1">
      <alignment vertical="center" wrapText="1"/>
      <protection/>
    </xf>
    <xf numFmtId="179" fontId="42" fillId="0" borderId="90" xfId="45" applyNumberFormat="1" applyFont="1" applyFill="1" applyBorder="1" applyAlignment="1" applyProtection="1">
      <alignment vertical="center" wrapText="1"/>
      <protection locked="0"/>
    </xf>
    <xf numFmtId="177" fontId="42" fillId="0" borderId="90" xfId="45" applyNumberFormat="1" applyFont="1" applyFill="1" applyBorder="1" applyAlignment="1" applyProtection="1">
      <alignment vertical="center" wrapText="1"/>
      <protection/>
    </xf>
    <xf numFmtId="179" fontId="42" fillId="0" borderId="94" xfId="45" applyNumberFormat="1" applyFont="1" applyFill="1" applyBorder="1" applyAlignment="1" applyProtection="1">
      <alignment vertical="center" wrapText="1"/>
      <protection/>
    </xf>
    <xf numFmtId="179" fontId="42" fillId="0" borderId="94" xfId="45" applyNumberFormat="1" applyFont="1" applyFill="1" applyBorder="1" applyAlignment="1" applyProtection="1">
      <alignment vertical="center" wrapText="1"/>
      <protection locked="0"/>
    </xf>
    <xf numFmtId="177" fontId="42" fillId="0" borderId="94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70" applyNumberFormat="1" applyFont="1" applyFill="1" applyBorder="1" applyAlignment="1">
      <alignment horizontal="right" vertical="center" wrapText="1"/>
      <protection/>
    </xf>
    <xf numFmtId="0" fontId="43" fillId="0" borderId="48" xfId="70" applyNumberFormat="1" applyFont="1" applyFill="1" applyBorder="1" applyAlignment="1">
      <alignment horizontal="right" vertical="center" wrapText="1"/>
      <protection/>
    </xf>
    <xf numFmtId="43" fontId="42" fillId="0" borderId="82" xfId="0" applyNumberFormat="1" applyFont="1" applyBorder="1" applyAlignment="1" applyProtection="1">
      <alignment horizontal="center" vertical="center" wrapText="1"/>
      <protection locked="0"/>
    </xf>
    <xf numFmtId="43" fontId="42" fillId="0" borderId="13" xfId="0" applyNumberFormat="1" applyFont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 locked="0"/>
    </xf>
    <xf numFmtId="43" fontId="42" fillId="0" borderId="12" xfId="0" applyNumberFormat="1" applyFont="1" applyBorder="1" applyAlignment="1" applyProtection="1">
      <alignment horizontal="center" vertical="center" wrapText="1"/>
      <protection locked="0"/>
    </xf>
    <xf numFmtId="43" fontId="42" fillId="26" borderId="51" xfId="71" applyNumberFormat="1" applyFont="1" applyFill="1" applyBorder="1" applyAlignment="1" applyProtection="1">
      <alignment vertical="center"/>
      <protection locked="0"/>
    </xf>
    <xf numFmtId="43" fontId="42" fillId="26" borderId="52" xfId="71" applyNumberFormat="1" applyFont="1" applyFill="1" applyBorder="1" applyAlignment="1" applyProtection="1">
      <alignment vertical="center"/>
      <protection locked="0"/>
    </xf>
    <xf numFmtId="177" fontId="43" fillId="0" borderId="82" xfId="71" applyNumberFormat="1" applyFont="1" applyBorder="1" applyAlignment="1" applyProtection="1">
      <alignment vertical="center" wrapText="1"/>
      <protection locked="0"/>
    </xf>
    <xf numFmtId="177" fontId="43" fillId="0" borderId="13" xfId="71" applyNumberFormat="1" applyFont="1" applyBorder="1" applyAlignment="1" applyProtection="1">
      <alignment vertical="center" wrapText="1"/>
      <protection locked="0"/>
    </xf>
    <xf numFmtId="177" fontId="43" fillId="0" borderId="19" xfId="71" applyNumberFormat="1" applyFont="1" applyBorder="1" applyAlignment="1" applyProtection="1">
      <alignment vertical="center" wrapText="1"/>
      <protection locked="0"/>
    </xf>
    <xf numFmtId="177" fontId="43" fillId="0" borderId="96" xfId="71" applyNumberFormat="1" applyFont="1" applyBorder="1" applyAlignment="1" applyProtection="1">
      <alignment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/>
    </xf>
    <xf numFmtId="43" fontId="42" fillId="16" borderId="19" xfId="0" applyNumberFormat="1" applyFont="1" applyFill="1" applyBorder="1" applyAlignment="1" applyProtection="1">
      <alignment horizontal="center" vertical="center" wrapText="1"/>
      <protection/>
    </xf>
    <xf numFmtId="43" fontId="42" fillId="16" borderId="20" xfId="0" applyNumberFormat="1" applyFont="1" applyFill="1" applyBorder="1" applyAlignment="1" applyProtection="1">
      <alignment horizontal="center" vertical="center" wrapText="1"/>
      <protection/>
    </xf>
    <xf numFmtId="43" fontId="42" fillId="0" borderId="51" xfId="0" applyNumberFormat="1" applyFont="1" applyFill="1" applyBorder="1" applyAlignment="1" applyProtection="1">
      <alignment horizontal="center" vertical="center" wrapText="1"/>
      <protection/>
    </xf>
    <xf numFmtId="43" fontId="42" fillId="0" borderId="52" xfId="0" applyNumberFormat="1" applyFont="1" applyFill="1" applyBorder="1" applyAlignment="1" applyProtection="1">
      <alignment horizontal="center" vertical="center" wrapText="1"/>
      <protection/>
    </xf>
    <xf numFmtId="43" fontId="42" fillId="0" borderId="82" xfId="0" applyNumberFormat="1" applyFont="1" applyBorder="1" applyAlignment="1" applyProtection="1">
      <alignment horizontal="center" vertical="center" wrapText="1"/>
      <protection/>
    </xf>
    <xf numFmtId="43" fontId="42" fillId="0" borderId="11" xfId="0" applyNumberFormat="1" applyFont="1" applyBorder="1" applyAlignment="1" applyProtection="1">
      <alignment horizontal="center" vertical="center" wrapText="1"/>
      <protection/>
    </xf>
    <xf numFmtId="43" fontId="42" fillId="16" borderId="48" xfId="0" applyNumberFormat="1" applyFont="1" applyFill="1" applyBorder="1" applyAlignment="1" applyProtection="1">
      <alignment horizontal="center" vertical="center" wrapText="1"/>
      <protection/>
    </xf>
    <xf numFmtId="43" fontId="42" fillId="16" borderId="25" xfId="0" applyNumberFormat="1" applyFont="1" applyFill="1" applyBorder="1" applyAlignment="1" applyProtection="1">
      <alignment horizontal="center" vertical="center" wrapText="1"/>
      <protection/>
    </xf>
    <xf numFmtId="43" fontId="42" fillId="16" borderId="87" xfId="0" applyNumberFormat="1" applyFont="1" applyFill="1" applyBorder="1" applyAlignment="1" applyProtection="1">
      <alignment horizontal="center" vertical="center" wrapText="1"/>
      <protection/>
    </xf>
    <xf numFmtId="43" fontId="42" fillId="16" borderId="49" xfId="0" applyNumberFormat="1" applyFont="1" applyFill="1" applyBorder="1" applyAlignment="1" applyProtection="1">
      <alignment horizontal="center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4" applyNumberFormat="1" applyFont="1" applyBorder="1" applyAlignment="1" applyProtection="1">
      <alignment vertical="center"/>
      <protection locked="0"/>
    </xf>
    <xf numFmtId="0" fontId="43" fillId="0" borderId="14" xfId="57" applyFont="1" applyBorder="1" applyAlignment="1" applyProtection="1">
      <alignment vertical="center"/>
      <protection locked="0"/>
    </xf>
    <xf numFmtId="177" fontId="43" fillId="0" borderId="17" xfId="54" applyNumberFormat="1" applyFont="1" applyBorder="1" applyAlignment="1" applyProtection="1">
      <alignment vertical="center"/>
      <protection locked="0"/>
    </xf>
    <xf numFmtId="177" fontId="43" fillId="0" borderId="48" xfId="54" applyNumberFormat="1" applyFont="1" applyBorder="1" applyAlignment="1" applyProtection="1">
      <alignment vertical="center"/>
      <protection locked="0"/>
    </xf>
    <xf numFmtId="0" fontId="43" fillId="0" borderId="25" xfId="57" applyFont="1" applyBorder="1" applyAlignment="1" applyProtection="1">
      <alignment vertical="center"/>
      <protection locked="0"/>
    </xf>
    <xf numFmtId="177" fontId="43" fillId="0" borderId="56" xfId="54" applyNumberFormat="1" applyFont="1" applyBorder="1" applyAlignment="1" applyProtection="1">
      <alignment vertical="center"/>
      <protection locked="0"/>
    </xf>
    <xf numFmtId="0" fontId="43" fillId="0" borderId="27" xfId="57" applyFont="1" applyBorder="1" applyAlignment="1" applyProtection="1">
      <alignment vertical="center"/>
      <protection locked="0"/>
    </xf>
    <xf numFmtId="0" fontId="42" fillId="2" borderId="50" xfId="69" applyFont="1" applyFill="1" applyBorder="1" applyAlignment="1" applyProtection="1">
      <alignment horizontal="left" vertical="center" wrapText="1"/>
      <protection/>
    </xf>
    <xf numFmtId="0" fontId="43" fillId="0" borderId="51" xfId="69" applyFont="1" applyBorder="1" applyAlignment="1" applyProtection="1">
      <alignment vertical="center"/>
      <protection/>
    </xf>
    <xf numFmtId="0" fontId="42" fillId="0" borderId="51" xfId="69" applyFont="1" applyBorder="1" applyAlignment="1" applyProtection="1">
      <alignment horizontal="center" vertical="center"/>
      <protection/>
    </xf>
    <xf numFmtId="0" fontId="42" fillId="0" borderId="47" xfId="69" applyFont="1" applyBorder="1" applyAlignment="1" applyProtection="1">
      <alignment horizontal="center" vertical="center"/>
      <protection/>
    </xf>
    <xf numFmtId="0" fontId="42" fillId="0" borderId="97" xfId="69" applyFont="1" applyBorder="1" applyAlignment="1" applyProtection="1">
      <alignment vertical="center"/>
      <protection/>
    </xf>
    <xf numFmtId="0" fontId="43" fillId="0" borderId="58" xfId="69" applyFont="1" applyBorder="1" applyAlignment="1" applyProtection="1">
      <alignment vertical="center"/>
      <protection/>
    </xf>
    <xf numFmtId="4" fontId="43" fillId="28" borderId="98" xfId="69" applyNumberFormat="1" applyFont="1" applyFill="1" applyBorder="1" applyAlignment="1" applyProtection="1">
      <alignment horizontal="center" vertical="center"/>
      <protection/>
    </xf>
    <xf numFmtId="177" fontId="51" fillId="7" borderId="99" xfId="44" applyNumberFormat="1" applyFont="1" applyBorder="1" applyAlignment="1" applyProtection="1">
      <alignment horizontal="right" vertical="center"/>
      <protection/>
    </xf>
    <xf numFmtId="177" fontId="51" fillId="7" borderId="100" xfId="44" applyNumberFormat="1" applyFont="1" applyBorder="1" applyAlignment="1" applyProtection="1">
      <alignment horizontal="right" vertical="center"/>
      <protection/>
    </xf>
    <xf numFmtId="4" fontId="43" fillId="28" borderId="53" xfId="69" applyNumberFormat="1" applyFont="1" applyFill="1" applyBorder="1" applyAlignment="1" applyProtection="1">
      <alignment horizontal="center" vertical="center"/>
      <protection/>
    </xf>
    <xf numFmtId="4" fontId="43" fillId="28" borderId="58" xfId="69" applyNumberFormat="1" applyFont="1" applyFill="1" applyBorder="1" applyAlignment="1" applyProtection="1">
      <alignment horizontal="center" vertical="center"/>
      <protection/>
    </xf>
    <xf numFmtId="4" fontId="43" fillId="28" borderId="38" xfId="69" applyNumberFormat="1" applyFont="1" applyFill="1" applyBorder="1" applyAlignment="1" applyProtection="1">
      <alignment horizontal="center" vertical="center"/>
      <protection/>
    </xf>
    <xf numFmtId="0" fontId="43" fillId="0" borderId="11" xfId="69" applyFont="1" applyBorder="1" applyAlignment="1" applyProtection="1">
      <alignment vertical="center"/>
      <protection/>
    </xf>
    <xf numFmtId="0" fontId="43" fillId="0" borderId="64" xfId="69" applyFont="1" applyBorder="1" applyAlignment="1" applyProtection="1">
      <alignment vertical="center"/>
      <protection/>
    </xf>
    <xf numFmtId="0" fontId="42" fillId="0" borderId="67" xfId="69" applyFont="1" applyBorder="1" applyAlignment="1" applyProtection="1">
      <alignment vertical="center"/>
      <protection/>
    </xf>
    <xf numFmtId="0" fontId="43" fillId="0" borderId="101" xfId="69" applyFont="1" applyBorder="1" applyAlignment="1" applyProtection="1">
      <alignment vertical="center"/>
      <protection/>
    </xf>
    <xf numFmtId="4" fontId="43" fillId="28" borderId="67" xfId="69" applyNumberFormat="1" applyFont="1" applyFill="1" applyBorder="1" applyAlignment="1" applyProtection="1">
      <alignment horizontal="center" vertical="center"/>
      <protection/>
    </xf>
    <xf numFmtId="0" fontId="43" fillId="0" borderId="65" xfId="69" applyFont="1" applyBorder="1" applyAlignment="1" applyProtection="1">
      <alignment horizontal="left" vertical="center" wrapText="1"/>
      <protection/>
    </xf>
    <xf numFmtId="0" fontId="43" fillId="0" borderId="56" xfId="69" applyFont="1" applyBorder="1" applyAlignment="1" applyProtection="1">
      <alignment vertical="center"/>
      <protection/>
    </xf>
    <xf numFmtId="0" fontId="42" fillId="0" borderId="102" xfId="69" applyFont="1" applyBorder="1" applyAlignment="1" applyProtection="1">
      <alignment vertical="center"/>
      <protection/>
    </xf>
    <xf numFmtId="0" fontId="43" fillId="0" borderId="103" xfId="69" applyFont="1" applyBorder="1" applyAlignment="1" applyProtection="1">
      <alignment vertical="center"/>
      <protection/>
    </xf>
    <xf numFmtId="0" fontId="42" fillId="0" borderId="104" xfId="69" applyFont="1" applyFill="1" applyBorder="1" applyAlignment="1" applyProtection="1">
      <alignment horizontal="center" vertical="center"/>
      <protection/>
    </xf>
    <xf numFmtId="4" fontId="43" fillId="28" borderId="51" xfId="69" applyNumberFormat="1" applyFont="1" applyFill="1" applyBorder="1" applyAlignment="1" applyProtection="1">
      <alignment horizontal="center" vertical="center"/>
      <protection/>
    </xf>
    <xf numFmtId="177" fontId="52" fillId="7" borderId="105" xfId="44" applyNumberFormat="1" applyFont="1" applyBorder="1" applyAlignment="1" applyProtection="1">
      <alignment horizontal="center" vertical="center"/>
      <protection/>
    </xf>
    <xf numFmtId="4" fontId="43" fillId="28" borderId="52" xfId="69" applyNumberFormat="1" applyFont="1" applyFill="1" applyBorder="1" applyAlignment="1" applyProtection="1">
      <alignment horizontal="center" vertical="center"/>
      <protection/>
    </xf>
    <xf numFmtId="0" fontId="42" fillId="0" borderId="67" xfId="69" applyFont="1" applyBorder="1" applyAlignment="1" applyProtection="1">
      <alignment horizontal="center" vertical="center"/>
      <protection/>
    </xf>
    <xf numFmtId="4" fontId="43" fillId="29" borderId="51" xfId="69" applyNumberFormat="1" applyFont="1" applyFill="1" applyBorder="1" applyAlignment="1" applyProtection="1">
      <alignment horizontal="center" vertical="center"/>
      <protection/>
    </xf>
    <xf numFmtId="0" fontId="42" fillId="14" borderId="50" xfId="69" applyFont="1" applyFill="1" applyBorder="1" applyAlignment="1" applyProtection="1">
      <alignment horizontal="left" vertical="center" wrapText="1"/>
      <protection/>
    </xf>
    <xf numFmtId="177" fontId="42" fillId="0" borderId="52" xfId="69" applyNumberFormat="1" applyFont="1" applyBorder="1" applyAlignment="1" applyProtection="1">
      <alignment horizontal="right" vertical="center"/>
      <protection/>
    </xf>
    <xf numFmtId="0" fontId="43" fillId="0" borderId="106" xfId="69" applyFont="1" applyBorder="1" applyAlignment="1" applyProtection="1">
      <alignment vertical="center"/>
      <protection locked="0"/>
    </xf>
    <xf numFmtId="0" fontId="43" fillId="0" borderId="11" xfId="69" applyFont="1" applyBorder="1" applyAlignment="1" applyProtection="1">
      <alignment vertical="center"/>
      <protection locked="0"/>
    </xf>
    <xf numFmtId="0" fontId="43" fillId="0" borderId="64" xfId="69" applyFont="1" applyBorder="1" applyAlignment="1" applyProtection="1">
      <alignment vertical="center"/>
      <protection locked="0"/>
    </xf>
    <xf numFmtId="0" fontId="43" fillId="0" borderId="57" xfId="69" applyFont="1" applyBorder="1" applyAlignment="1" applyProtection="1">
      <alignment vertical="center"/>
      <protection locked="0"/>
    </xf>
    <xf numFmtId="0" fontId="43" fillId="0" borderId="58" xfId="69" applyFont="1" applyBorder="1" applyAlignment="1" applyProtection="1">
      <alignment vertical="center"/>
      <protection locked="0"/>
    </xf>
    <xf numFmtId="0" fontId="43" fillId="0" borderId="56" xfId="69" applyFont="1" applyBorder="1" applyAlignment="1" applyProtection="1">
      <alignment vertical="center"/>
      <protection locked="0"/>
    </xf>
    <xf numFmtId="14" fontId="43" fillId="0" borderId="17" xfId="70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86" xfId="69" applyFont="1" applyBorder="1" applyAlignment="1" applyProtection="1">
      <alignment vertical="center"/>
      <protection locked="0"/>
    </xf>
    <xf numFmtId="0" fontId="43" fillId="0" borderId="82" xfId="69" applyFont="1" applyBorder="1" applyAlignment="1" applyProtection="1">
      <alignment vertical="center"/>
      <protection locked="0"/>
    </xf>
    <xf numFmtId="4" fontId="43" fillId="26" borderId="82" xfId="69" applyNumberFormat="1" applyFont="1" applyFill="1" applyBorder="1" applyAlignment="1" applyProtection="1">
      <alignment horizontal="center" vertical="center"/>
      <protection locked="0"/>
    </xf>
    <xf numFmtId="177" fontId="43" fillId="0" borderId="82" xfId="54" applyNumberFormat="1" applyFont="1" applyBorder="1" applyAlignment="1" applyProtection="1">
      <alignment horizontal="right" vertical="center"/>
      <protection locked="0"/>
    </xf>
    <xf numFmtId="177" fontId="43" fillId="0" borderId="82" xfId="54" applyNumberFormat="1" applyFont="1" applyFill="1" applyBorder="1" applyAlignment="1" applyProtection="1">
      <alignment horizontal="right" vertical="center"/>
      <protection locked="0"/>
    </xf>
    <xf numFmtId="0" fontId="43" fillId="0" borderId="17" xfId="69" applyNumberFormat="1" applyFont="1" applyFill="1" applyBorder="1" applyAlignment="1" applyProtection="1">
      <alignment vertical="center"/>
      <protection locked="0"/>
    </xf>
    <xf numFmtId="0" fontId="43" fillId="0" borderId="12" xfId="69" applyNumberFormat="1" applyFont="1" applyFill="1" applyBorder="1" applyAlignment="1" applyProtection="1">
      <alignment vertical="center"/>
      <protection locked="0"/>
    </xf>
    <xf numFmtId="0" fontId="43" fillId="0" borderId="19" xfId="69" applyNumberFormat="1" applyFont="1" applyFill="1" applyBorder="1" applyAlignment="1" applyProtection="1">
      <alignment vertical="center"/>
      <protection locked="0"/>
    </xf>
    <xf numFmtId="0" fontId="42" fillId="0" borderId="0" xfId="69" applyFont="1" applyAlignment="1">
      <alignment vertical="center"/>
      <protection/>
    </xf>
    <xf numFmtId="0" fontId="42" fillId="0" borderId="0" xfId="69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9" applyNumberFormat="1" applyFont="1" applyFill="1" applyBorder="1" applyAlignment="1" applyProtection="1">
      <alignment horizontal="center" vertical="center"/>
      <protection locked="0"/>
    </xf>
    <xf numFmtId="177" fontId="43" fillId="0" borderId="17" xfId="70" applyNumberFormat="1" applyFont="1" applyFill="1" applyBorder="1" applyAlignment="1">
      <alignment vertical="center" wrapText="1"/>
      <protection/>
    </xf>
    <xf numFmtId="177" fontId="43" fillId="0" borderId="17" xfId="70" applyNumberFormat="1" applyFont="1" applyBorder="1" applyAlignment="1">
      <alignment vertical="center"/>
      <protection/>
    </xf>
    <xf numFmtId="177" fontId="43" fillId="0" borderId="17" xfId="70" applyNumberFormat="1" applyFont="1" applyBorder="1" applyAlignment="1">
      <alignment horizontal="right" vertical="center"/>
      <protection/>
    </xf>
    <xf numFmtId="3" fontId="42" fillId="0" borderId="18" xfId="73" applyNumberFormat="1" applyFont="1" applyFill="1" applyBorder="1" applyAlignment="1">
      <alignment vertical="center" wrapText="1"/>
      <protection/>
    </xf>
    <xf numFmtId="3" fontId="43" fillId="0" borderId="18" xfId="73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2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2" applyNumberFormat="1" applyFont="1" applyFill="1" applyBorder="1" applyAlignment="1" applyProtection="1">
      <alignment vertical="center"/>
      <protection/>
    </xf>
    <xf numFmtId="177" fontId="43" fillId="0" borderId="0" xfId="52" applyNumberFormat="1" applyFont="1" applyFill="1" applyBorder="1" applyAlignment="1">
      <alignment vertical="center"/>
    </xf>
    <xf numFmtId="177" fontId="42" fillId="0" borderId="0" xfId="52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8" applyNumberFormat="1" applyFont="1" applyFill="1" applyBorder="1" applyAlignment="1" applyProtection="1">
      <alignment horizontal="center" vertical="center" wrapText="1"/>
      <protection/>
    </xf>
    <xf numFmtId="177" fontId="43" fillId="0" borderId="0" xfId="68" applyNumberFormat="1" applyFont="1" applyFill="1" applyBorder="1" applyAlignment="1">
      <alignment horizontal="center" vertical="center" wrapText="1"/>
      <protection/>
    </xf>
    <xf numFmtId="0" fontId="43" fillId="0" borderId="11" xfId="69" applyFont="1" applyFill="1" applyBorder="1" applyAlignment="1" applyProtection="1">
      <alignment vertical="center"/>
      <protection locked="0"/>
    </xf>
    <xf numFmtId="4" fontId="43" fillId="0" borderId="11" xfId="69" applyNumberFormat="1" applyFont="1" applyFill="1" applyBorder="1" applyAlignment="1" applyProtection="1">
      <alignment horizontal="center" vertical="center"/>
      <protection locked="0"/>
    </xf>
    <xf numFmtId="177" fontId="43" fillId="0" borderId="17" xfId="54" applyNumberFormat="1" applyFont="1" applyFill="1" applyBorder="1" applyAlignment="1" applyProtection="1">
      <alignment horizontal="right" vertical="center"/>
      <protection locked="0"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43" fillId="0" borderId="62" xfId="69" applyNumberFormat="1" applyFont="1" applyFill="1" applyBorder="1" applyAlignment="1" applyProtection="1">
      <alignment horizontal="center" vertical="center"/>
      <protection locked="0"/>
    </xf>
    <xf numFmtId="0" fontId="43" fillId="0" borderId="25" xfId="69" applyNumberFormat="1" applyFont="1" applyFill="1" applyBorder="1" applyAlignment="1" applyProtection="1">
      <alignment horizontal="center" vertical="center"/>
      <protection locked="0"/>
    </xf>
    <xf numFmtId="177" fontId="42" fillId="0" borderId="107" xfId="69" applyNumberFormat="1" applyFont="1" applyFill="1" applyBorder="1" applyAlignment="1" applyProtection="1">
      <alignment horizontal="right" vertical="center"/>
      <protection/>
    </xf>
    <xf numFmtId="177" fontId="42" fillId="0" borderId="52" xfId="69" applyNumberFormat="1" applyFont="1" applyFill="1" applyBorder="1" applyAlignment="1" applyProtection="1">
      <alignment horizontal="right" vertical="center"/>
      <protection/>
    </xf>
    <xf numFmtId="177" fontId="42" fillId="0" borderId="103" xfId="69" applyNumberFormat="1" applyFont="1" applyFill="1" applyBorder="1" applyAlignment="1" applyProtection="1">
      <alignment vertical="center"/>
      <protection/>
    </xf>
    <xf numFmtId="177" fontId="42" fillId="0" borderId="51" xfId="69" applyNumberFormat="1" applyFont="1" applyFill="1" applyBorder="1" applyAlignment="1" applyProtection="1">
      <alignment horizontal="right" vertical="center"/>
      <protection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3" fontId="42" fillId="0" borderId="12" xfId="0" applyNumberFormat="1" applyFont="1" applyBorder="1" applyAlignment="1" applyProtection="1">
      <alignment horizontal="center" vertical="center" wrapText="1"/>
      <protection/>
    </xf>
    <xf numFmtId="43" fontId="42" fillId="0" borderId="13" xfId="0" applyNumberFormat="1" applyFont="1" applyBorder="1" applyAlignment="1" applyProtection="1">
      <alignment horizontal="center" vertical="center" wrapText="1"/>
      <protection/>
    </xf>
    <xf numFmtId="43" fontId="42" fillId="0" borderId="14" xfId="0" applyNumberFormat="1" applyFont="1" applyBorder="1" applyAlignment="1" applyProtection="1">
      <alignment horizontal="center" vertical="center" wrapText="1"/>
      <protection/>
    </xf>
    <xf numFmtId="0" fontId="42" fillId="0" borderId="11" xfId="70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4" applyNumberFormat="1" applyFont="1" applyFill="1" applyBorder="1" applyAlignment="1">
      <alignment horizontal="left" vertical="center"/>
      <protection/>
    </xf>
    <xf numFmtId="0" fontId="43" fillId="22" borderId="0" xfId="64" applyFont="1" applyFill="1" applyAlignment="1">
      <alignment vertical="center"/>
      <protection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0" fontId="64" fillId="0" borderId="82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5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6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7" fillId="0" borderId="15" xfId="66" applyNumberFormat="1" applyFont="1" applyFill="1" applyBorder="1" applyAlignment="1">
      <alignment horizontal="left" vertical="center"/>
      <protection/>
    </xf>
    <xf numFmtId="0" fontId="68" fillId="0" borderId="15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5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88" xfId="0" applyFont="1" applyBorder="1" applyAlignment="1">
      <alignment horizontal="center" vertical="center" wrapText="1"/>
    </xf>
    <xf numFmtId="2" fontId="68" fillId="0" borderId="0" xfId="0" applyNumberFormat="1" applyFont="1" applyBorder="1" applyAlignment="1">
      <alignment horizontal="center" vertical="center"/>
    </xf>
    <xf numFmtId="4" fontId="68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69" fillId="0" borderId="28" xfId="0" applyFont="1" applyBorder="1" applyAlignment="1">
      <alignment/>
    </xf>
    <xf numFmtId="0" fontId="69" fillId="0" borderId="55" xfId="0" applyFont="1" applyBorder="1" applyAlignment="1">
      <alignment horizontal="left"/>
    </xf>
    <xf numFmtId="0" fontId="69" fillId="0" borderId="55" xfId="0" applyFont="1" applyBorder="1" applyAlignment="1">
      <alignment horizontal="center" wrapText="1"/>
    </xf>
    <xf numFmtId="0" fontId="68" fillId="0" borderId="0" xfId="0" applyFont="1" applyBorder="1" applyAlignment="1">
      <alignment vertical="center"/>
    </xf>
    <xf numFmtId="168" fontId="67" fillId="0" borderId="28" xfId="66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70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0" fillId="0" borderId="0" xfId="57" applyFont="1">
      <alignment/>
      <protection/>
    </xf>
    <xf numFmtId="0" fontId="71" fillId="0" borderId="0" xfId="57" applyFont="1">
      <alignment/>
      <protection/>
    </xf>
    <xf numFmtId="0" fontId="70" fillId="0" borderId="0" xfId="57" applyFont="1" applyAlignment="1">
      <alignment vertical="center"/>
      <protection/>
    </xf>
    <xf numFmtId="0" fontId="72" fillId="0" borderId="0" xfId="57" applyFont="1">
      <alignment/>
      <protection/>
    </xf>
    <xf numFmtId="0" fontId="71" fillId="16" borderId="17" xfId="57" applyFont="1" applyFill="1" applyBorder="1" applyAlignment="1">
      <alignment horizontal="center"/>
      <protection/>
    </xf>
    <xf numFmtId="17" fontId="71" fillId="16" borderId="17" xfId="57" applyNumberFormat="1" applyFont="1" applyFill="1" applyBorder="1" applyAlignment="1">
      <alignment horizontal="center"/>
      <protection/>
    </xf>
    <xf numFmtId="0" fontId="29" fillId="0" borderId="0" xfId="57" applyFont="1">
      <alignment/>
      <protection/>
    </xf>
    <xf numFmtId="0" fontId="72" fillId="0" borderId="0" xfId="57" applyFont="1" applyAlignment="1">
      <alignment vertical="center"/>
      <protection/>
    </xf>
    <xf numFmtId="17" fontId="29" fillId="16" borderId="17" xfId="57" applyNumberFormat="1" applyFont="1" applyFill="1" applyBorder="1" applyAlignment="1">
      <alignment horizontal="center"/>
      <protection/>
    </xf>
    <xf numFmtId="0" fontId="29" fillId="16" borderId="17" xfId="57" applyFont="1" applyFill="1" applyBorder="1" applyAlignment="1">
      <alignment horizontal="center"/>
      <protection/>
    </xf>
    <xf numFmtId="0" fontId="66" fillId="8" borderId="13" xfId="66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 vertical="center"/>
    </xf>
    <xf numFmtId="17" fontId="71" fillId="0" borderId="0" xfId="57" applyNumberFormat="1" applyFont="1" applyFill="1" applyBorder="1" applyAlignment="1">
      <alignment horizontal="center"/>
      <protection/>
    </xf>
    <xf numFmtId="0" fontId="71" fillId="0" borderId="0" xfId="57" applyFont="1" applyFill="1" applyBorder="1" applyAlignment="1">
      <alignment horizontal="center"/>
      <protection/>
    </xf>
    <xf numFmtId="0" fontId="74" fillId="0" borderId="17" xfId="64" applyFont="1" applyFill="1" applyBorder="1" applyAlignment="1">
      <alignment vertical="center"/>
      <protection/>
    </xf>
    <xf numFmtId="0" fontId="74" fillId="0" borderId="17" xfId="64" applyFont="1" applyBorder="1" applyAlignment="1">
      <alignment vertical="center"/>
      <protection/>
    </xf>
    <xf numFmtId="177" fontId="43" fillId="0" borderId="11" xfId="70" applyNumberFormat="1" applyFont="1" applyFill="1" applyBorder="1" applyAlignment="1">
      <alignment horizontal="right" vertical="center" wrapText="1"/>
      <protection/>
    </xf>
    <xf numFmtId="0" fontId="42" fillId="0" borderId="17" xfId="70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28" fillId="0" borderId="17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" fontId="43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>
      <alignment horizontal="center" vertical="center"/>
    </xf>
    <xf numFmtId="4" fontId="43" fillId="0" borderId="12" xfId="0" applyNumberFormat="1" applyFont="1" applyBorder="1" applyAlignment="1" applyProtection="1">
      <alignment horizontal="center" vertical="center"/>
      <protection locked="0"/>
    </xf>
    <xf numFmtId="4" fontId="43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ill="1" applyBorder="1" applyAlignment="1">
      <alignment horizontal="center" vertical="center"/>
    </xf>
    <xf numFmtId="4" fontId="43" fillId="0" borderId="12" xfId="0" applyNumberFormat="1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center" vertical="center"/>
      <protection locked="0"/>
    </xf>
    <xf numFmtId="3" fontId="43" fillId="0" borderId="59" xfId="70" applyNumberFormat="1" applyFont="1" applyFill="1" applyBorder="1" applyAlignment="1" quotePrefix="1">
      <alignment horizontal="center" vertical="center" wrapText="1"/>
      <protection/>
    </xf>
    <xf numFmtId="0" fontId="0" fillId="0" borderId="12" xfId="0" applyBorder="1" applyAlignment="1">
      <alignment/>
    </xf>
    <xf numFmtId="1" fontId="68" fillId="0" borderId="108" xfId="0" applyNumberFormat="1" applyFont="1" applyBorder="1" applyAlignment="1">
      <alignment horizontal="center" vertical="center"/>
    </xf>
    <xf numFmtId="208" fontId="68" fillId="0" borderId="108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vertical="center"/>
    </xf>
    <xf numFmtId="14" fontId="68" fillId="0" borderId="0" xfId="0" applyNumberFormat="1" applyFont="1" applyBorder="1" applyAlignment="1">
      <alignment horizontal="center" vertical="center"/>
    </xf>
    <xf numFmtId="14" fontId="68" fillId="0" borderId="0" xfId="0" applyNumberFormat="1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7" fontId="43" fillId="0" borderId="0" xfId="51" applyFont="1" applyAlignment="1">
      <alignment vertical="center"/>
    </xf>
    <xf numFmtId="43" fontId="43" fillId="0" borderId="0" xfId="57" applyNumberFormat="1" applyFont="1" applyAlignment="1">
      <alignment vertical="center"/>
      <protection/>
    </xf>
    <xf numFmtId="0" fontId="55" fillId="0" borderId="0" xfId="70" applyFont="1" applyAlignment="1">
      <alignment horizontal="center" vertical="center"/>
      <protection/>
    </xf>
    <xf numFmtId="43" fontId="42" fillId="0" borderId="17" xfId="0" applyNumberFormat="1" applyFont="1" applyBorder="1" applyAlignment="1" applyProtection="1">
      <alignment vertical="center"/>
      <protection locked="0"/>
    </xf>
    <xf numFmtId="43" fontId="42" fillId="0" borderId="59" xfId="0" applyNumberFormat="1" applyFont="1" applyBorder="1" applyAlignment="1" applyProtection="1">
      <alignment vertical="center"/>
      <protection locked="0"/>
    </xf>
    <xf numFmtId="43" fontId="0" fillId="0" borderId="17" xfId="0" applyNumberFormat="1" applyBorder="1" applyAlignment="1">
      <alignment horizontal="center"/>
    </xf>
    <xf numFmtId="43" fontId="0" fillId="0" borderId="17" xfId="0" applyNumberFormat="1" applyFill="1" applyBorder="1" applyAlignment="1">
      <alignment horizontal="center"/>
    </xf>
    <xf numFmtId="167" fontId="0" fillId="0" borderId="17" xfId="51" applyFont="1" applyBorder="1" applyAlignment="1">
      <alignment horizontal="center"/>
    </xf>
    <xf numFmtId="0" fontId="0" fillId="0" borderId="0" xfId="0" applyFill="1" applyAlignment="1">
      <alignment/>
    </xf>
    <xf numFmtId="177" fontId="42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43" fontId="1" fillId="0" borderId="17" xfId="0" applyNumberFormat="1" applyFont="1" applyBorder="1" applyAlignment="1">
      <alignment horizontal="center"/>
    </xf>
    <xf numFmtId="0" fontId="43" fillId="0" borderId="17" xfId="69" applyFont="1" applyBorder="1" applyAlignment="1" applyProtection="1">
      <alignment vertical="center"/>
      <protection locked="0"/>
    </xf>
    <xf numFmtId="43" fontId="28" fillId="0" borderId="17" xfId="0" applyNumberFormat="1" applyFont="1" applyFill="1" applyBorder="1" applyAlignment="1">
      <alignment/>
    </xf>
    <xf numFmtId="43" fontId="43" fillId="0" borderId="15" xfId="0" applyNumberFormat="1" applyFont="1" applyFill="1" applyBorder="1" applyAlignment="1">
      <alignment vertical="center"/>
    </xf>
    <xf numFmtId="9" fontId="43" fillId="0" borderId="90" xfId="77" applyFont="1" applyBorder="1" applyAlignment="1" applyProtection="1">
      <alignment vertical="center" wrapText="1"/>
      <protection locked="0"/>
    </xf>
    <xf numFmtId="9" fontId="43" fillId="0" borderId="92" xfId="77" applyFont="1" applyBorder="1" applyAlignment="1" applyProtection="1">
      <alignment vertical="center" wrapText="1"/>
      <protection locked="0"/>
    </xf>
    <xf numFmtId="214" fontId="43" fillId="0" borderId="0" xfId="0" applyNumberFormat="1" applyFont="1" applyAlignment="1">
      <alignment vertical="center"/>
    </xf>
    <xf numFmtId="43" fontId="43" fillId="0" borderId="0" xfId="0" applyNumberFormat="1" applyFont="1" applyAlignment="1">
      <alignment vertical="center"/>
    </xf>
    <xf numFmtId="0" fontId="0" fillId="0" borderId="17" xfId="0" applyFill="1" applyBorder="1" applyAlignment="1">
      <alignment horizontal="center"/>
    </xf>
    <xf numFmtId="4" fontId="43" fillId="28" borderId="11" xfId="69" applyNumberFormat="1" applyFont="1" applyFill="1" applyBorder="1" applyAlignment="1" applyProtection="1">
      <alignment horizontal="center" vertical="center"/>
      <protection/>
    </xf>
    <xf numFmtId="0" fontId="42" fillId="0" borderId="50" xfId="69" applyFont="1" applyBorder="1" applyAlignment="1" applyProtection="1">
      <alignment horizontal="center" vertical="center"/>
      <protection/>
    </xf>
    <xf numFmtId="0" fontId="42" fillId="0" borderId="52" xfId="69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43" fillId="0" borderId="17" xfId="69" applyFont="1" applyFill="1" applyBorder="1" applyAlignment="1" applyProtection="1">
      <alignment vertical="center"/>
      <protection locked="0"/>
    </xf>
    <xf numFmtId="0" fontId="75" fillId="0" borderId="15" xfId="0" applyFont="1" applyBorder="1" applyAlignment="1">
      <alignment/>
    </xf>
    <xf numFmtId="0" fontId="76" fillId="0" borderId="0" xfId="0" applyFont="1" applyAlignment="1">
      <alignment vertical="center"/>
    </xf>
    <xf numFmtId="177" fontId="76" fillId="0" borderId="0" xfId="0" applyNumberFormat="1" applyFont="1" applyAlignment="1">
      <alignment vertical="center"/>
    </xf>
    <xf numFmtId="0" fontId="76" fillId="0" borderId="0" xfId="0" applyFont="1" applyFill="1" applyBorder="1" applyAlignment="1">
      <alignment vertical="center"/>
    </xf>
    <xf numFmtId="177" fontId="7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7" fontId="46" fillId="0" borderId="0" xfId="0" applyNumberFormat="1" applyFont="1" applyFill="1" applyBorder="1" applyAlignment="1" applyProtection="1">
      <alignment vertical="center"/>
      <protection/>
    </xf>
    <xf numFmtId="4" fontId="76" fillId="0" borderId="0" xfId="0" applyNumberFormat="1" applyFont="1" applyFill="1" applyBorder="1" applyAlignment="1">
      <alignment vertical="center"/>
    </xf>
    <xf numFmtId="0" fontId="76" fillId="0" borderId="0" xfId="57" applyFont="1" applyFill="1" applyBorder="1" applyAlignment="1">
      <alignment horizontal="left" vertical="center" wrapText="1"/>
      <protection/>
    </xf>
    <xf numFmtId="0" fontId="76" fillId="0" borderId="0" xfId="0" applyFont="1" applyFill="1" applyBorder="1" applyAlignment="1">
      <alignment vertical="center" wrapText="1"/>
    </xf>
    <xf numFmtId="177" fontId="76" fillId="0" borderId="0" xfId="0" applyNumberFormat="1" applyFont="1" applyFill="1" applyBorder="1" applyAlignment="1">
      <alignment horizontal="center" vertical="center"/>
    </xf>
    <xf numFmtId="3" fontId="76" fillId="0" borderId="0" xfId="73" applyNumberFormat="1" applyFont="1" applyFill="1" applyBorder="1">
      <alignment/>
      <protection/>
    </xf>
    <xf numFmtId="167" fontId="76" fillId="0" borderId="0" xfId="51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/>
    </xf>
    <xf numFmtId="3" fontId="76" fillId="0" borderId="0" xfId="73" applyNumberFormat="1" applyFont="1" applyFill="1" applyBorder="1" applyAlignment="1">
      <alignment vertical="center"/>
      <protection/>
    </xf>
    <xf numFmtId="167" fontId="76" fillId="0" borderId="0" xfId="51" applyFont="1" applyFill="1" applyBorder="1" applyAlignment="1">
      <alignment vertical="center"/>
    </xf>
    <xf numFmtId="167" fontId="76" fillId="0" borderId="0" xfId="51" applyFont="1" applyFill="1" applyBorder="1" applyAlignment="1">
      <alignment vertical="center"/>
    </xf>
    <xf numFmtId="3" fontId="76" fillId="0" borderId="0" xfId="73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176" fontId="76" fillId="0" borderId="0" xfId="73" applyNumberFormat="1" applyFont="1" applyFill="1" applyBorder="1" applyAlignment="1">
      <alignment vertical="center"/>
      <protection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3" fontId="76" fillId="0" borderId="0" xfId="73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/>
    </xf>
    <xf numFmtId="1" fontId="76" fillId="0" borderId="0" xfId="73" applyNumberFormat="1" applyFont="1" applyFill="1" applyBorder="1" applyAlignment="1">
      <alignment vertical="center"/>
      <protection/>
    </xf>
    <xf numFmtId="4" fontId="17" fillId="0" borderId="0" xfId="0" applyNumberFormat="1" applyFont="1" applyFill="1" applyBorder="1" applyAlignment="1">
      <alignment horizontal="center"/>
    </xf>
    <xf numFmtId="3" fontId="46" fillId="0" borderId="0" xfId="73" applyNumberFormat="1" applyFont="1" applyFill="1" applyBorder="1" applyAlignment="1">
      <alignment vertical="center"/>
      <protection/>
    </xf>
    <xf numFmtId="167" fontId="46" fillId="0" borderId="0" xfId="51" applyFont="1" applyFill="1" applyBorder="1" applyAlignment="1">
      <alignment vertical="center"/>
    </xf>
    <xf numFmtId="0" fontId="76" fillId="0" borderId="0" xfId="64" applyFont="1">
      <alignment/>
      <protection/>
    </xf>
    <xf numFmtId="0" fontId="76" fillId="0" borderId="0" xfId="64" applyFont="1" applyAlignment="1">
      <alignment vertical="center"/>
      <protection/>
    </xf>
    <xf numFmtId="4" fontId="76" fillId="0" borderId="0" xfId="64" applyNumberFormat="1" applyFont="1" applyAlignment="1">
      <alignment vertical="center"/>
      <protection/>
    </xf>
    <xf numFmtId="4" fontId="76" fillId="0" borderId="0" xfId="64" applyNumberFormat="1" applyFont="1" applyFill="1" applyBorder="1" applyAlignment="1">
      <alignment vertical="center"/>
      <protection/>
    </xf>
    <xf numFmtId="0" fontId="76" fillId="0" borderId="0" xfId="64" applyFont="1" applyFill="1" applyBorder="1" applyAlignment="1">
      <alignment vertical="center"/>
      <protection/>
    </xf>
    <xf numFmtId="0" fontId="46" fillId="0" borderId="0" xfId="64" applyFont="1" applyFill="1" applyBorder="1" applyAlignment="1">
      <alignment vertical="center"/>
      <protection/>
    </xf>
    <xf numFmtId="4" fontId="46" fillId="0" borderId="0" xfId="64" applyNumberFormat="1" applyFont="1" applyFill="1" applyBorder="1" applyAlignment="1">
      <alignment vertical="center"/>
      <protection/>
    </xf>
    <xf numFmtId="2" fontId="76" fillId="0" borderId="0" xfId="64" applyNumberFormat="1" applyFont="1" applyFill="1" applyBorder="1" applyAlignment="1">
      <alignment vertical="center"/>
      <protection/>
    </xf>
    <xf numFmtId="177" fontId="76" fillId="0" borderId="0" xfId="63" applyNumberFormat="1" applyFont="1" applyFill="1" applyBorder="1" applyAlignment="1">
      <alignment vertical="center"/>
      <protection/>
    </xf>
    <xf numFmtId="0" fontId="76" fillId="0" borderId="0" xfId="63" applyFont="1" applyFill="1" applyBorder="1" applyAlignment="1">
      <alignment vertical="center"/>
      <protection/>
    </xf>
    <xf numFmtId="4" fontId="13" fillId="0" borderId="17" xfId="0" applyNumberFormat="1" applyFont="1" applyBorder="1" applyAlignment="1" applyProtection="1">
      <alignment/>
      <protection locked="0"/>
    </xf>
    <xf numFmtId="4" fontId="47" fillId="0" borderId="17" xfId="0" applyNumberFormat="1" applyFont="1" applyBorder="1" applyAlignment="1" applyProtection="1">
      <alignment/>
      <protection locked="0"/>
    </xf>
    <xf numFmtId="0" fontId="76" fillId="0" borderId="0" xfId="57" applyFont="1" applyAlignment="1">
      <alignment vertical="center"/>
      <protection/>
    </xf>
    <xf numFmtId="167" fontId="76" fillId="0" borderId="0" xfId="51" applyFont="1" applyAlignment="1">
      <alignment vertical="center"/>
    </xf>
    <xf numFmtId="0" fontId="76" fillId="0" borderId="0" xfId="57" applyFont="1" applyFill="1" applyAlignment="1">
      <alignment vertical="center"/>
      <protection/>
    </xf>
    <xf numFmtId="167" fontId="76" fillId="0" borderId="0" xfId="51" applyFont="1" applyFill="1" applyAlignment="1">
      <alignment vertical="center"/>
    </xf>
    <xf numFmtId="4" fontId="76" fillId="0" borderId="0" xfId="57" applyNumberFormat="1" applyFont="1" applyAlignment="1">
      <alignment vertical="center"/>
      <protection/>
    </xf>
    <xf numFmtId="173" fontId="76" fillId="0" borderId="0" xfId="57" applyNumberFormat="1" applyFont="1" applyAlignment="1">
      <alignment vertical="center"/>
      <protection/>
    </xf>
    <xf numFmtId="4" fontId="46" fillId="0" borderId="0" xfId="57" applyNumberFormat="1" applyFont="1" applyAlignment="1">
      <alignment vertical="center"/>
      <protection/>
    </xf>
    <xf numFmtId="0" fontId="46" fillId="0" borderId="0" xfId="57" applyFont="1" applyAlignment="1">
      <alignment vertical="center"/>
      <protection/>
    </xf>
    <xf numFmtId="167" fontId="46" fillId="0" borderId="0" xfId="51" applyFont="1" applyAlignment="1">
      <alignment vertical="center"/>
    </xf>
    <xf numFmtId="0" fontId="46" fillId="0" borderId="0" xfId="57" applyFont="1" applyAlignment="1">
      <alignment horizontal="left" vertical="center" wrapText="1"/>
      <protection/>
    </xf>
    <xf numFmtId="2" fontId="76" fillId="0" borderId="0" xfId="57" applyNumberFormat="1" applyFont="1" applyAlignment="1">
      <alignment vertical="center"/>
      <protection/>
    </xf>
    <xf numFmtId="169" fontId="76" fillId="0" borderId="0" xfId="0" applyNumberFormat="1" applyFont="1" applyAlignment="1">
      <alignment vertical="center"/>
    </xf>
    <xf numFmtId="0" fontId="76" fillId="0" borderId="0" xfId="0" applyFont="1" applyAlignment="1">
      <alignment horizontal="right" vertical="center"/>
    </xf>
    <xf numFmtId="173" fontId="76" fillId="22" borderId="0" xfId="0" applyNumberFormat="1" applyFont="1" applyFill="1" applyAlignment="1">
      <alignment vertical="center"/>
    </xf>
    <xf numFmtId="0" fontId="79" fillId="0" borderId="0" xfId="57" applyFont="1" applyFill="1" applyAlignment="1">
      <alignment horizontal="left" vertical="center" wrapText="1"/>
      <protection/>
    </xf>
    <xf numFmtId="0" fontId="76" fillId="0" borderId="0" xfId="69" applyFont="1" applyAlignment="1">
      <alignment vertical="center"/>
      <protection/>
    </xf>
    <xf numFmtId="4" fontId="76" fillId="0" borderId="0" xfId="69" applyNumberFormat="1" applyFont="1" applyAlignment="1">
      <alignment vertical="center"/>
      <protection/>
    </xf>
    <xf numFmtId="177" fontId="76" fillId="0" borderId="0" xfId="69" applyNumberFormat="1" applyFont="1" applyAlignment="1">
      <alignment vertical="center"/>
      <protection/>
    </xf>
    <xf numFmtId="2" fontId="76" fillId="0" borderId="0" xfId="69" applyNumberFormat="1" applyFont="1" applyAlignment="1">
      <alignment vertical="center"/>
      <protection/>
    </xf>
    <xf numFmtId="4" fontId="77" fillId="0" borderId="0" xfId="0" applyNumberFormat="1" applyFont="1" applyAlignment="1">
      <alignment vertical="center"/>
    </xf>
    <xf numFmtId="177" fontId="76" fillId="0" borderId="17" xfId="54" applyNumberFormat="1" applyFont="1" applyBorder="1" applyAlignment="1" applyProtection="1">
      <alignment horizontal="right" vertical="center"/>
      <protection locked="0"/>
    </xf>
    <xf numFmtId="3" fontId="76" fillId="0" borderId="0" xfId="0" applyNumberFormat="1" applyFont="1" applyAlignment="1">
      <alignment vertical="center"/>
    </xf>
    <xf numFmtId="177" fontId="43" fillId="0" borderId="17" xfId="69" applyNumberFormat="1" applyFont="1" applyBorder="1" applyAlignment="1" applyProtection="1">
      <alignment horizontal="right" vertical="center"/>
      <protection locked="0"/>
    </xf>
    <xf numFmtId="177" fontId="43" fillId="0" borderId="12" xfId="69" applyNumberFormat="1" applyFont="1" applyBorder="1" applyAlignment="1" applyProtection="1">
      <alignment horizontal="right" vertical="center"/>
      <protection locked="0"/>
    </xf>
    <xf numFmtId="0" fontId="42" fillId="0" borderId="101" xfId="69" applyFont="1" applyBorder="1" applyAlignment="1" applyProtection="1">
      <alignment horizontal="center" vertical="center"/>
      <protection/>
    </xf>
    <xf numFmtId="43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167" fontId="0" fillId="0" borderId="18" xfId="5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40" fillId="0" borderId="17" xfId="67" applyNumberFormat="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3" fillId="0" borderId="0" xfId="69" applyFont="1" applyFill="1" applyBorder="1" applyAlignment="1">
      <alignment vertical="center"/>
      <protection/>
    </xf>
    <xf numFmtId="0" fontId="42" fillId="0" borderId="0" xfId="69" applyFont="1" applyFill="1" applyBorder="1" applyAlignment="1">
      <alignment horizontal="center" vertical="center"/>
      <protection/>
    </xf>
    <xf numFmtId="1" fontId="47" fillId="0" borderId="0" xfId="64" applyNumberFormat="1" applyFont="1" applyFill="1" applyBorder="1" applyAlignment="1" applyProtection="1">
      <alignment vertical="center"/>
      <protection/>
    </xf>
    <xf numFmtId="2" fontId="47" fillId="0" borderId="0" xfId="64" applyNumberFormat="1" applyFont="1" applyFill="1" applyBorder="1" applyAlignment="1" applyProtection="1">
      <alignment vertical="center" wrapText="1"/>
      <protection/>
    </xf>
    <xf numFmtId="167" fontId="0" fillId="0" borderId="0" xfId="0" applyNumberFormat="1" applyFill="1" applyBorder="1" applyAlignment="1">
      <alignment/>
    </xf>
    <xf numFmtId="0" fontId="42" fillId="2" borderId="109" xfId="69" applyFont="1" applyFill="1" applyBorder="1" applyAlignment="1" applyProtection="1">
      <alignment horizontal="left" vertical="center" wrapText="1"/>
      <protection/>
    </xf>
    <xf numFmtId="0" fontId="42" fillId="2" borderId="59" xfId="69" applyFont="1" applyFill="1" applyBorder="1" applyAlignment="1" applyProtection="1">
      <alignment horizontal="left" vertical="center" wrapText="1"/>
      <protection/>
    </xf>
    <xf numFmtId="0" fontId="1" fillId="0" borderId="59" xfId="0" applyFont="1" applyBorder="1" applyAlignment="1">
      <alignment/>
    </xf>
    <xf numFmtId="0" fontId="43" fillId="0" borderId="59" xfId="69" applyFont="1" applyBorder="1" applyAlignment="1" applyProtection="1">
      <alignment vertical="center"/>
      <protection locked="0"/>
    </xf>
    <xf numFmtId="49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49" fontId="40" fillId="0" borderId="12" xfId="67" applyNumberFormat="1" applyFont="1" applyBorder="1" applyAlignment="1">
      <alignment horizontal="center" vertical="center" wrapText="1"/>
      <protection/>
    </xf>
    <xf numFmtId="0" fontId="0" fillId="0" borderId="57" xfId="0" applyFont="1" applyFill="1" applyBorder="1" applyAlignment="1">
      <alignment/>
    </xf>
    <xf numFmtId="0" fontId="43" fillId="0" borderId="19" xfId="69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center"/>
    </xf>
    <xf numFmtId="43" fontId="0" fillId="0" borderId="63" xfId="0" applyNumberFormat="1" applyFill="1" applyBorder="1" applyAlignment="1">
      <alignment horizontal="center"/>
    </xf>
    <xf numFmtId="49" fontId="40" fillId="0" borderId="19" xfId="67" applyNumberFormat="1" applyFont="1" applyBorder="1" applyAlignment="1">
      <alignment horizontal="center" vertical="center" wrapText="1"/>
      <protection/>
    </xf>
    <xf numFmtId="49" fontId="40" fillId="0" borderId="20" xfId="67" applyNumberFormat="1" applyFont="1" applyBorder="1" applyAlignment="1">
      <alignment horizontal="center" vertical="center" wrapText="1"/>
      <protection/>
    </xf>
    <xf numFmtId="0" fontId="42" fillId="0" borderId="81" xfId="69" applyFont="1" applyBorder="1" applyAlignment="1" applyProtection="1">
      <alignment vertical="center"/>
      <protection locked="0"/>
    </xf>
    <xf numFmtId="0" fontId="28" fillId="0" borderId="82" xfId="0" applyFont="1" applyFill="1" applyBorder="1" applyAlignment="1">
      <alignment/>
    </xf>
    <xf numFmtId="43" fontId="28" fillId="0" borderId="82" xfId="0" applyNumberFormat="1" applyFont="1" applyFill="1" applyBorder="1" applyAlignment="1">
      <alignment/>
    </xf>
    <xf numFmtId="43" fontId="28" fillId="0" borderId="13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42" fillId="0" borderId="59" xfId="69" applyFont="1" applyBorder="1" applyAlignment="1" applyProtection="1">
      <alignment vertical="center"/>
      <protection locked="0"/>
    </xf>
    <xf numFmtId="43" fontId="28" fillId="0" borderId="12" xfId="0" applyNumberFormat="1" applyFont="1" applyFill="1" applyBorder="1" applyAlignment="1">
      <alignment/>
    </xf>
    <xf numFmtId="0" fontId="42" fillId="0" borderId="57" xfId="69" applyFont="1" applyBorder="1" applyAlignment="1" applyProtection="1">
      <alignment horizontal="center" vertical="center"/>
      <protection/>
    </xf>
    <xf numFmtId="4" fontId="43" fillId="29" borderId="19" xfId="69" applyNumberFormat="1" applyFont="1" applyFill="1" applyBorder="1" applyAlignment="1" applyProtection="1">
      <alignment horizontal="center" vertical="center"/>
      <protection/>
    </xf>
    <xf numFmtId="177" fontId="42" fillId="0" borderId="19" xfId="69" applyNumberFormat="1" applyFont="1" applyFill="1" applyBorder="1" applyAlignment="1" applyProtection="1">
      <alignment horizontal="right" vertical="center"/>
      <protection/>
    </xf>
    <xf numFmtId="177" fontId="42" fillId="0" borderId="20" xfId="69" applyNumberFormat="1" applyFont="1" applyFill="1" applyBorder="1" applyAlignment="1" applyProtection="1">
      <alignment horizontal="right" vertical="center"/>
      <protection/>
    </xf>
    <xf numFmtId="177" fontId="52" fillId="7" borderId="11" xfId="44" applyNumberFormat="1" applyFont="1" applyFill="1" applyBorder="1" applyAlignment="1" applyProtection="1">
      <alignment horizontal="center" vertical="center"/>
      <protection/>
    </xf>
    <xf numFmtId="177" fontId="52" fillId="7" borderId="110" xfId="44" applyNumberFormat="1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4" fontId="76" fillId="0" borderId="0" xfId="0" applyNumberFormat="1" applyFont="1" applyAlignment="1">
      <alignment vertical="center"/>
    </xf>
    <xf numFmtId="43" fontId="76" fillId="0" borderId="0" xfId="0" applyNumberFormat="1" applyFont="1" applyAlignment="1">
      <alignment vertical="center"/>
    </xf>
    <xf numFmtId="14" fontId="43" fillId="0" borderId="12" xfId="70" applyNumberFormat="1" applyFont="1" applyFill="1" applyBorder="1" applyAlignment="1">
      <alignment horizontal="center" vertical="center" wrapText="1"/>
      <protection/>
    </xf>
    <xf numFmtId="14" fontId="43" fillId="0" borderId="12" xfId="0" applyNumberFormat="1" applyFont="1" applyFill="1" applyBorder="1" applyAlignment="1" applyProtection="1">
      <alignment horizontal="center" vertical="center"/>
      <protection locked="0"/>
    </xf>
    <xf numFmtId="177" fontId="42" fillId="0" borderId="111" xfId="69" applyNumberFormat="1" applyFont="1" applyFill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 locked="0"/>
    </xf>
    <xf numFmtId="4" fontId="81" fillId="0" borderId="17" xfId="0" applyNumberFormat="1" applyFont="1" applyFill="1" applyBorder="1" applyAlignment="1" applyProtection="1">
      <alignment horizontal="right"/>
      <protection locked="0"/>
    </xf>
    <xf numFmtId="169" fontId="43" fillId="0" borderId="112" xfId="45" applyFont="1" applyBorder="1" applyAlignment="1" applyProtection="1">
      <alignment vertical="center" wrapText="1"/>
      <protection locked="0"/>
    </xf>
    <xf numFmtId="177" fontId="43" fillId="0" borderId="113" xfId="0" applyNumberFormat="1" applyFont="1" applyBorder="1" applyAlignment="1" applyProtection="1">
      <alignment vertical="center" wrapText="1"/>
      <protection locked="0"/>
    </xf>
    <xf numFmtId="0" fontId="0" fillId="0" borderId="79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0" fillId="0" borderId="80" xfId="0" applyFill="1" applyBorder="1" applyAlignment="1">
      <alignment/>
    </xf>
    <xf numFmtId="4" fontId="31" fillId="0" borderId="17" xfId="0" applyNumberFormat="1" applyFont="1" applyFill="1" applyBorder="1" applyAlignment="1" applyProtection="1">
      <alignment horizontal="center" vertical="center"/>
      <protection locked="0"/>
    </xf>
    <xf numFmtId="4" fontId="31" fillId="0" borderId="17" xfId="0" applyNumberFormat="1" applyFont="1" applyBorder="1" applyAlignment="1" applyProtection="1">
      <alignment horizontal="center" vertical="center"/>
      <protection locked="0"/>
    </xf>
    <xf numFmtId="0" fontId="31" fillId="0" borderId="5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wrapText="1"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3" fontId="76" fillId="0" borderId="0" xfId="73" applyNumberFormat="1" applyFont="1" applyFill="1" applyBorder="1" applyAlignment="1">
      <alignment horizontal="center" vertical="center"/>
      <protection/>
    </xf>
    <xf numFmtId="2" fontId="61" fillId="0" borderId="48" xfId="64" applyNumberFormat="1" applyFont="1" applyFill="1" applyBorder="1" applyAlignment="1">
      <alignment horizontal="center" vertical="center"/>
      <protection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177" fontId="43" fillId="8" borderId="115" xfId="0" applyNumberFormat="1" applyFont="1" applyFill="1" applyBorder="1" applyAlignment="1">
      <alignment horizontal="center" vertical="center"/>
    </xf>
    <xf numFmtId="177" fontId="42" fillId="8" borderId="49" xfId="68" applyNumberFormat="1" applyFont="1" applyFill="1" applyBorder="1" applyAlignment="1" applyProtection="1">
      <alignment horizontal="center" vertical="center" wrapText="1"/>
      <protection/>
    </xf>
    <xf numFmtId="177" fontId="43" fillId="8" borderId="38" xfId="68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2" fontId="8" fillId="0" borderId="89" xfId="66" applyNumberFormat="1" applyFont="1" applyFill="1" applyBorder="1" applyAlignment="1">
      <alignment horizontal="left" vertical="center"/>
      <protection/>
    </xf>
    <xf numFmtId="177" fontId="42" fillId="8" borderId="116" xfId="0" applyNumberFormat="1" applyFont="1" applyFill="1" applyBorder="1" applyAlignment="1" applyProtection="1">
      <alignment horizontal="center" vertical="center"/>
      <protection/>
    </xf>
    <xf numFmtId="2" fontId="8" fillId="0" borderId="54" xfId="66" applyNumberFormat="1" applyFont="1" applyFill="1" applyBorder="1" applyAlignment="1">
      <alignment horizontal="left" vertical="center"/>
      <protection/>
    </xf>
    <xf numFmtId="2" fontId="66" fillId="8" borderId="12" xfId="66" applyNumberFormat="1" applyFont="1" applyFill="1" applyBorder="1" applyAlignment="1">
      <alignment horizontal="left" vertical="center"/>
      <protection/>
    </xf>
    <xf numFmtId="2" fontId="8" fillId="0" borderId="43" xfId="66" applyNumberFormat="1" applyFont="1" applyFill="1" applyBorder="1" applyAlignment="1">
      <alignment horizontal="left" vertical="center"/>
      <protection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17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18" xfId="0" applyNumberFormat="1" applyFont="1" applyFill="1" applyBorder="1" applyAlignment="1">
      <alignment vertical="center"/>
    </xf>
    <xf numFmtId="177" fontId="0" fillId="0" borderId="119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63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8" applyNumberFormat="1" applyFont="1" applyFill="1" applyBorder="1" applyAlignment="1" applyProtection="1">
      <alignment horizontal="center" vertical="center" wrapText="1"/>
      <protection/>
    </xf>
    <xf numFmtId="177" fontId="0" fillId="8" borderId="27" xfId="68" applyNumberFormat="1" applyFont="1" applyFill="1" applyBorder="1" applyAlignment="1">
      <alignment horizontal="center" vertical="center" wrapText="1"/>
      <protection/>
    </xf>
    <xf numFmtId="177" fontId="0" fillId="8" borderId="14" xfId="68" applyNumberFormat="1" applyFont="1" applyFill="1" applyBorder="1" applyAlignment="1">
      <alignment horizontal="center" vertical="center" wrapText="1"/>
      <protection/>
    </xf>
    <xf numFmtId="177" fontId="1" fillId="8" borderId="116" xfId="0" applyNumberFormat="1" applyFont="1" applyFill="1" applyBorder="1" applyAlignment="1" applyProtection="1">
      <alignment horizontal="center" vertical="center"/>
      <protection/>
    </xf>
    <xf numFmtId="177" fontId="0" fillId="8" borderId="120" xfId="0" applyNumberFormat="1" applyFont="1" applyFill="1" applyBorder="1" applyAlignment="1">
      <alignment horizontal="center" vertical="center"/>
    </xf>
    <xf numFmtId="177" fontId="0" fillId="8" borderId="121" xfId="0" applyNumberFormat="1" applyFont="1" applyFill="1" applyBorder="1" applyAlignment="1">
      <alignment horizontal="center"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65" fillId="25" borderId="81" xfId="66" applyFont="1" applyFill="1" applyBorder="1" applyAlignment="1">
      <alignment horizontal="center" vertical="center" wrapText="1"/>
      <protection/>
    </xf>
    <xf numFmtId="0" fontId="65" fillId="25" borderId="82" xfId="66" applyFont="1" applyFill="1" applyBorder="1" applyAlignment="1">
      <alignment horizontal="center" vertical="center" wrapText="1"/>
      <protection/>
    </xf>
    <xf numFmtId="2" fontId="66" fillId="8" borderId="59" xfId="66" applyNumberFormat="1" applyFont="1" applyFill="1" applyBorder="1" applyAlignment="1">
      <alignment horizontal="left" vertical="center"/>
      <protection/>
    </xf>
    <xf numFmtId="2" fontId="66" fillId="8" borderId="17" xfId="66" applyNumberFormat="1" applyFont="1" applyFill="1" applyBorder="1" applyAlignment="1">
      <alignment horizontal="left" vertical="center"/>
      <protection/>
    </xf>
    <xf numFmtId="2" fontId="61" fillId="0" borderId="17" xfId="64" applyNumberFormat="1" applyFont="1" applyFill="1" applyBorder="1" applyAlignment="1">
      <alignment horizontal="center" vertical="center"/>
      <protection/>
    </xf>
    <xf numFmtId="2" fontId="60" fillId="8" borderId="18" xfId="64" applyNumberFormat="1" applyFont="1" applyFill="1" applyBorder="1" applyAlignment="1" applyProtection="1">
      <alignment horizontal="center" vertical="center"/>
      <protection locked="0"/>
    </xf>
    <xf numFmtId="2" fontId="60" fillId="8" borderId="122" xfId="64" applyNumberFormat="1" applyFont="1" applyFill="1" applyBorder="1" applyAlignment="1" applyProtection="1">
      <alignment horizontal="center" vertical="center"/>
      <protection locked="0"/>
    </xf>
    <xf numFmtId="2" fontId="60" fillId="8" borderId="66" xfId="64" applyNumberFormat="1" applyFont="1" applyFill="1" applyBorder="1" applyAlignment="1" applyProtection="1">
      <alignment horizontal="center" vertical="center"/>
      <protection locked="0"/>
    </xf>
    <xf numFmtId="0" fontId="59" fillId="25" borderId="18" xfId="64" applyFont="1" applyFill="1" applyBorder="1" applyAlignment="1">
      <alignment horizontal="center" vertical="center" wrapText="1"/>
      <protection/>
    </xf>
    <xf numFmtId="0" fontId="59" fillId="25" borderId="122" xfId="64" applyFont="1" applyFill="1" applyBorder="1" applyAlignment="1">
      <alignment horizontal="center" vertical="center" wrapText="1"/>
      <protection/>
    </xf>
    <xf numFmtId="0" fontId="59" fillId="25" borderId="66" xfId="64" applyFont="1" applyFill="1" applyBorder="1" applyAlignment="1">
      <alignment horizontal="center" vertical="center" wrapText="1"/>
      <protection/>
    </xf>
    <xf numFmtId="3" fontId="76" fillId="0" borderId="0" xfId="73" applyNumberFormat="1" applyFont="1" applyFill="1" applyBorder="1" applyAlignment="1">
      <alignment vertical="center"/>
      <protection/>
    </xf>
    <xf numFmtId="0" fontId="59" fillId="25" borderId="17" xfId="64" applyFont="1" applyFill="1" applyBorder="1" applyAlignment="1">
      <alignment horizontal="center" vertical="center" wrapText="1"/>
      <protection/>
    </xf>
    <xf numFmtId="2" fontId="61" fillId="8" borderId="18" xfId="63" applyNumberFormat="1" applyFont="1" applyFill="1" applyBorder="1" applyAlignment="1">
      <alignment horizontal="center" vertical="center" wrapText="1"/>
      <protection/>
    </xf>
    <xf numFmtId="2" fontId="61" fillId="8" borderId="122" xfId="63" applyNumberFormat="1" applyFont="1" applyFill="1" applyBorder="1" applyAlignment="1">
      <alignment horizontal="center" vertical="center" wrapText="1"/>
      <protection/>
    </xf>
    <xf numFmtId="2" fontId="61" fillId="8" borderId="66" xfId="63" applyNumberFormat="1" applyFont="1" applyFill="1" applyBorder="1" applyAlignment="1">
      <alignment horizontal="center" vertical="center" wrapText="1"/>
      <protection/>
    </xf>
    <xf numFmtId="168" fontId="61" fillId="0" borderId="17" xfId="64" applyNumberFormat="1" applyFont="1" applyFill="1" applyBorder="1" applyAlignment="1">
      <alignment horizontal="center" vertical="center" wrapText="1"/>
      <protection/>
    </xf>
    <xf numFmtId="2" fontId="59" fillId="8" borderId="18" xfId="64" applyNumberFormat="1" applyFont="1" applyFill="1" applyBorder="1" applyAlignment="1">
      <alignment horizontal="center" vertical="center"/>
      <protection/>
    </xf>
    <xf numFmtId="2" fontId="59" fillId="8" borderId="122" xfId="64" applyNumberFormat="1" applyFont="1" applyFill="1" applyBorder="1" applyAlignment="1">
      <alignment horizontal="center" vertical="center"/>
      <protection/>
    </xf>
    <xf numFmtId="0" fontId="72" fillId="0" borderId="0" xfId="57" applyFont="1" applyAlignment="1">
      <alignment horizontal="left" vertical="center" wrapText="1"/>
      <protection/>
    </xf>
    <xf numFmtId="3" fontId="42" fillId="16" borderId="23" xfId="74" applyNumberFormat="1" applyFont="1" applyFill="1" applyBorder="1" applyAlignment="1">
      <alignment horizontal="left" vertical="center" wrapText="1"/>
      <protection/>
    </xf>
    <xf numFmtId="3" fontId="42" fillId="16" borderId="24" xfId="74" applyNumberFormat="1" applyFont="1" applyFill="1" applyBorder="1" applyAlignment="1">
      <alignment horizontal="left" vertical="center" wrapText="1"/>
      <protection/>
    </xf>
    <xf numFmtId="0" fontId="42" fillId="25" borderId="81" xfId="65" applyFont="1" applyFill="1" applyBorder="1" applyAlignment="1">
      <alignment horizontal="center" vertical="center" wrapText="1"/>
      <protection/>
    </xf>
    <xf numFmtId="0" fontId="42" fillId="25" borderId="82" xfId="65" applyFont="1" applyFill="1" applyBorder="1" applyAlignment="1">
      <alignment horizontal="center" vertical="center" wrapText="1"/>
      <protection/>
    </xf>
    <xf numFmtId="0" fontId="42" fillId="25" borderId="123" xfId="65" applyFont="1" applyFill="1" applyBorder="1" applyAlignment="1">
      <alignment horizontal="center" vertical="center" wrapText="1"/>
      <protection/>
    </xf>
    <xf numFmtId="2" fontId="47" fillId="8" borderId="16" xfId="65" applyNumberFormat="1" applyFont="1" applyFill="1" applyBorder="1" applyAlignment="1">
      <alignment horizontal="left" vertical="center" wrapText="1"/>
      <protection/>
    </xf>
    <xf numFmtId="2" fontId="47" fillId="8" borderId="68" xfId="65" applyNumberFormat="1" applyFont="1" applyFill="1" applyBorder="1" applyAlignment="1">
      <alignment horizontal="left" vertical="center" wrapText="1"/>
      <protection/>
    </xf>
    <xf numFmtId="2" fontId="47" fillId="0" borderId="109" xfId="65" applyNumberFormat="1" applyFont="1" applyFill="1" applyBorder="1" applyAlignment="1">
      <alignment horizontal="center" vertical="center" wrapText="1"/>
      <protection/>
    </xf>
    <xf numFmtId="2" fontId="47" fillId="0" borderId="124" xfId="65" applyNumberFormat="1" applyFont="1" applyFill="1" applyBorder="1" applyAlignment="1">
      <alignment horizontal="center" vertical="center" wrapText="1"/>
      <protection/>
    </xf>
    <xf numFmtId="2" fontId="47" fillId="0" borderId="125" xfId="65" applyNumberFormat="1" applyFont="1" applyFill="1" applyBorder="1" applyAlignment="1">
      <alignment horizontal="center" vertical="center" wrapText="1"/>
      <protection/>
    </xf>
    <xf numFmtId="3" fontId="42" fillId="16" borderId="16" xfId="74" applyNumberFormat="1" applyFont="1" applyFill="1" applyBorder="1" applyAlignment="1">
      <alignment horizontal="left" vertical="center" wrapText="1"/>
      <protection/>
    </xf>
    <xf numFmtId="3" fontId="42" fillId="16" borderId="68" xfId="74" applyNumberFormat="1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 horizontal="left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96" xfId="0" applyFont="1" applyFill="1" applyBorder="1" applyAlignment="1">
      <alignment horizontal="center" vertical="center"/>
    </xf>
    <xf numFmtId="0" fontId="42" fillId="8" borderId="89" xfId="0" applyFont="1" applyFill="1" applyBorder="1" applyAlignment="1">
      <alignment horizontal="center" vertical="center"/>
    </xf>
    <xf numFmtId="0" fontId="42" fillId="8" borderId="88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25" borderId="81" xfId="63" applyFont="1" applyFill="1" applyBorder="1" applyAlignment="1">
      <alignment horizontal="center" vertical="center" wrapText="1"/>
      <protection/>
    </xf>
    <xf numFmtId="0" fontId="42" fillId="25" borderId="82" xfId="63" applyFont="1" applyFill="1" applyBorder="1" applyAlignment="1">
      <alignment horizontal="center" vertical="center" wrapText="1"/>
      <protection/>
    </xf>
    <xf numFmtId="1" fontId="42" fillId="25" borderId="82" xfId="63" applyNumberFormat="1" applyFont="1" applyFill="1" applyBorder="1" applyAlignment="1">
      <alignment horizontal="center" vertical="center" wrapText="1"/>
      <protection/>
    </xf>
    <xf numFmtId="1" fontId="42" fillId="25" borderId="13" xfId="63" applyNumberFormat="1" applyFont="1" applyFill="1" applyBorder="1" applyAlignment="1">
      <alignment horizontal="center" vertical="center" wrapText="1"/>
      <protection/>
    </xf>
    <xf numFmtId="2" fontId="47" fillId="0" borderId="59" xfId="63" applyNumberFormat="1" applyFont="1" applyFill="1" applyBorder="1" applyAlignment="1">
      <alignment horizontal="center" vertical="center" wrapText="1"/>
      <protection/>
    </xf>
    <xf numFmtId="2" fontId="47" fillId="0" borderId="17" xfId="63" applyNumberFormat="1" applyFont="1" applyFill="1" applyBorder="1" applyAlignment="1">
      <alignment horizontal="center" vertical="center" wrapText="1"/>
      <protection/>
    </xf>
    <xf numFmtId="2" fontId="47" fillId="0" borderId="12" xfId="63" applyNumberFormat="1" applyFont="1" applyFill="1" applyBorder="1" applyAlignment="1">
      <alignment horizontal="center" vertical="center" wrapText="1"/>
      <protection/>
    </xf>
    <xf numFmtId="0" fontId="43" fillId="8" borderId="59" xfId="57" applyFont="1" applyFill="1" applyBorder="1" applyAlignment="1">
      <alignment vertical="center" wrapText="1"/>
      <protection/>
    </xf>
    <xf numFmtId="0" fontId="43" fillId="8" borderId="17" xfId="57" applyFont="1" applyFill="1" applyBorder="1" applyAlignment="1">
      <alignment vertical="center" wrapText="1"/>
      <protection/>
    </xf>
    <xf numFmtId="0" fontId="43" fillId="8" borderId="12" xfId="57" applyFont="1" applyFill="1" applyBorder="1" applyAlignment="1">
      <alignment vertical="center" wrapText="1"/>
      <protection/>
    </xf>
    <xf numFmtId="0" fontId="42" fillId="0" borderId="59" xfId="57" applyFont="1" applyBorder="1" applyAlignment="1">
      <alignment horizontal="center" vertical="center" wrapText="1"/>
      <protection/>
    </xf>
    <xf numFmtId="0" fontId="42" fillId="0" borderId="17" xfId="57" applyFont="1" applyBorder="1" applyAlignment="1">
      <alignment horizontal="center" vertical="center" wrapText="1"/>
      <protection/>
    </xf>
    <xf numFmtId="0" fontId="42" fillId="0" borderId="12" xfId="57" applyFont="1" applyBorder="1" applyAlignment="1">
      <alignment horizontal="center" vertical="center" wrapText="1"/>
      <protection/>
    </xf>
    <xf numFmtId="2" fontId="47" fillId="8" borderId="59" xfId="63" applyNumberFormat="1" applyFont="1" applyFill="1" applyBorder="1" applyAlignment="1">
      <alignment horizontal="center" vertical="center" wrapText="1"/>
      <protection/>
    </xf>
    <xf numFmtId="2" fontId="47" fillId="8" borderId="17" xfId="63" applyNumberFormat="1" applyFont="1" applyFill="1" applyBorder="1" applyAlignment="1">
      <alignment horizontal="center" vertical="center" wrapText="1"/>
      <protection/>
    </xf>
    <xf numFmtId="2" fontId="32" fillId="8" borderId="17" xfId="64" applyNumberFormat="1" applyFont="1" applyFill="1" applyBorder="1" applyAlignment="1">
      <alignment horizontal="center" vertical="center" wrapText="1"/>
      <protection/>
    </xf>
    <xf numFmtId="2" fontId="32" fillId="8" borderId="12" xfId="64" applyNumberFormat="1" applyFont="1" applyFill="1" applyBorder="1" applyAlignment="1">
      <alignment horizontal="center" vertical="center" wrapText="1"/>
      <protection/>
    </xf>
    <xf numFmtId="0" fontId="78" fillId="0" borderId="0" xfId="57" applyFont="1" applyAlignment="1">
      <alignment horizontal="left" vertical="center" wrapText="1"/>
      <protection/>
    </xf>
    <xf numFmtId="0" fontId="50" fillId="0" borderId="126" xfId="0" applyFont="1" applyBorder="1" applyAlignment="1" applyProtection="1">
      <alignment horizontal="center" vertical="center" wrapText="1"/>
      <protection locked="0"/>
    </xf>
    <xf numFmtId="0" fontId="50" fillId="0" borderId="112" xfId="0" applyFont="1" applyBorder="1" applyAlignment="1" applyProtection="1">
      <alignment horizontal="center" vertical="center" wrapText="1"/>
      <protection locked="0"/>
    </xf>
    <xf numFmtId="177" fontId="43" fillId="0" borderId="126" xfId="0" applyNumberFormat="1" applyFont="1" applyBorder="1" applyAlignment="1" applyProtection="1">
      <alignment horizontal="left" vertical="center" wrapText="1"/>
      <protection locked="0"/>
    </xf>
    <xf numFmtId="177" fontId="43" fillId="0" borderId="112" xfId="0" applyNumberFormat="1" applyFont="1" applyBorder="1" applyAlignment="1" applyProtection="1">
      <alignment horizontal="left" vertical="center" wrapText="1"/>
      <protection locked="0"/>
    </xf>
    <xf numFmtId="177" fontId="43" fillId="0" borderId="126" xfId="0" applyNumberFormat="1" applyFont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Border="1" applyAlignment="1" applyProtection="1">
      <alignment horizontal="center" vertical="center" wrapText="1"/>
      <protection locked="0"/>
    </xf>
    <xf numFmtId="2" fontId="47" fillId="0" borderId="10" xfId="63" applyNumberFormat="1" applyFont="1" applyFill="1" applyBorder="1" applyAlignment="1">
      <alignment horizontal="center" vertical="center" wrapText="1"/>
      <protection/>
    </xf>
    <xf numFmtId="2" fontId="47" fillId="0" borderId="122" xfId="63" applyNumberFormat="1" applyFont="1" applyFill="1" applyBorder="1" applyAlignment="1">
      <alignment horizontal="center" vertical="center" wrapText="1"/>
      <protection/>
    </xf>
    <xf numFmtId="2" fontId="47" fillId="0" borderId="60" xfId="63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77" fontId="42" fillId="0" borderId="126" xfId="0" applyNumberFormat="1" applyFont="1" applyBorder="1" applyAlignment="1" applyProtection="1">
      <alignment horizontal="center" vertical="center" wrapText="1"/>
      <protection locked="0"/>
    </xf>
    <xf numFmtId="177" fontId="42" fillId="0" borderId="112" xfId="0" applyNumberFormat="1" applyFont="1" applyBorder="1" applyAlignment="1" applyProtection="1">
      <alignment horizontal="center" vertical="center" wrapText="1"/>
      <protection locked="0"/>
    </xf>
    <xf numFmtId="177" fontId="42" fillId="0" borderId="127" xfId="0" applyNumberFormat="1" applyFont="1" applyBorder="1" applyAlignment="1" applyProtection="1">
      <alignment horizontal="center" vertical="center" wrapText="1"/>
      <protection locked="0"/>
    </xf>
    <xf numFmtId="177" fontId="42" fillId="0" borderId="128" xfId="0" applyNumberFormat="1" applyFont="1" applyBorder="1" applyAlignment="1" applyProtection="1">
      <alignment horizontal="center" vertical="center" wrapText="1"/>
      <protection locked="0"/>
    </xf>
    <xf numFmtId="177" fontId="43" fillId="0" borderId="126" xfId="0" applyNumberFormat="1" applyFont="1" applyFill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Fill="1" applyBorder="1" applyAlignment="1" applyProtection="1">
      <alignment horizontal="center" vertical="center" wrapText="1"/>
      <protection locked="0"/>
    </xf>
    <xf numFmtId="177" fontId="43" fillId="0" borderId="129" xfId="0" applyNumberFormat="1" applyFont="1" applyBorder="1" applyAlignment="1" applyProtection="1">
      <alignment horizontal="center" vertical="center" wrapText="1"/>
      <protection locked="0"/>
    </xf>
    <xf numFmtId="2" fontId="47" fillId="0" borderId="28" xfId="63" applyNumberFormat="1" applyFont="1" applyFill="1" applyBorder="1" applyAlignment="1">
      <alignment horizontal="center" vertical="center" wrapText="1"/>
      <protection/>
    </xf>
    <xf numFmtId="2" fontId="47" fillId="0" borderId="55" xfId="63" applyNumberFormat="1" applyFont="1" applyFill="1" applyBorder="1" applyAlignment="1">
      <alignment horizontal="center" vertical="center" wrapText="1"/>
      <protection/>
    </xf>
    <xf numFmtId="2" fontId="47" fillId="0" borderId="88" xfId="63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177" fontId="49" fillId="0" borderId="130" xfId="0" applyNumberFormat="1" applyFont="1" applyBorder="1" applyAlignment="1" applyProtection="1">
      <alignment horizontal="center" vertical="center" wrapText="1"/>
      <protection locked="0"/>
    </xf>
    <xf numFmtId="177" fontId="49" fillId="0" borderId="90" xfId="0" applyNumberFormat="1" applyFont="1" applyBorder="1" applyAlignment="1" applyProtection="1">
      <alignment horizontal="center" vertical="center" wrapText="1"/>
      <protection locked="0"/>
    </xf>
    <xf numFmtId="177" fontId="49" fillId="0" borderId="91" xfId="0" applyNumberFormat="1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31" xfId="0" applyFont="1" applyBorder="1" applyAlignment="1">
      <alignment horizontal="center" vertical="center" wrapText="1"/>
    </xf>
    <xf numFmtId="0" fontId="42" fillId="0" borderId="132" xfId="0" applyFont="1" applyBorder="1" applyAlignment="1">
      <alignment horizontal="center" vertical="center" wrapText="1"/>
    </xf>
    <xf numFmtId="0" fontId="49" fillId="0" borderId="130" xfId="0" applyFont="1" applyBorder="1" applyAlignment="1">
      <alignment horizontal="center" vertical="center" wrapText="1"/>
    </xf>
    <xf numFmtId="0" fontId="49" fillId="0" borderId="90" xfId="0" applyFont="1" applyBorder="1" applyAlignment="1">
      <alignment horizontal="center" vertical="center" wrapText="1"/>
    </xf>
    <xf numFmtId="0" fontId="49" fillId="0" borderId="91" xfId="0" applyFont="1" applyBorder="1" applyAlignment="1">
      <alignment horizontal="center" vertical="center" wrapText="1"/>
    </xf>
    <xf numFmtId="0" fontId="42" fillId="25" borderId="45" xfId="63" applyFont="1" applyFill="1" applyBorder="1" applyAlignment="1">
      <alignment horizontal="center" vertical="center" wrapText="1"/>
      <protection/>
    </xf>
    <xf numFmtId="0" fontId="42" fillId="25" borderId="46" xfId="63" applyFont="1" applyFill="1" applyBorder="1" applyAlignment="1">
      <alignment horizontal="center" vertical="center" wrapText="1"/>
      <protection/>
    </xf>
    <xf numFmtId="0" fontId="42" fillId="25" borderId="47" xfId="63" applyFont="1" applyFill="1" applyBorder="1" applyAlignment="1">
      <alignment horizontal="center" vertical="center" wrapText="1"/>
      <protection/>
    </xf>
    <xf numFmtId="2" fontId="47" fillId="8" borderId="45" xfId="63" applyNumberFormat="1" applyFont="1" applyFill="1" applyBorder="1" applyAlignment="1">
      <alignment horizontal="center" vertical="center" wrapText="1"/>
      <protection/>
    </xf>
    <xf numFmtId="2" fontId="47" fillId="8" borderId="46" xfId="63" applyNumberFormat="1" applyFont="1" applyFill="1" applyBorder="1" applyAlignment="1">
      <alignment horizontal="center" vertical="center" wrapText="1"/>
      <protection/>
    </xf>
    <xf numFmtId="2" fontId="47" fillId="8" borderId="47" xfId="63" applyNumberFormat="1" applyFont="1" applyFill="1" applyBorder="1" applyAlignment="1">
      <alignment horizontal="center" vertical="center" wrapText="1"/>
      <protection/>
    </xf>
    <xf numFmtId="2" fontId="32" fillId="8" borderId="45" xfId="64" applyNumberFormat="1" applyFont="1" applyFill="1" applyBorder="1" applyAlignment="1">
      <alignment horizontal="center" vertical="center" wrapText="1"/>
      <protection/>
    </xf>
    <xf numFmtId="2" fontId="32" fillId="8" borderId="47" xfId="64" applyNumberFormat="1" applyFont="1" applyFill="1" applyBorder="1" applyAlignment="1">
      <alignment horizontal="center" vertical="center" wrapText="1"/>
      <protection/>
    </xf>
    <xf numFmtId="1" fontId="42" fillId="25" borderId="45" xfId="63" applyNumberFormat="1" applyFont="1" applyFill="1" applyBorder="1" applyAlignment="1">
      <alignment horizontal="center" vertical="center" wrapText="1"/>
      <protection/>
    </xf>
    <xf numFmtId="1" fontId="42" fillId="25" borderId="47" xfId="63" applyNumberFormat="1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177" fontId="49" fillId="0" borderId="92" xfId="0" applyNumberFormat="1" applyFont="1" applyBorder="1" applyAlignment="1" applyProtection="1">
      <alignment horizontal="center" vertical="center" wrapText="1"/>
      <protection locked="0"/>
    </xf>
    <xf numFmtId="0" fontId="1" fillId="25" borderId="109" xfId="63" applyFont="1" applyFill="1" applyBorder="1" applyAlignment="1">
      <alignment horizontal="center" vertical="center" wrapText="1"/>
      <protection/>
    </xf>
    <xf numFmtId="0" fontId="1" fillId="25" borderId="124" xfId="63" applyFont="1" applyFill="1" applyBorder="1" applyAlignment="1">
      <alignment horizontal="center" vertical="center" wrapText="1"/>
      <protection/>
    </xf>
    <xf numFmtId="0" fontId="1" fillId="25" borderId="83" xfId="63" applyFont="1" applyFill="1" applyBorder="1" applyAlignment="1">
      <alignment horizontal="center" vertical="center" wrapText="1"/>
      <protection/>
    </xf>
    <xf numFmtId="2" fontId="29" fillId="8" borderId="10" xfId="63" applyNumberFormat="1" applyFont="1" applyFill="1" applyBorder="1" applyAlignment="1">
      <alignment horizontal="left" vertical="center" wrapText="1"/>
      <protection/>
    </xf>
    <xf numFmtId="2" fontId="29" fillId="8" borderId="122" xfId="63" applyNumberFormat="1" applyFont="1" applyFill="1" applyBorder="1" applyAlignment="1">
      <alignment horizontal="left" vertical="center" wrapText="1"/>
      <protection/>
    </xf>
    <xf numFmtId="2" fontId="29" fillId="8" borderId="66" xfId="63" applyNumberFormat="1" applyFont="1" applyFill="1" applyBorder="1" applyAlignment="1">
      <alignment horizontal="left" vertical="center" wrapText="1"/>
      <protection/>
    </xf>
    <xf numFmtId="2" fontId="29" fillId="0" borderId="10" xfId="63" applyNumberFormat="1" applyFont="1" applyFill="1" applyBorder="1" applyAlignment="1">
      <alignment horizontal="center" vertical="center"/>
      <protection/>
    </xf>
    <xf numFmtId="2" fontId="29" fillId="0" borderId="122" xfId="63" applyNumberFormat="1" applyFont="1" applyFill="1" applyBorder="1" applyAlignment="1">
      <alignment horizontal="center" vertical="center"/>
      <protection/>
    </xf>
    <xf numFmtId="2" fontId="29" fillId="0" borderId="60" xfId="63" applyNumberFormat="1" applyFont="1" applyFill="1" applyBorder="1" applyAlignment="1">
      <alignment horizontal="center" vertical="center"/>
      <protection/>
    </xf>
    <xf numFmtId="0" fontId="42" fillId="0" borderId="57" xfId="57" applyFont="1" applyBorder="1" applyAlignment="1">
      <alignment horizontal="center" vertical="center" wrapText="1"/>
      <protection/>
    </xf>
    <xf numFmtId="0" fontId="42" fillId="0" borderId="19" xfId="57" applyFont="1" applyBorder="1" applyAlignment="1">
      <alignment horizontal="center" vertical="center" wrapText="1"/>
      <protection/>
    </xf>
    <xf numFmtId="0" fontId="42" fillId="0" borderId="50" xfId="57" applyFont="1" applyBorder="1" applyAlignment="1">
      <alignment horizontal="left" vertical="center" wrapText="1"/>
      <protection/>
    </xf>
    <xf numFmtId="0" fontId="42" fillId="0" borderId="51" xfId="57" applyFont="1" applyBorder="1" applyAlignment="1">
      <alignment horizontal="left" vertical="center" wrapText="1"/>
      <protection/>
    </xf>
    <xf numFmtId="0" fontId="43" fillId="0" borderId="65" xfId="57" applyFont="1" applyBorder="1" applyAlignment="1">
      <alignment horizontal="left" vertical="center" wrapText="1"/>
      <protection/>
    </xf>
    <xf numFmtId="0" fontId="43" fillId="0" borderId="11" xfId="57" applyFont="1" applyBorder="1" applyAlignment="1">
      <alignment horizontal="left" vertical="center" wrapText="1"/>
      <protection/>
    </xf>
    <xf numFmtId="0" fontId="43" fillId="0" borderId="64" xfId="57" applyFont="1" applyBorder="1" applyAlignment="1">
      <alignment horizontal="left" vertical="center" wrapText="1"/>
      <protection/>
    </xf>
    <xf numFmtId="0" fontId="43" fillId="0" borderId="48" xfId="57" applyFont="1" applyBorder="1" applyAlignment="1">
      <alignment horizontal="left" vertical="center" wrapText="1"/>
      <protection/>
    </xf>
    <xf numFmtId="0" fontId="43" fillId="0" borderId="0" xfId="57" applyFont="1" applyBorder="1" applyAlignment="1">
      <alignment vertical="center" wrapText="1"/>
      <protection/>
    </xf>
    <xf numFmtId="0" fontId="43" fillId="0" borderId="10" xfId="57" applyFont="1" applyBorder="1" applyAlignment="1">
      <alignment horizontal="left" vertical="center" wrapText="1"/>
      <protection/>
    </xf>
    <xf numFmtId="0" fontId="43" fillId="0" borderId="122" xfId="57" applyFont="1" applyBorder="1" applyAlignment="1">
      <alignment horizontal="left" vertical="center" wrapText="1"/>
      <protection/>
    </xf>
    <xf numFmtId="0" fontId="43" fillId="0" borderId="106" xfId="57" applyFont="1" applyBorder="1" applyAlignment="1">
      <alignment horizontal="left" vertical="center" wrapText="1"/>
      <protection/>
    </xf>
    <xf numFmtId="0" fontId="43" fillId="0" borderId="56" xfId="57" applyFont="1" applyBorder="1" applyAlignment="1">
      <alignment horizontal="left" vertical="center" wrapText="1"/>
      <protection/>
    </xf>
    <xf numFmtId="0" fontId="42" fillId="25" borderId="109" xfId="63" applyFont="1" applyFill="1" applyBorder="1" applyAlignment="1">
      <alignment horizontal="center" vertical="center" wrapText="1"/>
      <protection/>
    </xf>
    <xf numFmtId="0" fontId="42" fillId="25" borderId="124" xfId="63" applyFont="1" applyFill="1" applyBorder="1" applyAlignment="1">
      <alignment horizontal="center" vertical="center" wrapText="1"/>
      <protection/>
    </xf>
    <xf numFmtId="0" fontId="42" fillId="25" borderId="83" xfId="63" applyFont="1" applyFill="1" applyBorder="1" applyAlignment="1">
      <alignment horizontal="center" vertical="center" wrapText="1"/>
      <protection/>
    </xf>
    <xf numFmtId="2" fontId="47" fillId="0" borderId="23" xfId="63" applyNumberFormat="1" applyFont="1" applyFill="1" applyBorder="1" applyAlignment="1">
      <alignment horizontal="center" vertical="center"/>
      <protection/>
    </xf>
    <xf numFmtId="0" fontId="43" fillId="0" borderId="108" xfId="0" applyFont="1" applyBorder="1" applyAlignment="1">
      <alignment vertical="center"/>
    </xf>
    <xf numFmtId="0" fontId="43" fillId="0" borderId="133" xfId="0" applyFont="1" applyBorder="1" applyAlignment="1">
      <alignment vertical="center"/>
    </xf>
    <xf numFmtId="2" fontId="47" fillId="8" borderId="10" xfId="63" applyNumberFormat="1" applyFont="1" applyFill="1" applyBorder="1" applyAlignment="1">
      <alignment horizontal="center" vertical="center"/>
      <protection/>
    </xf>
    <xf numFmtId="2" fontId="47" fillId="8" borderId="122" xfId="63" applyNumberFormat="1" applyFont="1" applyFill="1" applyBorder="1" applyAlignment="1">
      <alignment horizontal="center" vertical="center"/>
      <protection/>
    </xf>
    <xf numFmtId="2" fontId="47" fillId="8" borderId="66" xfId="63" applyNumberFormat="1" applyFont="1" applyFill="1" applyBorder="1" applyAlignment="1">
      <alignment horizontal="center" vertical="center"/>
      <protection/>
    </xf>
    <xf numFmtId="3" fontId="43" fillId="0" borderId="65" xfId="57" applyNumberFormat="1" applyFont="1" applyBorder="1" applyAlignment="1">
      <alignment horizontal="left" vertical="center" wrapText="1"/>
      <protection/>
    </xf>
    <xf numFmtId="3" fontId="43" fillId="0" borderId="59" xfId="57" applyNumberFormat="1" applyFont="1" applyBorder="1" applyAlignment="1">
      <alignment horizontal="left" vertical="center" wrapText="1"/>
      <protection/>
    </xf>
    <xf numFmtId="0" fontId="43" fillId="0" borderId="17" xfId="57" applyFont="1" applyBorder="1" applyAlignment="1">
      <alignment horizontal="left" vertical="center" wrapText="1"/>
      <protection/>
    </xf>
    <xf numFmtId="0" fontId="76" fillId="0" borderId="0" xfId="57" applyFont="1" applyFill="1" applyAlignment="1">
      <alignment horizontal="justify" vertical="center" wrapText="1"/>
      <protection/>
    </xf>
    <xf numFmtId="1" fontId="47" fillId="8" borderId="82" xfId="64" applyNumberFormat="1" applyFont="1" applyFill="1" applyBorder="1" applyAlignment="1" applyProtection="1">
      <alignment horizontal="center" vertical="center"/>
      <protection/>
    </xf>
    <xf numFmtId="1" fontId="47" fillId="8" borderId="13" xfId="64" applyNumberFormat="1" applyFont="1" applyFill="1" applyBorder="1" applyAlignment="1" applyProtection="1">
      <alignment horizontal="center" vertical="center"/>
      <protection/>
    </xf>
    <xf numFmtId="2" fontId="47" fillId="8" borderId="63" xfId="64" applyNumberFormat="1" applyFont="1" applyFill="1" applyBorder="1" applyAlignment="1" applyProtection="1">
      <alignment horizontal="center" vertical="center" wrapText="1"/>
      <protection/>
    </xf>
    <xf numFmtId="2" fontId="47" fillId="8" borderId="68" xfId="64" applyNumberFormat="1" applyFont="1" applyFill="1" applyBorder="1" applyAlignment="1" applyProtection="1">
      <alignment horizontal="center" vertical="center" wrapText="1"/>
      <protection/>
    </xf>
    <xf numFmtId="2" fontId="47" fillId="8" borderId="96" xfId="64" applyNumberFormat="1" applyFont="1" applyFill="1" applyBorder="1" applyAlignment="1" applyProtection="1">
      <alignment horizontal="center" vertical="center" wrapText="1"/>
      <protection/>
    </xf>
    <xf numFmtId="2" fontId="47" fillId="8" borderId="16" xfId="64" applyNumberFormat="1" applyFont="1" applyFill="1" applyBorder="1" applyAlignment="1" applyProtection="1">
      <alignment horizontal="center" vertical="center"/>
      <protection/>
    </xf>
    <xf numFmtId="2" fontId="47" fillId="8" borderId="68" xfId="64" applyNumberFormat="1" applyFont="1" applyFill="1" applyBorder="1" applyAlignment="1" applyProtection="1">
      <alignment horizontal="center" vertical="center"/>
      <protection/>
    </xf>
    <xf numFmtId="0" fontId="42" fillId="25" borderId="109" xfId="64" applyFont="1" applyFill="1" applyBorder="1" applyAlignment="1" applyProtection="1">
      <alignment horizontal="center" vertical="center" wrapText="1"/>
      <protection/>
    </xf>
    <xf numFmtId="0" fontId="42" fillId="25" borderId="124" xfId="64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9" applyFont="1" applyFill="1" applyBorder="1" applyAlignment="1" applyProtection="1">
      <alignment horizontal="center" vertical="center"/>
      <protection/>
    </xf>
    <xf numFmtId="0" fontId="42" fillId="0" borderId="0" xfId="69" applyFont="1" applyFill="1" applyBorder="1" applyAlignment="1" applyProtection="1">
      <alignment horizontal="center" vertical="center"/>
      <protection/>
    </xf>
    <xf numFmtId="0" fontId="42" fillId="0" borderId="22" xfId="69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0" fontId="43" fillId="0" borderId="18" xfId="69" applyNumberFormat="1" applyFont="1" applyFill="1" applyBorder="1" applyAlignment="1" applyProtection="1">
      <alignment horizontal="center" vertical="center"/>
      <protection locked="0"/>
    </xf>
    <xf numFmtId="0" fontId="43" fillId="0" borderId="122" xfId="69" applyNumberFormat="1" applyFont="1" applyFill="1" applyBorder="1" applyAlignment="1" applyProtection="1">
      <alignment horizontal="center" vertical="center"/>
      <protection locked="0"/>
    </xf>
    <xf numFmtId="0" fontId="43" fillId="0" borderId="60" xfId="69" applyNumberFormat="1" applyFont="1" applyFill="1" applyBorder="1" applyAlignment="1" applyProtection="1">
      <alignment horizontal="center" vertical="center"/>
      <protection locked="0"/>
    </xf>
    <xf numFmtId="1" fontId="47" fillId="8" borderId="123" xfId="64" applyNumberFormat="1" applyFont="1" applyFill="1" applyBorder="1" applyAlignment="1" applyProtection="1">
      <alignment horizontal="center" vertical="center"/>
      <protection/>
    </xf>
    <xf numFmtId="1" fontId="47" fillId="8" borderId="124" xfId="64" applyNumberFormat="1" applyFont="1" applyFill="1" applyBorder="1" applyAlignment="1" applyProtection="1">
      <alignment horizontal="center" vertical="center"/>
      <protection/>
    </xf>
    <xf numFmtId="2" fontId="80" fillId="8" borderId="63" xfId="64" applyNumberFormat="1" applyFont="1" applyFill="1" applyBorder="1" applyAlignment="1" applyProtection="1">
      <alignment horizontal="center" vertical="center" wrapText="1"/>
      <protection/>
    </xf>
    <xf numFmtId="2" fontId="80" fillId="8" borderId="68" xfId="64" applyNumberFormat="1" applyFont="1" applyFill="1" applyBorder="1" applyAlignment="1" applyProtection="1">
      <alignment horizontal="center" vertical="center" wrapText="1"/>
      <protection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09" xfId="0" applyFont="1" applyFill="1" applyBorder="1" applyAlignment="1">
      <alignment horizontal="center" vertical="center" wrapText="1"/>
    </xf>
    <xf numFmtId="0" fontId="42" fillId="0" borderId="124" xfId="0" applyFont="1" applyFill="1" applyBorder="1" applyAlignment="1">
      <alignment horizontal="center" vertical="center" wrapText="1"/>
    </xf>
    <xf numFmtId="0" fontId="42" fillId="0" borderId="125" xfId="0" applyFont="1" applyFill="1" applyBorder="1" applyAlignment="1">
      <alignment horizontal="center" vertical="center" wrapText="1"/>
    </xf>
    <xf numFmtId="0" fontId="43" fillId="0" borderId="10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1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81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4" fontId="43" fillId="0" borderId="10" xfId="70" applyNumberFormat="1" applyFont="1" applyBorder="1" applyAlignment="1">
      <alignment horizontal="center" vertical="center"/>
      <protection/>
    </xf>
    <xf numFmtId="4" fontId="43" fillId="0" borderId="122" xfId="70" applyNumberFormat="1" applyFont="1" applyBorder="1" applyAlignment="1">
      <alignment horizontal="center" vertical="center"/>
      <protection/>
    </xf>
    <xf numFmtId="4" fontId="43" fillId="0" borderId="66" xfId="70" applyNumberFormat="1" applyFont="1" applyBorder="1" applyAlignment="1">
      <alignment horizontal="center" vertical="center"/>
      <protection/>
    </xf>
    <xf numFmtId="0" fontId="43" fillId="0" borderId="18" xfId="70" applyNumberFormat="1" applyFont="1" applyBorder="1" applyAlignment="1" applyProtection="1">
      <alignment horizontal="center" vertical="center"/>
      <protection locked="0"/>
    </xf>
    <xf numFmtId="0" fontId="43" fillId="0" borderId="66" xfId="70" applyNumberFormat="1" applyFont="1" applyBorder="1" applyAlignment="1" applyProtection="1">
      <alignment horizontal="center" vertical="center"/>
      <protection locked="0"/>
    </xf>
    <xf numFmtId="2" fontId="47" fillId="8" borderId="45" xfId="64" applyNumberFormat="1" applyFont="1" applyFill="1" applyBorder="1" applyAlignment="1">
      <alignment horizontal="center" vertical="center"/>
      <protection/>
    </xf>
    <xf numFmtId="2" fontId="47" fillId="8" borderId="47" xfId="64" applyNumberFormat="1" applyFont="1" applyFill="1" applyBorder="1" applyAlignment="1">
      <alignment horizontal="center" vertical="center"/>
      <protection/>
    </xf>
    <xf numFmtId="1" fontId="47" fillId="8" borderId="45" xfId="64" applyNumberFormat="1" applyFont="1" applyFill="1" applyBorder="1" applyAlignment="1">
      <alignment horizontal="center" vertical="center"/>
      <protection/>
    </xf>
    <xf numFmtId="1" fontId="47" fillId="8" borderId="47" xfId="64" applyNumberFormat="1" applyFont="1" applyFill="1" applyBorder="1" applyAlignment="1">
      <alignment horizontal="center" vertical="center"/>
      <protection/>
    </xf>
    <xf numFmtId="0" fontId="44" fillId="0" borderId="28" xfId="70" applyFont="1" applyFill="1" applyBorder="1" applyAlignment="1">
      <alignment horizontal="center" vertical="center" wrapText="1"/>
      <protection/>
    </xf>
    <xf numFmtId="0" fontId="44" fillId="0" borderId="55" xfId="70" applyFont="1" applyFill="1" applyBorder="1" applyAlignment="1">
      <alignment horizontal="center" vertical="center" wrapText="1"/>
      <protection/>
    </xf>
    <xf numFmtId="0" fontId="44" fillId="0" borderId="88" xfId="70" applyFont="1" applyFill="1" applyBorder="1" applyAlignment="1">
      <alignment horizontal="center" vertical="center" wrapText="1"/>
      <protection/>
    </xf>
    <xf numFmtId="0" fontId="42" fillId="0" borderId="17" xfId="70" applyFont="1" applyFill="1" applyBorder="1" applyAlignment="1">
      <alignment horizontal="center" vertical="center" wrapText="1"/>
      <protection/>
    </xf>
    <xf numFmtId="0" fontId="42" fillId="0" borderId="18" xfId="70" applyFont="1" applyFill="1" applyBorder="1" applyAlignment="1">
      <alignment horizontal="center" vertical="center" wrapText="1"/>
      <protection/>
    </xf>
    <xf numFmtId="0" fontId="42" fillId="0" borderId="60" xfId="70" applyFont="1" applyFill="1" applyBorder="1" applyAlignment="1">
      <alignment horizontal="center" vertical="center" wrapText="1"/>
      <protection/>
    </xf>
    <xf numFmtId="0" fontId="42" fillId="0" borderId="66" xfId="70" applyFont="1" applyFill="1" applyBorder="1" applyAlignment="1">
      <alignment horizontal="center" vertical="center" wrapText="1"/>
      <protection/>
    </xf>
    <xf numFmtId="2" fontId="47" fillId="8" borderId="46" xfId="64" applyNumberFormat="1" applyFont="1" applyFill="1" applyBorder="1" applyAlignment="1">
      <alignment horizontal="center" vertical="center"/>
      <protection/>
    </xf>
    <xf numFmtId="0" fontId="42" fillId="25" borderId="45" xfId="64" applyFont="1" applyFill="1" applyBorder="1" applyAlignment="1">
      <alignment horizontal="center" vertical="center" wrapText="1"/>
      <protection/>
    </xf>
    <xf numFmtId="0" fontId="42" fillId="25" borderId="46" xfId="64" applyFont="1" applyFill="1" applyBorder="1" applyAlignment="1">
      <alignment horizontal="center" vertical="center" wrapText="1"/>
      <protection/>
    </xf>
    <xf numFmtId="0" fontId="42" fillId="25" borderId="47" xfId="64" applyFont="1" applyFill="1" applyBorder="1" applyAlignment="1">
      <alignment horizontal="center" vertical="center" wrapText="1"/>
      <protection/>
    </xf>
    <xf numFmtId="0" fontId="42" fillId="0" borderId="10" xfId="70" applyFont="1" applyFill="1" applyBorder="1" applyAlignment="1">
      <alignment horizontal="center" vertical="center" wrapText="1"/>
      <protection/>
    </xf>
    <xf numFmtId="0" fontId="42" fillId="0" borderId="122" xfId="70" applyFont="1" applyFill="1" applyBorder="1" applyAlignment="1">
      <alignment horizontal="center" vertical="center" wrapText="1"/>
      <protection/>
    </xf>
    <xf numFmtId="4" fontId="43" fillId="0" borderId="18" xfId="70" applyNumberFormat="1" applyFont="1" applyFill="1" applyBorder="1" applyAlignment="1">
      <alignment horizontal="center" vertical="center" wrapText="1"/>
      <protection/>
    </xf>
    <xf numFmtId="4" fontId="43" fillId="0" borderId="122" xfId="70" applyNumberFormat="1" applyFont="1" applyFill="1" applyBorder="1" applyAlignment="1">
      <alignment horizontal="center" vertical="center" wrapText="1"/>
      <protection/>
    </xf>
    <xf numFmtId="4" fontId="43" fillId="0" borderId="66" xfId="70" applyNumberFormat="1" applyFont="1" applyFill="1" applyBorder="1" applyAlignment="1">
      <alignment horizontal="center" vertical="center" wrapText="1"/>
      <protection/>
    </xf>
    <xf numFmtId="0" fontId="42" fillId="0" borderId="48" xfId="70" applyFont="1" applyFill="1" applyBorder="1" applyAlignment="1">
      <alignment horizontal="center" vertical="center" wrapText="1"/>
      <protection/>
    </xf>
    <xf numFmtId="0" fontId="42" fillId="0" borderId="11" xfId="70" applyFont="1" applyFill="1" applyBorder="1" applyAlignment="1">
      <alignment horizontal="center" vertical="center" wrapText="1"/>
      <protection/>
    </xf>
    <xf numFmtId="0" fontId="44" fillId="0" borderId="59" xfId="70" applyFont="1" applyFill="1" applyBorder="1" applyAlignment="1">
      <alignment horizontal="center" vertical="center" wrapText="1"/>
      <protection/>
    </xf>
    <xf numFmtId="0" fontId="44" fillId="0" borderId="17" xfId="70" applyFont="1" applyFill="1" applyBorder="1" applyAlignment="1">
      <alignment horizontal="center" vertical="center" wrapText="1"/>
      <protection/>
    </xf>
    <xf numFmtId="0" fontId="44" fillId="0" borderId="12" xfId="70" applyFont="1" applyFill="1" applyBorder="1" applyAlignment="1">
      <alignment horizontal="center" vertical="center" wrapText="1"/>
      <protection/>
    </xf>
    <xf numFmtId="0" fontId="42" fillId="0" borderId="59" xfId="70" applyFont="1" applyFill="1" applyBorder="1" applyAlignment="1">
      <alignment horizontal="center" vertical="center" wrapText="1"/>
      <protection/>
    </xf>
    <xf numFmtId="0" fontId="43" fillId="0" borderId="60" xfId="70" applyNumberFormat="1" applyFont="1" applyBorder="1" applyAlignment="1" applyProtection="1">
      <alignment horizontal="center" vertical="center"/>
      <protection locked="0"/>
    </xf>
    <xf numFmtId="0" fontId="42" fillId="0" borderId="12" xfId="70" applyFont="1" applyFill="1" applyBorder="1" applyAlignment="1">
      <alignment horizontal="center" vertical="center" wrapText="1"/>
      <protection/>
    </xf>
    <xf numFmtId="0" fontId="43" fillId="0" borderId="122" xfId="70" applyNumberFormat="1" applyFont="1" applyBorder="1" applyAlignment="1" applyProtection="1">
      <alignment horizontal="center" vertical="center"/>
      <protection locked="0"/>
    </xf>
    <xf numFmtId="4" fontId="43" fillId="0" borderId="17" xfId="70" applyNumberFormat="1" applyFont="1" applyFill="1" applyBorder="1" applyAlignment="1">
      <alignment horizontal="center" vertical="center" wrapText="1"/>
      <protection/>
    </xf>
    <xf numFmtId="0" fontId="43" fillId="0" borderId="45" xfId="70" applyNumberFormat="1" applyFont="1" applyBorder="1" applyAlignment="1" applyProtection="1">
      <alignment horizontal="center" vertical="center"/>
      <protection locked="0"/>
    </xf>
    <xf numFmtId="0" fontId="43" fillId="0" borderId="47" xfId="70" applyNumberFormat="1" applyFont="1" applyBorder="1" applyAlignment="1" applyProtection="1">
      <alignment horizontal="center" vertical="center"/>
      <protection locked="0"/>
    </xf>
    <xf numFmtId="0" fontId="43" fillId="0" borderId="18" xfId="70" applyNumberFormat="1" applyFont="1" applyFill="1" applyBorder="1" applyAlignment="1">
      <alignment horizontal="center" vertical="center" wrapText="1"/>
      <protection/>
    </xf>
    <xf numFmtId="0" fontId="43" fillId="0" borderId="66" xfId="70" applyNumberFormat="1" applyFont="1" applyFill="1" applyBorder="1" applyAlignment="1">
      <alignment horizontal="center" vertical="center" wrapText="1"/>
      <protection/>
    </xf>
    <xf numFmtId="0" fontId="43" fillId="0" borderId="62" xfId="70" applyNumberFormat="1" applyFont="1" applyFill="1" applyBorder="1" applyAlignment="1">
      <alignment horizontal="center" vertical="center" wrapText="1"/>
      <protection/>
    </xf>
    <xf numFmtId="0" fontId="43" fillId="0" borderId="24" xfId="70" applyNumberFormat="1" applyFont="1" applyFill="1" applyBorder="1" applyAlignment="1">
      <alignment horizontal="center" vertical="center" wrapText="1"/>
      <protection/>
    </xf>
    <xf numFmtId="0" fontId="42" fillId="0" borderId="62" xfId="70" applyFont="1" applyFill="1" applyBorder="1" applyAlignment="1">
      <alignment horizontal="center" vertical="center" wrapText="1"/>
      <protection/>
    </xf>
    <xf numFmtId="0" fontId="42" fillId="0" borderId="24" xfId="70" applyFont="1" applyFill="1" applyBorder="1" applyAlignment="1">
      <alignment horizontal="center" vertical="center" wrapText="1"/>
      <protection/>
    </xf>
    <xf numFmtId="0" fontId="42" fillId="0" borderId="110" xfId="70" applyFont="1" applyFill="1" applyBorder="1" applyAlignment="1">
      <alignment horizontal="center" vertical="center" wrapText="1"/>
      <protection/>
    </xf>
    <xf numFmtId="0" fontId="42" fillId="0" borderId="29" xfId="70" applyFont="1" applyFill="1" applyBorder="1" applyAlignment="1">
      <alignment horizontal="center" vertical="center" wrapText="1"/>
      <protection/>
    </xf>
    <xf numFmtId="0" fontId="8" fillId="25" borderId="109" xfId="64" applyFont="1" applyFill="1" applyBorder="1" applyAlignment="1">
      <alignment horizontal="center" vertical="center" wrapText="1"/>
      <protection/>
    </xf>
    <xf numFmtId="0" fontId="8" fillId="25" borderId="124" xfId="64" applyFont="1" applyFill="1" applyBorder="1" applyAlignment="1">
      <alignment horizontal="center" vertical="center" wrapText="1"/>
      <protection/>
    </xf>
    <xf numFmtId="0" fontId="8" fillId="25" borderId="83" xfId="64" applyFont="1" applyFill="1" applyBorder="1" applyAlignment="1">
      <alignment horizontal="center" vertical="center" wrapText="1"/>
      <protection/>
    </xf>
    <xf numFmtId="2" fontId="9" fillId="8" borderId="23" xfId="64" applyNumberFormat="1" applyFont="1" applyFill="1" applyBorder="1" applyAlignment="1">
      <alignment horizontal="left" vertical="center" wrapText="1"/>
      <protection/>
    </xf>
    <xf numFmtId="2" fontId="9" fillId="8" borderId="108" xfId="64" applyNumberFormat="1" applyFont="1" applyFill="1" applyBorder="1" applyAlignment="1">
      <alignment horizontal="left" vertical="center" wrapText="1"/>
      <protection/>
    </xf>
    <xf numFmtId="2" fontId="9" fillId="8" borderId="24" xfId="64" applyNumberFormat="1" applyFont="1" applyFill="1" applyBorder="1" applyAlignment="1">
      <alignment horizontal="left" vertical="center" wrapText="1"/>
      <protection/>
    </xf>
    <xf numFmtId="0" fontId="1" fillId="0" borderId="45" xfId="59" applyFont="1" applyBorder="1" applyAlignment="1">
      <alignment horizontal="center"/>
      <protection/>
    </xf>
    <xf numFmtId="0" fontId="1" fillId="0" borderId="46" xfId="59" applyFont="1" applyBorder="1" applyAlignment="1">
      <alignment horizontal="center"/>
      <protection/>
    </xf>
    <xf numFmtId="0" fontId="1" fillId="0" borderId="47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/>
      <protection/>
    </xf>
    <xf numFmtId="0" fontId="1" fillId="0" borderId="17" xfId="59" applyFont="1" applyBorder="1" applyAlignment="1">
      <alignment horizontal="center"/>
      <protection/>
    </xf>
    <xf numFmtId="0" fontId="3" fillId="0" borderId="63" xfId="59" applyFont="1" applyBorder="1" applyAlignment="1">
      <alignment horizontal="center"/>
      <protection/>
    </xf>
    <xf numFmtId="0" fontId="3" fillId="0" borderId="84" xfId="59" applyFont="1" applyBorder="1" applyAlignment="1">
      <alignment horizontal="center"/>
      <protection/>
    </xf>
    <xf numFmtId="0" fontId="42" fillId="0" borderId="65" xfId="70" applyFont="1" applyFill="1" applyBorder="1" applyAlignment="1">
      <alignment horizontal="center" vertical="center" wrapText="1"/>
      <protection/>
    </xf>
    <xf numFmtId="0" fontId="42" fillId="0" borderId="14" xfId="70" applyFont="1" applyFill="1" applyBorder="1" applyAlignment="1">
      <alignment horizontal="center" vertical="center" wrapText="1"/>
      <protection/>
    </xf>
    <xf numFmtId="0" fontId="42" fillId="0" borderId="64" xfId="70" applyFont="1" applyFill="1" applyBorder="1" applyAlignment="1">
      <alignment horizontal="center" vertical="center" wrapText="1"/>
      <protection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108" xfId="0" applyFont="1" applyBorder="1" applyAlignment="1">
      <alignment vertical="center" wrapText="1"/>
    </xf>
    <xf numFmtId="0" fontId="43" fillId="0" borderId="133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88" xfId="0" applyFont="1" applyBorder="1" applyAlignment="1">
      <alignment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32" fillId="8" borderId="134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22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2" fontId="47" fillId="0" borderId="45" xfId="63" applyNumberFormat="1" applyFont="1" applyFill="1" applyBorder="1" applyAlignment="1">
      <alignment horizontal="center" vertical="center"/>
      <protection/>
    </xf>
    <xf numFmtId="2" fontId="47" fillId="0" borderId="46" xfId="63" applyNumberFormat="1" applyFont="1" applyFill="1" applyBorder="1" applyAlignment="1">
      <alignment horizontal="center" vertical="center"/>
      <protection/>
    </xf>
    <xf numFmtId="2" fontId="47" fillId="0" borderId="47" xfId="6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10" xfId="0" applyFont="1" applyFill="1" applyBorder="1" applyAlignment="1" applyProtection="1">
      <alignment horizontal="center" vertical="center"/>
      <protection locked="0"/>
    </xf>
    <xf numFmtId="0" fontId="42" fillId="0" borderId="88" xfId="0" applyFont="1" applyFill="1" applyBorder="1" applyAlignment="1" applyProtection="1">
      <alignment horizontal="center" vertical="center"/>
      <protection locked="0"/>
    </xf>
    <xf numFmtId="0" fontId="42" fillId="25" borderId="135" xfId="63" applyFont="1" applyFill="1" applyBorder="1" applyAlignment="1">
      <alignment horizontal="center" vertical="center" wrapText="1"/>
      <protection/>
    </xf>
    <xf numFmtId="0" fontId="42" fillId="25" borderId="136" xfId="63" applyFont="1" applyFill="1" applyBorder="1" applyAlignment="1">
      <alignment horizontal="center" vertical="center" wrapText="1"/>
      <protection/>
    </xf>
    <xf numFmtId="0" fontId="42" fillId="25" borderId="137" xfId="63" applyFont="1" applyFill="1" applyBorder="1" applyAlignment="1">
      <alignment horizontal="center" vertical="center" wrapText="1"/>
      <protection/>
    </xf>
    <xf numFmtId="2" fontId="47" fillId="8" borderId="85" xfId="63" applyNumberFormat="1" applyFont="1" applyFill="1" applyBorder="1" applyAlignment="1">
      <alignment horizontal="center" vertical="center" wrapText="1"/>
      <protection/>
    </xf>
    <xf numFmtId="0" fontId="43" fillId="0" borderId="122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85" xfId="63" applyNumberFormat="1" applyFont="1" applyFill="1" applyBorder="1" applyAlignment="1">
      <alignment horizontal="center" vertical="center"/>
      <protection/>
    </xf>
    <xf numFmtId="2" fontId="47" fillId="0" borderId="122" xfId="63" applyNumberFormat="1" applyFont="1" applyFill="1" applyBorder="1" applyAlignment="1">
      <alignment horizontal="center" vertical="center"/>
      <protection/>
    </xf>
    <xf numFmtId="2" fontId="47" fillId="0" borderId="138" xfId="63" applyNumberFormat="1" applyFont="1" applyFill="1" applyBorder="1" applyAlignment="1">
      <alignment horizontal="center" vertical="center"/>
      <protection/>
    </xf>
    <xf numFmtId="0" fontId="42" fillId="0" borderId="85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8" xfId="0" applyFont="1" applyFill="1" applyBorder="1" applyAlignment="1" applyProtection="1">
      <alignment horizontal="center" vertical="center"/>
      <protection locked="0"/>
    </xf>
    <xf numFmtId="2" fontId="47" fillId="8" borderId="10" xfId="63" applyNumberFormat="1" applyFont="1" applyFill="1" applyBorder="1" applyAlignment="1">
      <alignment horizontal="center" vertical="center" wrapText="1"/>
      <protection/>
    </xf>
    <xf numFmtId="2" fontId="47" fillId="8" borderId="122" xfId="63" applyNumberFormat="1" applyFont="1" applyFill="1" applyBorder="1" applyAlignment="1">
      <alignment horizontal="center" vertical="center" wrapText="1"/>
      <protection/>
    </xf>
    <xf numFmtId="2" fontId="47" fillId="8" borderId="66" xfId="63" applyNumberFormat="1" applyFont="1" applyFill="1" applyBorder="1" applyAlignment="1">
      <alignment horizontal="center" vertical="center" wrapText="1"/>
      <protection/>
    </xf>
    <xf numFmtId="2" fontId="47" fillId="0" borderId="10" xfId="63" applyNumberFormat="1" applyFont="1" applyFill="1" applyBorder="1" applyAlignment="1">
      <alignment horizontal="center" vertical="center"/>
      <protection/>
    </xf>
    <xf numFmtId="0" fontId="43" fillId="0" borderId="122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43" fillId="8" borderId="120" xfId="0" applyNumberFormat="1" applyFont="1" applyFill="1" applyBorder="1" applyAlignment="1">
      <alignment horizontal="center" vertical="center"/>
    </xf>
    <xf numFmtId="177" fontId="42" fillId="8" borderId="13" xfId="68" applyNumberFormat="1" applyFont="1" applyFill="1" applyBorder="1" applyAlignment="1" applyProtection="1">
      <alignment horizontal="center" vertical="center" wrapText="1"/>
      <protection/>
    </xf>
    <xf numFmtId="177" fontId="43" fillId="8" borderId="20" xfId="68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9" xfId="0" applyNumberFormat="1" applyFont="1" applyFill="1" applyBorder="1" applyAlignment="1" applyProtection="1">
      <alignment horizontal="center" vertical="center"/>
      <protection/>
    </xf>
    <xf numFmtId="177" fontId="43" fillId="8" borderId="140" xfId="0" applyNumberFormat="1" applyFont="1" applyFill="1" applyBorder="1" applyAlignment="1">
      <alignment horizontal="center" vertical="center"/>
    </xf>
    <xf numFmtId="177" fontId="42" fillId="8" borderId="89" xfId="68" applyNumberFormat="1" applyFont="1" applyFill="1" applyBorder="1" applyAlignment="1" applyProtection="1">
      <alignment horizontal="center" vertical="center" wrapText="1"/>
      <protection/>
    </xf>
    <xf numFmtId="177" fontId="43" fillId="8" borderId="70" xfId="68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1CF-94 (2)" xfId="62"/>
    <cellStyle name="Normal_AGBOD-94" xfId="63"/>
    <cellStyle name="Normal_AGBOD-94 2" xfId="64"/>
    <cellStyle name="Normal_AGBOD-94_Modelos PIAF 2014 (flujo+inversiones+deuda)" xfId="65"/>
    <cellStyle name="Normal_AGBOD-94_PLANTILLAS EPEL+INTEGRA+MAYORITARIA" xfId="66"/>
    <cellStyle name="Normal_ANEXO III Y IV MAQUETADO" xfId="67"/>
    <cellStyle name="Normal_CONSOLIDADO-2002" xfId="68"/>
    <cellStyle name="Normal_CS-96" xfId="69"/>
    <cellStyle name="Normal_CS-96_PAIF EMPRESAS PARA ENVIAR" xfId="70"/>
    <cellStyle name="Normal_PF1-INV" xfId="71"/>
    <cellStyle name="Normal_PF1-INV_1. CASINO TAORO PAIF 2009" xfId="72"/>
    <cellStyle name="Normal_PYG96" xfId="73"/>
    <cellStyle name="Normal_PYG96_Modelos PIAF 2014 (flujo+inversiones+deuda)" xfId="74"/>
    <cellStyle name="Notas" xfId="75"/>
    <cellStyle name="Notas 2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  <cellStyle name="Währung" xfId="86"/>
    <cellStyle name="Währung 2" xfId="8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285750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742950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666750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19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809625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676275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107</xdr:row>
      <xdr:rowOff>85725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801302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962025</xdr:colOff>
      <xdr:row>7</xdr:row>
      <xdr:rowOff>57150</xdr:rowOff>
    </xdr:from>
    <xdr:to>
      <xdr:col>0</xdr:col>
      <xdr:colOff>1200150</xdr:colOff>
      <xdr:row>7</xdr:row>
      <xdr:rowOff>285750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573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7</xdr:row>
      <xdr:rowOff>57150</xdr:rowOff>
    </xdr:from>
    <xdr:to>
      <xdr:col>0</xdr:col>
      <xdr:colOff>1200150</xdr:colOff>
      <xdr:row>7</xdr:row>
      <xdr:rowOff>285750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6573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7</xdr:row>
      <xdr:rowOff>85725</xdr:rowOff>
    </xdr:from>
    <xdr:to>
      <xdr:col>0</xdr:col>
      <xdr:colOff>1200150</xdr:colOff>
      <xdr:row>7</xdr:row>
      <xdr:rowOff>314325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6859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7</xdr:row>
      <xdr:rowOff>85725</xdr:rowOff>
    </xdr:from>
    <xdr:to>
      <xdr:col>0</xdr:col>
      <xdr:colOff>1200150</xdr:colOff>
      <xdr:row>7</xdr:row>
      <xdr:rowOff>314325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6859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742950</xdr:colOff>
      <xdr:row>2</xdr:row>
      <xdr:rowOff>114300</xdr:rowOff>
    </xdr:to>
    <xdr:pic>
      <xdr:nvPicPr>
        <xdr:cNvPr id="6" name="Picture 1" descr="Cabildo de Tenerif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714375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139</v>
      </c>
      <c r="C1" s="15"/>
    </row>
    <row r="2" spans="1:3" s="4" customFormat="1" ht="12.75">
      <c r="A2" s="4" t="s">
        <v>138</v>
      </c>
      <c r="C2" s="15"/>
    </row>
    <row r="3" ht="12.75"/>
    <row r="4" ht="12.75"/>
    <row r="5" spans="1:4" ht="12.75">
      <c r="A5" s="1031" t="e">
        <f>CPYG!#REF!</f>
        <v>#REF!</v>
      </c>
      <c r="B5" s="1031"/>
      <c r="C5" s="1031"/>
      <c r="D5" s="1031"/>
    </row>
    <row r="6" ht="12.75"/>
    <row r="7" ht="13.5" thickBot="1"/>
    <row r="8" spans="1:3" ht="12.75">
      <c r="A8" s="1032" t="s">
        <v>101</v>
      </c>
      <c r="B8" s="1033"/>
      <c r="C8" s="1041" t="s">
        <v>102</v>
      </c>
    </row>
    <row r="9" spans="1:3" ht="12.75">
      <c r="A9" s="1034"/>
      <c r="B9" s="1035"/>
      <c r="C9" s="1042"/>
    </row>
    <row r="10" spans="1:3" ht="12.75">
      <c r="A10" s="1034"/>
      <c r="B10" s="1035"/>
      <c r="C10" s="1042"/>
    </row>
    <row r="11" spans="1:3" ht="12.75">
      <c r="A11" s="1036"/>
      <c r="B11" s="1037"/>
      <c r="C11" s="1043"/>
    </row>
    <row r="12" spans="1:3" ht="12.75">
      <c r="A12" s="50"/>
      <c r="B12" s="51"/>
      <c r="C12" s="52"/>
    </row>
    <row r="13" spans="1:3" ht="12.75">
      <c r="A13" s="53" t="s">
        <v>103</v>
      </c>
      <c r="B13" s="54" t="s">
        <v>190</v>
      </c>
      <c r="C13" s="55">
        <v>0</v>
      </c>
    </row>
    <row r="14" spans="1:10" ht="12.75" customHeight="1">
      <c r="A14" s="53" t="s">
        <v>104</v>
      </c>
      <c r="B14" s="54" t="s">
        <v>191</v>
      </c>
      <c r="C14" s="55">
        <v>0</v>
      </c>
      <c r="F14" s="1030" t="s">
        <v>141</v>
      </c>
      <c r="G14" s="1030"/>
      <c r="H14" s="1030"/>
      <c r="I14" s="1030"/>
      <c r="J14" s="107"/>
    </row>
    <row r="15" spans="1:10" ht="12.75">
      <c r="A15" s="53" t="s">
        <v>105</v>
      </c>
      <c r="B15" s="54" t="s">
        <v>192</v>
      </c>
      <c r="C15" s="55">
        <f>CPYG!D12</f>
        <v>54674549.7</v>
      </c>
      <c r="F15" s="1030"/>
      <c r="G15" s="1030"/>
      <c r="H15" s="1030"/>
      <c r="I15" s="1030"/>
      <c r="J15" s="107"/>
    </row>
    <row r="16" spans="1:10" ht="12.75">
      <c r="A16" s="53" t="s">
        <v>106</v>
      </c>
      <c r="B16" s="54" t="s">
        <v>193</v>
      </c>
      <c r="C16" s="55" t="e">
        <f>'No rellenar EP-5 '!E29+#REF!</f>
        <v>#REF!</v>
      </c>
      <c r="F16" s="1030"/>
      <c r="G16" s="1030"/>
      <c r="H16" s="1030"/>
      <c r="I16" s="1030"/>
      <c r="J16" s="107"/>
    </row>
    <row r="17" spans="1:9" ht="12.75">
      <c r="A17" s="53" t="s">
        <v>107</v>
      </c>
      <c r="B17" s="54" t="s">
        <v>194</v>
      </c>
      <c r="C17" s="55">
        <f>CPYG!D34+CPYG!D84+CPYG!D80</f>
        <v>30662297.722999997</v>
      </c>
      <c r="F17" s="1030"/>
      <c r="G17" s="1030"/>
      <c r="H17" s="1030"/>
      <c r="I17" s="1030"/>
    </row>
    <row r="18" spans="1:9" ht="12.75">
      <c r="A18" s="56"/>
      <c r="B18" s="57"/>
      <c r="C18" s="58"/>
      <c r="F18" s="1030"/>
      <c r="G18" s="1030"/>
      <c r="H18" s="1030"/>
      <c r="I18" s="1030"/>
    </row>
    <row r="19" spans="1:9" ht="12.75">
      <c r="A19" s="92" t="s">
        <v>108</v>
      </c>
      <c r="B19" s="93"/>
      <c r="C19" s="94" t="e">
        <f>SUM(C13:C17)</f>
        <v>#REF!</v>
      </c>
      <c r="F19" s="1030"/>
      <c r="G19" s="1030"/>
      <c r="H19" s="1030"/>
      <c r="I19" s="1030"/>
    </row>
    <row r="20" spans="1:9" ht="12.75">
      <c r="A20" s="59"/>
      <c r="B20" s="60"/>
      <c r="C20" s="61"/>
      <c r="F20" s="1030"/>
      <c r="G20" s="1030"/>
      <c r="H20" s="1030"/>
      <c r="I20" s="1030"/>
    </row>
    <row r="21" spans="1:9" ht="12.75">
      <c r="A21" s="56"/>
      <c r="B21" s="57"/>
      <c r="C21" s="58"/>
      <c r="F21" s="1030"/>
      <c r="G21" s="1030"/>
      <c r="H21" s="1030"/>
      <c r="I21" s="1030"/>
    </row>
    <row r="22" spans="1:9" ht="12.75">
      <c r="A22" s="53" t="s">
        <v>109</v>
      </c>
      <c r="B22" s="54" t="s">
        <v>195</v>
      </c>
      <c r="C22" s="58">
        <f>'Inv. NO FIN'!H23+'Inv. NO FIN'!H24+'Inv. NO FIN'!H25+'Inv. NO FIN'!H26</f>
        <v>0</v>
      </c>
      <c r="F22" s="1030"/>
      <c r="G22" s="1030"/>
      <c r="H22" s="1030"/>
      <c r="I22" s="1030"/>
    </row>
    <row r="23" spans="1:9" ht="12.75">
      <c r="A23" s="53" t="s">
        <v>110</v>
      </c>
      <c r="B23" s="54" t="s">
        <v>196</v>
      </c>
      <c r="C23" s="58" t="e">
        <f>'Transf. y subv.'!E20+'Transf. y subv.'!#REF!</f>
        <v>#REF!</v>
      </c>
      <c r="F23" s="1030"/>
      <c r="G23" s="1030"/>
      <c r="H23" s="1030"/>
      <c r="I23" s="1030"/>
    </row>
    <row r="24" spans="1:3" ht="12.75">
      <c r="A24" s="56"/>
      <c r="B24" s="57"/>
      <c r="C24" s="58"/>
    </row>
    <row r="25" spans="1:3" ht="12.75">
      <c r="A25" s="92" t="s">
        <v>111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112</v>
      </c>
      <c r="B28" s="54" t="s">
        <v>197</v>
      </c>
      <c r="C28" s="55">
        <f>'Inv. FIN'!E45</f>
        <v>0</v>
      </c>
    </row>
    <row r="29" spans="1:3" ht="12.75">
      <c r="A29" s="53" t="s">
        <v>113</v>
      </c>
      <c r="B29" s="54" t="s">
        <v>198</v>
      </c>
      <c r="C29" s="55">
        <f>'Deuda L.P.'!I29</f>
        <v>700464.79</v>
      </c>
    </row>
    <row r="30" spans="1:3" ht="12.75">
      <c r="A30" s="56"/>
      <c r="B30" s="57"/>
      <c r="C30" s="58"/>
    </row>
    <row r="31" spans="1:3" ht="12.75">
      <c r="A31" s="92" t="s">
        <v>114</v>
      </c>
      <c r="B31" s="93"/>
      <c r="C31" s="95">
        <f>SUM(C28:C29)</f>
        <v>700464.79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115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1026" t="s">
        <v>116</v>
      </c>
      <c r="C38" s="1044">
        <f>CPYG!D99</f>
        <v>0</v>
      </c>
    </row>
    <row r="39" spans="1:3" ht="13.5" thickBot="1">
      <c r="A39" s="77"/>
      <c r="B39" s="1027"/>
      <c r="C39" s="1045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115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1032" t="s">
        <v>101</v>
      </c>
      <c r="B49" s="1033"/>
      <c r="C49" s="1038" t="s">
        <v>102</v>
      </c>
    </row>
    <row r="50" spans="1:3" ht="12.75">
      <c r="A50" s="1034"/>
      <c r="B50" s="1035"/>
      <c r="C50" s="1039"/>
    </row>
    <row r="51" spans="1:3" ht="12.75">
      <c r="A51" s="1034"/>
      <c r="B51" s="1035"/>
      <c r="C51" s="1039"/>
    </row>
    <row r="52" spans="1:3" ht="12.75">
      <c r="A52" s="1036"/>
      <c r="B52" s="1037"/>
      <c r="C52" s="1040"/>
    </row>
    <row r="53" spans="1:3" ht="12.75">
      <c r="A53" s="62"/>
      <c r="B53" s="51"/>
      <c r="C53" s="64"/>
    </row>
    <row r="54" spans="1:3" ht="12.75">
      <c r="A54" s="53" t="s">
        <v>103</v>
      </c>
      <c r="B54" s="82" t="s">
        <v>117</v>
      </c>
      <c r="C54" s="83">
        <f>-CPYG!D46</f>
        <v>54556647.66</v>
      </c>
    </row>
    <row r="55" spans="1:3" ht="12.75">
      <c r="A55" s="53" t="s">
        <v>104</v>
      </c>
      <c r="B55" s="82" t="s">
        <v>118</v>
      </c>
      <c r="C55" s="83">
        <f>-CPYG!D29-CPYG!D55+CPYG!D58-CPYG!D108</f>
        <v>30021678.36</v>
      </c>
    </row>
    <row r="56" spans="1:3" ht="12.75">
      <c r="A56" s="53" t="s">
        <v>105</v>
      </c>
      <c r="B56" s="82" t="s">
        <v>469</v>
      </c>
      <c r="C56" s="83">
        <f>-CPYG!D92</f>
        <v>313099.8</v>
      </c>
    </row>
    <row r="57" spans="1:3" ht="12.75">
      <c r="A57" s="53" t="s">
        <v>106</v>
      </c>
      <c r="B57" s="82" t="s">
        <v>119</v>
      </c>
      <c r="C57" s="83"/>
    </row>
    <row r="58" spans="1:3" ht="12.75">
      <c r="A58" s="62"/>
      <c r="B58" s="63"/>
      <c r="C58" s="83"/>
    </row>
    <row r="59" spans="1:6" ht="12.75">
      <c r="A59" s="92" t="s">
        <v>120</v>
      </c>
      <c r="B59" s="93"/>
      <c r="C59" s="95">
        <f>SUM(C54:C58)</f>
        <v>84891425.82</v>
      </c>
      <c r="E59" s="37" t="e">
        <f>C19-C59</f>
        <v>#REF!</v>
      </c>
      <c r="F59" s="2" t="s">
        <v>121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109</v>
      </c>
      <c r="B62" s="82" t="s">
        <v>122</v>
      </c>
      <c r="C62" s="83">
        <f>'Inv. NO FIN'!C23+'Inv. NO FIN'!C24+'Inv. NO FIN'!C25+'Inv. NO FIN'!C26</f>
        <v>1287824.8</v>
      </c>
      <c r="E62" s="2" t="e">
        <f>-#REF!</f>
        <v>#REF!</v>
      </c>
    </row>
    <row r="63" spans="1:7" ht="12.75">
      <c r="A63" s="53" t="s">
        <v>110</v>
      </c>
      <c r="B63" s="82" t="s">
        <v>123</v>
      </c>
      <c r="C63" s="83"/>
      <c r="E63" s="37" t="e">
        <f>SUM(E59:E62)</f>
        <v>#REF!</v>
      </c>
      <c r="F63" s="2">
        <f>CPYG!D112</f>
        <v>21375.782999999683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124</v>
      </c>
      <c r="B65" s="93"/>
      <c r="C65" s="95">
        <f>SUM(C62:C63)</f>
        <v>1287824.8</v>
      </c>
      <c r="E65" s="37" t="e">
        <f>C25+C31-C65-C71</f>
        <v>#REF!</v>
      </c>
      <c r="F65" s="2" t="s">
        <v>125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112</v>
      </c>
      <c r="B68" s="82" t="s">
        <v>126</v>
      </c>
      <c r="C68" s="83">
        <f>'Inv. FIN'!G45</f>
        <v>0</v>
      </c>
    </row>
    <row r="69" spans="1:3" ht="12.75">
      <c r="A69" s="53" t="s">
        <v>113</v>
      </c>
      <c r="B69" s="82" t="s">
        <v>127</v>
      </c>
      <c r="C69" s="83"/>
    </row>
    <row r="70" spans="1:3" ht="12.75">
      <c r="A70" s="62"/>
      <c r="B70" s="63"/>
      <c r="C70" s="64"/>
    </row>
    <row r="71" spans="1:6" ht="12.75">
      <c r="A71" s="92" t="s">
        <v>128</v>
      </c>
      <c r="B71" s="93"/>
      <c r="C71" s="95">
        <f>SUM(C68:C69)</f>
        <v>0</v>
      </c>
      <c r="E71" s="37" t="e">
        <f>SUM(E59:E66)</f>
        <v>#REF!</v>
      </c>
      <c r="F71" s="2" t="s">
        <v>129</v>
      </c>
    </row>
    <row r="72" spans="1:3" ht="13.5" thickBot="1">
      <c r="A72" s="85"/>
      <c r="B72" s="86"/>
      <c r="C72" s="87"/>
    </row>
    <row r="73" spans="1:3" ht="13.5" thickTop="1">
      <c r="A73" s="1024"/>
      <c r="B73" s="1026" t="s">
        <v>130</v>
      </c>
      <c r="C73" s="1028" t="e">
        <f>#REF!+#REF!</f>
        <v>#REF!</v>
      </c>
    </row>
    <row r="74" spans="1:6" ht="13.5" thickBot="1">
      <c r="A74" s="1025"/>
      <c r="B74" s="1027"/>
      <c r="C74" s="1029"/>
      <c r="E74" s="37"/>
      <c r="F74" s="2" t="s">
        <v>470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131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1024"/>
      <c r="B80" s="1026" t="s">
        <v>132</v>
      </c>
      <c r="C80" s="1028" t="e">
        <f>-D97</f>
        <v>#REF!</v>
      </c>
      <c r="E80" s="37" t="e">
        <f>E71-E74</f>
        <v>#REF!</v>
      </c>
      <c r="F80" s="2" t="s">
        <v>932</v>
      </c>
    </row>
    <row r="81" spans="1:3" ht="13.5" thickBot="1">
      <c r="A81" s="1025"/>
      <c r="B81" s="1027"/>
      <c r="C81" s="1029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133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189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140</v>
      </c>
      <c r="C94" s="2"/>
      <c r="D94" s="38" t="e">
        <f>-#REF!</f>
        <v>#REF!</v>
      </c>
      <c r="E94" s="2" t="s">
        <v>134</v>
      </c>
    </row>
    <row r="95" spans="2:4" ht="12.75">
      <c r="B95" s="49" t="s">
        <v>135</v>
      </c>
      <c r="C95" s="2"/>
      <c r="D95" s="38"/>
    </row>
    <row r="96" spans="2:5" ht="12.75">
      <c r="B96" s="4" t="s">
        <v>136</v>
      </c>
      <c r="C96" s="2"/>
      <c r="D96" s="38" t="e">
        <f>#REF!+#REF!</f>
        <v>#REF!</v>
      </c>
      <c r="E96" s="2" t="s">
        <v>137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zoomScale="70" zoomScaleNormal="70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6.140625" style="223" bestFit="1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28.28125" style="223" bestFit="1" customWidth="1"/>
    <col min="11" max="11" width="21.57421875" style="223" customWidth="1"/>
    <col min="12" max="12" width="2.8515625" style="223" customWidth="1"/>
    <col min="13" max="13" width="16.00390625" style="911" hidden="1" customWidth="1"/>
    <col min="14" max="14" width="11.8515625" style="911" hidden="1" customWidth="1"/>
    <col min="15" max="15" width="0" style="911" hidden="1" customWidth="1"/>
    <col min="16" max="16" width="20.00390625" style="912" hidden="1" customWidth="1"/>
    <col min="17" max="17" width="20.00390625" style="911" hidden="1" customWidth="1"/>
    <col min="18" max="18" width="17.57421875" style="223" bestFit="1" customWidth="1"/>
    <col min="19" max="19" width="20.00390625" style="223" bestFit="1" customWidth="1"/>
    <col min="20" max="16384" width="11.421875" style="223" customWidth="1"/>
  </cols>
  <sheetData>
    <row r="1" spans="1:7" ht="15">
      <c r="A1" s="802"/>
      <c r="B1" s="802"/>
      <c r="C1" s="802"/>
      <c r="D1" s="803" t="s">
        <v>829</v>
      </c>
      <c r="E1" s="802"/>
      <c r="F1" s="802"/>
      <c r="G1" s="805"/>
    </row>
    <row r="2" spans="1:7" ht="14.25">
      <c r="A2" s="802"/>
      <c r="B2" s="802"/>
      <c r="C2" s="802"/>
      <c r="D2" s="804" t="s">
        <v>830</v>
      </c>
      <c r="E2" s="802"/>
      <c r="F2" s="802"/>
      <c r="G2" s="805"/>
    </row>
    <row r="3" spans="1:7" ht="14.25">
      <c r="A3" s="802"/>
      <c r="B3" s="804"/>
      <c r="C3" s="802"/>
      <c r="D3" s="802"/>
      <c r="E3" s="802"/>
      <c r="F3" s="802"/>
      <c r="G3" s="805"/>
    </row>
    <row r="4" spans="1:6" ht="15">
      <c r="A4" s="802" t="s">
        <v>678</v>
      </c>
      <c r="B4" s="802"/>
      <c r="C4" s="802"/>
      <c r="D4" s="807">
        <v>42339</v>
      </c>
      <c r="E4" s="802"/>
      <c r="F4" s="802"/>
    </row>
    <row r="5" spans="1:6" ht="15">
      <c r="A5" s="802" t="s">
        <v>828</v>
      </c>
      <c r="B5" s="802"/>
      <c r="C5" s="802"/>
      <c r="D5" s="806" t="s">
        <v>831</v>
      </c>
      <c r="E5" s="802"/>
      <c r="F5" s="802"/>
    </row>
    <row r="6" ht="13.5" thickBot="1"/>
    <row r="7" spans="1:11" ht="42" customHeight="1">
      <c r="A7" s="1093" t="s">
        <v>541</v>
      </c>
      <c r="B7" s="1094"/>
      <c r="C7" s="1094"/>
      <c r="D7" s="1094"/>
      <c r="E7" s="1094"/>
      <c r="F7" s="1094"/>
      <c r="G7" s="1094"/>
      <c r="H7" s="1094"/>
      <c r="I7" s="1094"/>
      <c r="J7" s="1095">
        <f>CPYG!D7</f>
        <v>2016</v>
      </c>
      <c r="K7" s="1096"/>
    </row>
    <row r="8" spans="1:11" ht="51" customHeight="1">
      <c r="A8" s="1106" t="str">
        <f>CPYG!A8</f>
        <v>TRANSPORTES INTERURBANOS DE TENERIFE, S.A.U.</v>
      </c>
      <c r="B8" s="1107"/>
      <c r="C8" s="1107"/>
      <c r="D8" s="1107"/>
      <c r="E8" s="1107"/>
      <c r="F8" s="1107"/>
      <c r="G8" s="1107"/>
      <c r="H8" s="1107"/>
      <c r="I8" s="1107"/>
      <c r="J8" s="1108" t="s">
        <v>529</v>
      </c>
      <c r="K8" s="1109"/>
    </row>
    <row r="9" spans="1:17" s="224" customFormat="1" ht="27" customHeight="1">
      <c r="A9" s="1097" t="s">
        <v>200</v>
      </c>
      <c r="B9" s="1098"/>
      <c r="C9" s="1098"/>
      <c r="D9" s="1098"/>
      <c r="E9" s="1098"/>
      <c r="F9" s="1098"/>
      <c r="G9" s="1098"/>
      <c r="H9" s="1098"/>
      <c r="I9" s="1098"/>
      <c r="J9" s="1098"/>
      <c r="K9" s="1099"/>
      <c r="M9" s="913"/>
      <c r="N9" s="913"/>
      <c r="O9" s="913"/>
      <c r="P9" s="914"/>
      <c r="Q9" s="913"/>
    </row>
    <row r="10" spans="1:11" ht="19.5" customHeight="1">
      <c r="A10" s="1103" t="s">
        <v>57</v>
      </c>
      <c r="B10" s="1104" t="s">
        <v>56</v>
      </c>
      <c r="C10" s="542"/>
      <c r="D10" s="1104"/>
      <c r="E10" s="1104"/>
      <c r="F10" s="1104"/>
      <c r="G10" s="1104"/>
      <c r="H10" s="1104"/>
      <c r="I10" s="1104"/>
      <c r="J10" s="1104" t="s">
        <v>717</v>
      </c>
      <c r="K10" s="1105" t="s">
        <v>791</v>
      </c>
    </row>
    <row r="11" spans="1:11" ht="64.5" customHeight="1">
      <c r="A11" s="1103"/>
      <c r="B11" s="1104"/>
      <c r="C11" s="542" t="s">
        <v>792</v>
      </c>
      <c r="D11" s="542" t="s">
        <v>920</v>
      </c>
      <c r="E11" s="542" t="s">
        <v>793</v>
      </c>
      <c r="F11" s="542" t="s">
        <v>90</v>
      </c>
      <c r="G11" s="542" t="s">
        <v>794</v>
      </c>
      <c r="H11" s="542" t="s">
        <v>795</v>
      </c>
      <c r="I11" s="542" t="s">
        <v>796</v>
      </c>
      <c r="J11" s="1104"/>
      <c r="K11" s="1105"/>
    </row>
    <row r="12" spans="1:11" ht="12.75">
      <c r="A12" s="1100"/>
      <c r="B12" s="1101"/>
      <c r="C12" s="1101"/>
      <c r="D12" s="1101"/>
      <c r="E12" s="1101"/>
      <c r="F12" s="1101"/>
      <c r="G12" s="1101"/>
      <c r="H12" s="1101"/>
      <c r="I12" s="1101"/>
      <c r="J12" s="1101"/>
      <c r="K12" s="1102"/>
    </row>
    <row r="13" spans="1:14" ht="33" customHeight="1">
      <c r="A13" s="543" t="s">
        <v>797</v>
      </c>
      <c r="B13" s="582">
        <v>59256.18</v>
      </c>
      <c r="C13" s="573">
        <v>19259.4</v>
      </c>
      <c r="D13" s="573"/>
      <c r="E13" s="573"/>
      <c r="F13" s="573">
        <v>-36271.23</v>
      </c>
      <c r="G13" s="573"/>
      <c r="H13" s="573"/>
      <c r="I13" s="573"/>
      <c r="J13" s="582">
        <f>SUM(B13:I13)</f>
        <v>42244.35</v>
      </c>
      <c r="K13" s="574"/>
      <c r="M13" s="915">
        <f>+ACTIVO!C12</f>
        <v>42244.35</v>
      </c>
      <c r="N13" s="915">
        <f aca="true" t="shared" si="0" ref="N13:N18">+J13-M13</f>
        <v>0</v>
      </c>
    </row>
    <row r="14" spans="1:19" ht="39" customHeight="1">
      <c r="A14" s="543" t="s">
        <v>387</v>
      </c>
      <c r="B14" s="582">
        <f>39461660.15-2291671.46</f>
        <v>37169988.69</v>
      </c>
      <c r="C14" s="573">
        <v>930632.6</v>
      </c>
      <c r="D14" s="573"/>
      <c r="E14" s="573"/>
      <c r="F14" s="573">
        <f>-5600646.76</f>
        <v>-5600646.76</v>
      </c>
      <c r="G14" s="573"/>
      <c r="H14" s="573">
        <v>-20941.3699999998</v>
      </c>
      <c r="I14" s="573"/>
      <c r="J14" s="582">
        <f>SUM(B14:I14)</f>
        <v>32479033.16</v>
      </c>
      <c r="K14" s="574"/>
      <c r="M14" s="915">
        <f>+ACTIVO!C20+ACTIVO!C19</f>
        <v>32479033.16</v>
      </c>
      <c r="N14" s="915">
        <f t="shared" si="0"/>
        <v>0</v>
      </c>
      <c r="Q14" s="912"/>
      <c r="R14" s="841"/>
      <c r="S14" s="841"/>
    </row>
    <row r="15" spans="1:19" ht="45" customHeight="1">
      <c r="A15" s="544" t="s">
        <v>798</v>
      </c>
      <c r="B15" s="582"/>
      <c r="C15" s="573"/>
      <c r="D15" s="573"/>
      <c r="E15" s="573"/>
      <c r="F15" s="573"/>
      <c r="G15" s="573"/>
      <c r="H15" s="573"/>
      <c r="I15" s="573"/>
      <c r="J15" s="582">
        <f>SUM(B15:I15)</f>
        <v>0</v>
      </c>
      <c r="K15" s="575"/>
      <c r="M15" s="915"/>
      <c r="N15" s="915">
        <f t="shared" si="0"/>
        <v>0</v>
      </c>
      <c r="Q15" s="912"/>
      <c r="R15" s="841"/>
      <c r="S15" s="842"/>
    </row>
    <row r="16" spans="1:19" ht="20.25" customHeight="1">
      <c r="A16" s="544" t="s">
        <v>799</v>
      </c>
      <c r="B16" s="582">
        <v>2291671.46</v>
      </c>
      <c r="C16" s="573"/>
      <c r="D16" s="573"/>
      <c r="E16" s="573"/>
      <c r="F16" s="573"/>
      <c r="G16" s="573"/>
      <c r="H16" s="573"/>
      <c r="I16" s="573"/>
      <c r="J16" s="582">
        <f>SUM(B16:I16)</f>
        <v>2291671.46</v>
      </c>
      <c r="K16" s="575"/>
      <c r="M16" s="916">
        <f>+ACTIVO!C18</f>
        <v>2291671.460000001</v>
      </c>
      <c r="N16" s="915">
        <f t="shared" si="0"/>
        <v>0</v>
      </c>
      <c r="Q16" s="912"/>
      <c r="R16" s="841"/>
      <c r="S16" s="841"/>
    </row>
    <row r="17" spans="1:17" s="225" customFormat="1" ht="23.25" customHeight="1">
      <c r="A17" s="544" t="s">
        <v>476</v>
      </c>
      <c r="B17" s="583">
        <f>SUM(B13:B16)</f>
        <v>39520916.33</v>
      </c>
      <c r="C17" s="583">
        <f aca="true" t="shared" si="1" ref="C17:J17">SUM(C13:C16)</f>
        <v>949892</v>
      </c>
      <c r="D17" s="583">
        <f t="shared" si="1"/>
        <v>0</v>
      </c>
      <c r="E17" s="583">
        <f t="shared" si="1"/>
        <v>0</v>
      </c>
      <c r="F17" s="583">
        <f t="shared" si="1"/>
        <v>-5636917.99</v>
      </c>
      <c r="G17" s="583">
        <f t="shared" si="1"/>
        <v>0</v>
      </c>
      <c r="H17" s="583">
        <f t="shared" si="1"/>
        <v>-20941.3699999998</v>
      </c>
      <c r="I17" s="583">
        <f t="shared" si="1"/>
        <v>0</v>
      </c>
      <c r="J17" s="583">
        <f t="shared" si="1"/>
        <v>34812948.97</v>
      </c>
      <c r="K17" s="576"/>
      <c r="M17" s="917">
        <f>+ACTIVO!C17+ACTIVO!C12</f>
        <v>34812948.970000006</v>
      </c>
      <c r="N17" s="915">
        <f t="shared" si="0"/>
        <v>0</v>
      </c>
      <c r="O17" s="918"/>
      <c r="P17" s="919"/>
      <c r="Q17" s="919"/>
    </row>
    <row r="18" spans="1:17" ht="20.25" customHeight="1">
      <c r="A18" s="544" t="s">
        <v>800</v>
      </c>
      <c r="B18" s="582">
        <f>ACTIVO!B35</f>
        <v>1727293.33</v>
      </c>
      <c r="C18" s="573">
        <f>15736074.96-100000</f>
        <v>15636074.96</v>
      </c>
      <c r="D18" s="573"/>
      <c r="E18" s="573"/>
      <c r="F18" s="573"/>
      <c r="G18" s="573"/>
      <c r="H18" s="573">
        <v>-15572598.69</v>
      </c>
      <c r="I18" s="573"/>
      <c r="J18" s="582">
        <f>SUM(B18:I18)</f>
        <v>1790769.5999999996</v>
      </c>
      <c r="K18" s="575"/>
      <c r="M18" s="916">
        <f>+ACTIVO!C35</f>
        <v>1790769.6</v>
      </c>
      <c r="N18" s="915">
        <f t="shared" si="0"/>
        <v>0</v>
      </c>
      <c r="P18" s="912">
        <f>+J18-B18</f>
        <v>63476.26999999955</v>
      </c>
      <c r="Q18" s="912"/>
    </row>
    <row r="19" spans="1:17" ht="26.25" customHeight="1">
      <c r="A19" s="545"/>
      <c r="B19" s="577"/>
      <c r="C19" s="577"/>
      <c r="D19" s="577"/>
      <c r="E19" s="577"/>
      <c r="F19" s="577"/>
      <c r="G19" s="577"/>
      <c r="H19" s="577"/>
      <c r="I19" s="577"/>
      <c r="J19" s="578"/>
      <c r="K19" s="579"/>
      <c r="Q19" s="912"/>
    </row>
    <row r="20" spans="1:11" ht="19.5" customHeight="1">
      <c r="A20" s="1103" t="s">
        <v>52</v>
      </c>
      <c r="B20" s="1104" t="s">
        <v>58</v>
      </c>
      <c r="C20" s="542"/>
      <c r="D20" s="1104"/>
      <c r="E20" s="1104"/>
      <c r="F20" s="1104"/>
      <c r="G20" s="1104"/>
      <c r="H20" s="1104"/>
      <c r="I20" s="1104"/>
      <c r="J20" s="1104" t="s">
        <v>59</v>
      </c>
      <c r="K20" s="1105" t="s">
        <v>791</v>
      </c>
    </row>
    <row r="21" spans="1:11" ht="63.75">
      <c r="A21" s="1103"/>
      <c r="B21" s="1104"/>
      <c r="C21" s="542" t="s">
        <v>792</v>
      </c>
      <c r="D21" s="542" t="s">
        <v>920</v>
      </c>
      <c r="E21" s="542" t="s">
        <v>793</v>
      </c>
      <c r="F21" s="542" t="s">
        <v>90</v>
      </c>
      <c r="G21" s="542" t="s">
        <v>794</v>
      </c>
      <c r="H21" s="542" t="s">
        <v>795</v>
      </c>
      <c r="I21" s="542" t="s">
        <v>796</v>
      </c>
      <c r="J21" s="1104"/>
      <c r="K21" s="1105"/>
    </row>
    <row r="22" spans="1:11" ht="12.75">
      <c r="A22" s="1100"/>
      <c r="B22" s="1101"/>
      <c r="C22" s="1101"/>
      <c r="D22" s="1101"/>
      <c r="E22" s="1101"/>
      <c r="F22" s="1101"/>
      <c r="G22" s="1101"/>
      <c r="H22" s="1101"/>
      <c r="I22" s="1101"/>
      <c r="J22" s="1101"/>
      <c r="K22" s="1102"/>
    </row>
    <row r="23" spans="1:14" ht="36.75" customHeight="1">
      <c r="A23" s="543" t="s">
        <v>797</v>
      </c>
      <c r="B23" s="582">
        <f>+J13</f>
        <v>42244.35</v>
      </c>
      <c r="C23" s="728"/>
      <c r="D23" s="728"/>
      <c r="E23" s="728"/>
      <c r="F23" s="728">
        <v>-38859.87</v>
      </c>
      <c r="G23" s="728"/>
      <c r="H23" s="728"/>
      <c r="I23" s="728"/>
      <c r="J23" s="582">
        <f>SUM(B23:I23)</f>
        <v>3384.479999999996</v>
      </c>
      <c r="K23" s="574"/>
      <c r="M23" s="915">
        <f>+ACTIVO!D14</f>
        <v>3384.48</v>
      </c>
      <c r="N23" s="915">
        <f>+J23-M23</f>
        <v>-4.092726157978177E-12</v>
      </c>
    </row>
    <row r="24" spans="1:14" ht="39" customHeight="1">
      <c r="A24" s="543" t="s">
        <v>387</v>
      </c>
      <c r="B24" s="582">
        <f>+J14</f>
        <v>32479033.16</v>
      </c>
      <c r="C24" s="728">
        <v>1287824.8</v>
      </c>
      <c r="D24" s="728"/>
      <c r="E24" s="728"/>
      <c r="F24" s="728">
        <v>-4515256.04</v>
      </c>
      <c r="G24" s="728"/>
      <c r="H24" s="728"/>
      <c r="I24" s="728"/>
      <c r="J24" s="582">
        <f>SUM(B24:I24)</f>
        <v>29251601.92</v>
      </c>
      <c r="K24" s="574"/>
      <c r="M24" s="915">
        <f>+ACTIVO!D20+ACTIVO!D19</f>
        <v>29251601.919999998</v>
      </c>
      <c r="N24" s="915">
        <f>+J24-M24</f>
        <v>0</v>
      </c>
    </row>
    <row r="25" spans="1:14" ht="38.25">
      <c r="A25" s="544" t="s">
        <v>798</v>
      </c>
      <c r="B25" s="582">
        <f>+J15</f>
        <v>0</v>
      </c>
      <c r="C25" s="728"/>
      <c r="D25" s="728"/>
      <c r="E25" s="728"/>
      <c r="F25" s="728"/>
      <c r="G25" s="728"/>
      <c r="H25" s="728"/>
      <c r="I25" s="728"/>
      <c r="J25" s="582">
        <f>SUM(B25:I25)</f>
        <v>0</v>
      </c>
      <c r="K25" s="575"/>
      <c r="N25" s="915"/>
    </row>
    <row r="26" spans="1:14" ht="21.75" customHeight="1">
      <c r="A26" s="544" t="s">
        <v>799</v>
      </c>
      <c r="B26" s="582">
        <f>+J16</f>
        <v>2291671.46</v>
      </c>
      <c r="C26" s="728"/>
      <c r="D26" s="728"/>
      <c r="E26" s="728"/>
      <c r="F26" s="728"/>
      <c r="G26" s="728"/>
      <c r="H26" s="728"/>
      <c r="I26" s="728"/>
      <c r="J26" s="582">
        <f>SUM(B26:I26)</f>
        <v>2291671.46</v>
      </c>
      <c r="K26" s="575"/>
      <c r="M26" s="915">
        <f>+ACTIVO!D18</f>
        <v>2291671.460000001</v>
      </c>
      <c r="N26" s="915">
        <f>+J26-M26</f>
        <v>0</v>
      </c>
    </row>
    <row r="27" spans="1:17" s="225" customFormat="1" ht="22.5" customHeight="1">
      <c r="A27" s="544" t="s">
        <v>476</v>
      </c>
      <c r="B27" s="583">
        <f aca="true" t="shared" si="2" ref="B27:H27">SUM(B23:B26)</f>
        <v>34812948.97</v>
      </c>
      <c r="C27" s="604">
        <f t="shared" si="2"/>
        <v>1287824.8</v>
      </c>
      <c r="D27" s="604">
        <f t="shared" si="2"/>
        <v>0</v>
      </c>
      <c r="E27" s="604">
        <f t="shared" si="2"/>
        <v>0</v>
      </c>
      <c r="F27" s="604">
        <f t="shared" si="2"/>
        <v>-4554115.91</v>
      </c>
      <c r="G27" s="604">
        <f t="shared" si="2"/>
        <v>0</v>
      </c>
      <c r="H27" s="604">
        <f t="shared" si="2"/>
        <v>0</v>
      </c>
      <c r="I27" s="604">
        <f>SUM(I23:I26)</f>
        <v>0</v>
      </c>
      <c r="J27" s="604">
        <f>SUM(J23:J26)</f>
        <v>31546657.860000003</v>
      </c>
      <c r="K27" s="580"/>
      <c r="M27" s="917">
        <f>+ACTIVO!D17+ACTIVO!D12</f>
        <v>31546657.86</v>
      </c>
      <c r="N27" s="915">
        <f>+J27-M27</f>
        <v>0</v>
      </c>
      <c r="O27" s="918"/>
      <c r="P27" s="919"/>
      <c r="Q27" s="918"/>
    </row>
    <row r="28" spans="1:16" ht="20.25" customHeight="1" thickBot="1">
      <c r="A28" s="546" t="s">
        <v>800</v>
      </c>
      <c r="B28" s="584">
        <f>+J18</f>
        <v>1790769.5999999996</v>
      </c>
      <c r="C28" s="729">
        <f>15066394.56+300000-10000</f>
        <v>15356394.56</v>
      </c>
      <c r="D28" s="729"/>
      <c r="E28" s="729"/>
      <c r="F28" s="729"/>
      <c r="G28" s="729"/>
      <c r="H28" s="729">
        <v>-15292734.56</v>
      </c>
      <c r="I28" s="729"/>
      <c r="J28" s="584">
        <f>SUM(B28:I28)</f>
        <v>1854429.5999999996</v>
      </c>
      <c r="K28" s="581"/>
      <c r="M28" s="916">
        <f>+ACTIVO!D35</f>
        <v>1854429.6</v>
      </c>
      <c r="N28" s="915">
        <f>+J28-M28</f>
        <v>0</v>
      </c>
      <c r="P28" s="912">
        <f>+J28-B28</f>
        <v>63660</v>
      </c>
    </row>
    <row r="30" spans="1:16" s="911" customFormat="1" ht="12.75" hidden="1">
      <c r="A30" s="920" t="s">
        <v>801</v>
      </c>
      <c r="B30" s="921"/>
      <c r="K30" s="915"/>
      <c r="P30" s="912"/>
    </row>
    <row r="31" spans="1:16" s="911" customFormat="1" ht="12.75" hidden="1">
      <c r="A31" s="1110" t="s">
        <v>802</v>
      </c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P31" s="912"/>
    </row>
    <row r="32" spans="1:16" s="911" customFormat="1" ht="12.75" hidden="1">
      <c r="A32" s="1110" t="s">
        <v>803</v>
      </c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P32" s="912"/>
    </row>
    <row r="33" spans="1:12" ht="12.75" hidden="1">
      <c r="A33" s="1110" t="s">
        <v>808</v>
      </c>
      <c r="B33" s="1110"/>
      <c r="C33" s="1110"/>
      <c r="D33" s="1110"/>
      <c r="E33" s="1110"/>
      <c r="F33" s="1110"/>
      <c r="G33" s="1110"/>
      <c r="H33" s="1110"/>
      <c r="I33" s="1110"/>
      <c r="J33" s="1110"/>
      <c r="K33" s="1110"/>
      <c r="L33" s="911"/>
    </row>
    <row r="34" spans="1:12" ht="12.75" hidden="1">
      <c r="A34" s="1110" t="s">
        <v>809</v>
      </c>
      <c r="B34" s="1110"/>
      <c r="C34" s="1110"/>
      <c r="D34" s="1110"/>
      <c r="E34" s="1110"/>
      <c r="F34" s="1110"/>
      <c r="G34" s="1110"/>
      <c r="H34" s="1110"/>
      <c r="I34" s="1110"/>
      <c r="J34" s="1110"/>
      <c r="K34" s="1110"/>
      <c r="L34" s="911"/>
    </row>
    <row r="35" spans="1:12" ht="12.75" hidden="1">
      <c r="A35" s="1110" t="s">
        <v>825</v>
      </c>
      <c r="B35" s="1110"/>
      <c r="C35" s="1110"/>
      <c r="D35" s="1110"/>
      <c r="E35" s="1110"/>
      <c r="F35" s="1110"/>
      <c r="G35" s="1110"/>
      <c r="H35" s="1110"/>
      <c r="I35" s="1110"/>
      <c r="J35" s="1110"/>
      <c r="K35" s="1110"/>
      <c r="L35" s="911"/>
    </row>
    <row r="36" spans="1:12" ht="12.75" hidden="1">
      <c r="A36" s="1110" t="s">
        <v>826</v>
      </c>
      <c r="B36" s="1110"/>
      <c r="C36" s="1110"/>
      <c r="D36" s="1110"/>
      <c r="E36" s="1110"/>
      <c r="F36" s="1110"/>
      <c r="G36" s="1110"/>
      <c r="H36" s="1110"/>
      <c r="I36" s="1110"/>
      <c r="J36" s="1110"/>
      <c r="K36" s="1110"/>
      <c r="L36" s="911"/>
    </row>
    <row r="37" spans="1:12" ht="12.75" hidden="1">
      <c r="A37" s="1110" t="s">
        <v>827</v>
      </c>
      <c r="B37" s="1110"/>
      <c r="C37" s="1110"/>
      <c r="D37" s="1110"/>
      <c r="E37" s="1110"/>
      <c r="F37" s="1110"/>
      <c r="G37" s="1110"/>
      <c r="H37" s="1110"/>
      <c r="I37" s="1110"/>
      <c r="J37" s="1110"/>
      <c r="K37" s="1110"/>
      <c r="L37" s="911"/>
    </row>
    <row r="38" spans="1:12" ht="12.75" hidden="1">
      <c r="A38" s="1110" t="s">
        <v>836</v>
      </c>
      <c r="B38" s="1110"/>
      <c r="C38" s="1110"/>
      <c r="D38" s="1110"/>
      <c r="E38" s="1110"/>
      <c r="F38" s="1110"/>
      <c r="G38" s="1110"/>
      <c r="H38" s="1110"/>
      <c r="I38" s="1110"/>
      <c r="J38" s="1110"/>
      <c r="K38" s="1110"/>
      <c r="L38" s="911"/>
    </row>
    <row r="39" spans="1:12" ht="12.75" hidden="1">
      <c r="A39" s="1110" t="s">
        <v>837</v>
      </c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911"/>
    </row>
    <row r="40" spans="1:12" ht="12.75" hidden="1">
      <c r="A40" s="1110" t="s">
        <v>839</v>
      </c>
      <c r="B40" s="1110"/>
      <c r="C40" s="1110"/>
      <c r="D40" s="1110"/>
      <c r="E40" s="1110"/>
      <c r="F40" s="1110"/>
      <c r="G40" s="1110"/>
      <c r="H40" s="1110"/>
      <c r="I40" s="1110"/>
      <c r="J40" s="1110"/>
      <c r="K40" s="1110"/>
      <c r="L40" s="911"/>
    </row>
    <row r="41" spans="1:12" ht="12.75" hidden="1">
      <c r="A41" s="911"/>
      <c r="B41" s="911"/>
      <c r="C41" s="911"/>
      <c r="D41" s="911"/>
      <c r="E41" s="911"/>
      <c r="F41" s="911"/>
      <c r="G41" s="911"/>
      <c r="H41" s="911"/>
      <c r="I41" s="911"/>
      <c r="J41" s="911"/>
      <c r="K41" s="911"/>
      <c r="L41" s="911"/>
    </row>
  </sheetData>
  <sheetProtection formatColumns="0" formatRows="0"/>
  <mergeCells count="27"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  <mergeCell ref="J8:K8"/>
    <mergeCell ref="A22:K22"/>
    <mergeCell ref="A31:K31"/>
    <mergeCell ref="A20:A21"/>
    <mergeCell ref="B20:B21"/>
    <mergeCell ref="D20:I20"/>
    <mergeCell ref="J20:J21"/>
    <mergeCell ref="K20:K21"/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</mergeCells>
  <printOptions horizontalCentered="1" verticalCentered="1"/>
  <pageMargins left="0.7480314960629921" right="0.2362204724409449" top="0.5511811023622047" bottom="0.8661417322834646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5">
      <c r="B1" s="802"/>
      <c r="C1" s="802"/>
      <c r="D1" s="803" t="s">
        <v>829</v>
      </c>
      <c r="E1" s="813"/>
      <c r="F1" s="805"/>
    </row>
    <row r="2" spans="2:6" ht="14.25">
      <c r="B2" s="802"/>
      <c r="C2" s="802"/>
      <c r="D2" s="804" t="s">
        <v>830</v>
      </c>
      <c r="E2" s="813"/>
      <c r="F2" s="805"/>
    </row>
    <row r="3" spans="2:6" ht="14.25">
      <c r="B3" s="802"/>
      <c r="C3" s="804"/>
      <c r="D3" s="802"/>
      <c r="E3" s="802"/>
      <c r="F3" s="805"/>
    </row>
    <row r="4" spans="2:6" ht="15">
      <c r="B4" s="802" t="s">
        <v>678</v>
      </c>
      <c r="C4" s="802"/>
      <c r="D4" s="807">
        <v>42339</v>
      </c>
      <c r="E4" s="813"/>
      <c r="F4" s="805"/>
    </row>
    <row r="5" spans="2:6" ht="15">
      <c r="B5" s="802" t="s">
        <v>828</v>
      </c>
      <c r="C5" s="802"/>
      <c r="D5" s="806" t="s">
        <v>831</v>
      </c>
      <c r="E5" s="813"/>
      <c r="F5" s="805"/>
    </row>
    <row r="6" ht="20.25" customHeight="1" thickBot="1"/>
    <row r="7" spans="1:12" s="223" customFormat="1" ht="42" customHeight="1" thickBot="1">
      <c r="A7" s="1143" t="s">
        <v>541</v>
      </c>
      <c r="B7" s="1144"/>
      <c r="C7" s="1144"/>
      <c r="D7" s="1144"/>
      <c r="E7" s="1144"/>
      <c r="F7" s="1144"/>
      <c r="G7" s="1144"/>
      <c r="H7" s="1144"/>
      <c r="I7" s="1144"/>
      <c r="J7" s="1145"/>
      <c r="K7" s="1151">
        <f>CPYG!D7</f>
        <v>2016</v>
      </c>
      <c r="L7" s="1152"/>
    </row>
    <row r="8" spans="1:12" ht="35.25" customHeight="1" thickBot="1">
      <c r="A8" s="1146" t="str">
        <f>CPYG!A8</f>
        <v>TRANSPORTES INTERURBANOS DE TENERIFE, S.A.U.</v>
      </c>
      <c r="B8" s="1147"/>
      <c r="C8" s="1147"/>
      <c r="D8" s="1147"/>
      <c r="E8" s="1147"/>
      <c r="F8" s="1147"/>
      <c r="G8" s="1147"/>
      <c r="H8" s="1147"/>
      <c r="I8" s="1147"/>
      <c r="J8" s="1148"/>
      <c r="K8" s="1149" t="s">
        <v>530</v>
      </c>
      <c r="L8" s="1150"/>
    </row>
    <row r="9" spans="1:12" ht="18" customHeight="1">
      <c r="A9" s="1129" t="s">
        <v>824</v>
      </c>
      <c r="B9" s="1130"/>
      <c r="C9" s="1130"/>
      <c r="D9" s="1130"/>
      <c r="E9" s="1130"/>
      <c r="F9" s="1130"/>
      <c r="G9" s="1130"/>
      <c r="H9" s="1130"/>
      <c r="I9" s="1130"/>
      <c r="J9" s="1130"/>
      <c r="K9" s="1130"/>
      <c r="L9" s="1131"/>
    </row>
    <row r="10" spans="1:12" s="228" customFormat="1" ht="22.5" customHeight="1">
      <c r="A10" s="1117" t="s">
        <v>534</v>
      </c>
      <c r="B10" s="1118"/>
      <c r="C10" s="1118"/>
      <c r="D10" s="1118"/>
      <c r="E10" s="1118"/>
      <c r="F10" s="1118"/>
      <c r="G10" s="1118"/>
      <c r="H10" s="1118"/>
      <c r="I10" s="1118"/>
      <c r="J10" s="1118"/>
      <c r="K10" s="1118"/>
      <c r="L10" s="1119"/>
    </row>
    <row r="11" spans="1:12" ht="25.5" customHeight="1">
      <c r="A11" s="1136" t="s">
        <v>921</v>
      </c>
      <c r="B11" s="1137"/>
      <c r="C11" s="1120" t="s">
        <v>922</v>
      </c>
      <c r="D11" s="1120" t="s">
        <v>60</v>
      </c>
      <c r="E11" s="1120" t="s">
        <v>923</v>
      </c>
      <c r="F11" s="1120"/>
      <c r="G11" s="1120" t="s">
        <v>924</v>
      </c>
      <c r="H11" s="1120"/>
      <c r="I11" s="1121" t="s">
        <v>61</v>
      </c>
      <c r="J11" s="1121" t="s">
        <v>62</v>
      </c>
      <c r="K11" s="1121" t="s">
        <v>63</v>
      </c>
      <c r="L11" s="1132" t="s">
        <v>925</v>
      </c>
    </row>
    <row r="12" spans="1:12" ht="54" customHeight="1" thickBot="1">
      <c r="A12" s="1138"/>
      <c r="B12" s="1139"/>
      <c r="C12" s="1120"/>
      <c r="D12" s="1120"/>
      <c r="E12" s="227" t="s">
        <v>926</v>
      </c>
      <c r="F12" s="227" t="s">
        <v>927</v>
      </c>
      <c r="G12" s="227" t="s">
        <v>928</v>
      </c>
      <c r="H12" s="227" t="s">
        <v>929</v>
      </c>
      <c r="I12" s="1121"/>
      <c r="J12" s="1121"/>
      <c r="K12" s="1121"/>
      <c r="L12" s="1132"/>
    </row>
    <row r="13" spans="1:12" ht="21" customHeight="1" thickBot="1">
      <c r="A13" s="1140" t="s">
        <v>840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2"/>
    </row>
    <row r="14" spans="1:12" ht="19.5" customHeight="1" thickBot="1">
      <c r="A14" s="1111"/>
      <c r="B14" s="1112"/>
      <c r="C14" s="555"/>
      <c r="D14" s="556"/>
      <c r="E14" s="557"/>
      <c r="F14" s="557"/>
      <c r="G14" s="557"/>
      <c r="H14" s="558"/>
      <c r="I14" s="572">
        <f>SUM(D14:H14)</f>
        <v>0</v>
      </c>
      <c r="J14" s="559"/>
      <c r="K14" s="560"/>
      <c r="L14" s="561"/>
    </row>
    <row r="15" spans="1:12" ht="19.5" customHeight="1" thickBot="1">
      <c r="A15" s="1113"/>
      <c r="B15" s="1114"/>
      <c r="C15" s="562"/>
      <c r="D15" s="557"/>
      <c r="E15" s="557"/>
      <c r="F15" s="557"/>
      <c r="G15" s="557"/>
      <c r="H15" s="557"/>
      <c r="I15" s="572">
        <f>SUM(D15:H15)</f>
        <v>0</v>
      </c>
      <c r="J15" s="563"/>
      <c r="K15" s="560"/>
      <c r="L15" s="561"/>
    </row>
    <row r="16" spans="1:12" ht="19.5" customHeight="1" thickBot="1">
      <c r="A16" s="1115"/>
      <c r="B16" s="1116"/>
      <c r="C16" s="562"/>
      <c r="D16" s="557"/>
      <c r="E16" s="557"/>
      <c r="F16" s="557"/>
      <c r="G16" s="557"/>
      <c r="H16" s="557"/>
      <c r="I16" s="572">
        <f>SUM(D16:H16)</f>
        <v>0</v>
      </c>
      <c r="J16" s="560"/>
      <c r="K16" s="560"/>
      <c r="L16" s="561"/>
    </row>
    <row r="17" spans="1:12" ht="19.5" customHeight="1" thickBot="1">
      <c r="A17" s="1115"/>
      <c r="B17" s="1116"/>
      <c r="C17" s="562"/>
      <c r="D17" s="557"/>
      <c r="E17" s="557"/>
      <c r="F17" s="557"/>
      <c r="G17" s="557"/>
      <c r="H17" s="557"/>
      <c r="I17" s="572">
        <f>SUM(D17:H17)</f>
        <v>0</v>
      </c>
      <c r="J17" s="560"/>
      <c r="K17" s="560"/>
      <c r="L17" s="561"/>
    </row>
    <row r="18" spans="1:12" ht="19.5" customHeight="1" thickBot="1">
      <c r="A18" s="1115"/>
      <c r="B18" s="1116"/>
      <c r="C18" s="562"/>
      <c r="D18" s="557"/>
      <c r="E18" s="557"/>
      <c r="F18" s="557"/>
      <c r="G18" s="557"/>
      <c r="H18" s="557"/>
      <c r="I18" s="572">
        <f>SUM(D18:H18)</f>
        <v>0</v>
      </c>
      <c r="J18" s="560"/>
      <c r="K18" s="560"/>
      <c r="L18" s="561"/>
    </row>
    <row r="19" spans="1:12" s="132" customFormat="1" ht="19.5" customHeight="1" thickBot="1">
      <c r="A19" s="1122" t="s">
        <v>476</v>
      </c>
      <c r="B19" s="1123"/>
      <c r="C19" s="564"/>
      <c r="D19" s="598">
        <f>SUM(D14:D18)</f>
        <v>0</v>
      </c>
      <c r="E19" s="598">
        <f>SUM(E14:E18)</f>
        <v>0</v>
      </c>
      <c r="F19" s="599"/>
      <c r="G19" s="598">
        <f>SUM(G14:G18)</f>
        <v>0</v>
      </c>
      <c r="H19" s="598">
        <f>SUM(H14:H18)</f>
        <v>0</v>
      </c>
      <c r="I19" s="598">
        <f>SUM(I14:I18)</f>
        <v>0</v>
      </c>
      <c r="J19" s="565"/>
      <c r="K19" s="600">
        <f>SUM(K14:K18)</f>
        <v>0</v>
      </c>
      <c r="L19" s="566"/>
    </row>
    <row r="20" spans="1:12" ht="19.5" customHeight="1" thickBot="1">
      <c r="A20" s="1133" t="s">
        <v>841</v>
      </c>
      <c r="B20" s="1134"/>
      <c r="C20" s="1134"/>
      <c r="D20" s="1134"/>
      <c r="E20" s="1134"/>
      <c r="F20" s="1134"/>
      <c r="G20" s="1134"/>
      <c r="H20" s="1134"/>
      <c r="I20" s="1134"/>
      <c r="J20" s="1134"/>
      <c r="K20" s="1134"/>
      <c r="L20" s="1135"/>
    </row>
    <row r="21" spans="1:12" ht="19.5" customHeight="1" thickBot="1">
      <c r="A21" s="1113"/>
      <c r="B21" s="1114"/>
      <c r="C21" s="562"/>
      <c r="D21" s="557"/>
      <c r="E21" s="557"/>
      <c r="F21" s="557"/>
      <c r="G21" s="557"/>
      <c r="H21" s="557"/>
      <c r="I21" s="572">
        <f>SUM(D21:H21)</f>
        <v>0</v>
      </c>
      <c r="J21" s="563"/>
      <c r="K21" s="560"/>
      <c r="L21" s="561"/>
    </row>
    <row r="22" spans="1:12" ht="19.5" customHeight="1" thickBot="1">
      <c r="A22" s="1113"/>
      <c r="B22" s="1114"/>
      <c r="C22" s="562"/>
      <c r="D22" s="557"/>
      <c r="E22" s="557"/>
      <c r="F22" s="557"/>
      <c r="G22" s="557"/>
      <c r="H22" s="557"/>
      <c r="I22" s="572">
        <f>SUM(D22:H22)</f>
        <v>0</v>
      </c>
      <c r="J22" s="563"/>
      <c r="K22" s="560"/>
      <c r="L22" s="561"/>
    </row>
    <row r="23" spans="1:12" ht="19.5" customHeight="1" thickBot="1">
      <c r="A23" s="1113"/>
      <c r="B23" s="1114"/>
      <c r="C23" s="562"/>
      <c r="D23" s="557"/>
      <c r="E23" s="557"/>
      <c r="F23" s="557"/>
      <c r="G23" s="557"/>
      <c r="H23" s="557"/>
      <c r="I23" s="572">
        <f>SUM(D23:H23)</f>
        <v>0</v>
      </c>
      <c r="J23" s="563"/>
      <c r="K23" s="560"/>
      <c r="L23" s="561"/>
    </row>
    <row r="24" spans="1:12" ht="19.5" customHeight="1" thickBot="1">
      <c r="A24" s="1113"/>
      <c r="B24" s="1114"/>
      <c r="C24" s="562"/>
      <c r="D24" s="557"/>
      <c r="E24" s="557"/>
      <c r="F24" s="557"/>
      <c r="G24" s="557"/>
      <c r="H24" s="557"/>
      <c r="I24" s="572">
        <f>SUM(D24:H24)</f>
        <v>0</v>
      </c>
      <c r="J24" s="563"/>
      <c r="K24" s="560"/>
      <c r="L24" s="561"/>
    </row>
    <row r="25" spans="1:12" ht="19.5" customHeight="1" thickBot="1">
      <c r="A25" s="1115"/>
      <c r="B25" s="1116"/>
      <c r="C25" s="562"/>
      <c r="D25" s="557"/>
      <c r="E25" s="557"/>
      <c r="F25" s="557"/>
      <c r="G25" s="557"/>
      <c r="H25" s="557"/>
      <c r="I25" s="572">
        <f>SUM(D25:H25)</f>
        <v>0</v>
      </c>
      <c r="J25" s="563"/>
      <c r="K25" s="560"/>
      <c r="L25" s="561"/>
    </row>
    <row r="26" spans="1:12" s="132" customFormat="1" ht="19.5" customHeight="1" thickBot="1">
      <c r="A26" s="1122" t="s">
        <v>476</v>
      </c>
      <c r="B26" s="1123"/>
      <c r="C26" s="564"/>
      <c r="D26" s="598">
        <f>SUM(D21:D25)</f>
        <v>0</v>
      </c>
      <c r="E26" s="598">
        <f>SUM(E21:E25)</f>
        <v>0</v>
      </c>
      <c r="F26" s="599"/>
      <c r="G26" s="598">
        <f>SUM(G21:G25)</f>
        <v>0</v>
      </c>
      <c r="H26" s="598">
        <f>SUM(H21:H25)</f>
        <v>0</v>
      </c>
      <c r="I26" s="598">
        <f>SUM(I22:I25)</f>
        <v>0</v>
      </c>
      <c r="J26" s="565"/>
      <c r="K26" s="600">
        <f>SUM(K21:K25)</f>
        <v>0</v>
      </c>
      <c r="L26" s="566"/>
    </row>
    <row r="27" spans="1:12" ht="12.75">
      <c r="A27" s="229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0"/>
    </row>
    <row r="28" spans="1:12" ht="18" customHeight="1">
      <c r="A28" s="1117" t="s">
        <v>536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9"/>
    </row>
    <row r="29" spans="1:12" s="228" customFormat="1" ht="22.5" customHeight="1">
      <c r="A29" s="1117" t="s">
        <v>201</v>
      </c>
      <c r="B29" s="1118"/>
      <c r="C29" s="1118"/>
      <c r="D29" s="1118"/>
      <c r="E29" s="1118"/>
      <c r="F29" s="1118"/>
      <c r="G29" s="1118"/>
      <c r="H29" s="1118"/>
      <c r="I29" s="1118"/>
      <c r="J29" s="1118"/>
      <c r="K29" s="1118"/>
      <c r="L29" s="1119"/>
    </row>
    <row r="30" spans="1:12" ht="25.5" customHeight="1">
      <c r="A30" s="1136" t="s">
        <v>921</v>
      </c>
      <c r="B30" s="1137"/>
      <c r="C30" s="1120" t="s">
        <v>922</v>
      </c>
      <c r="D30" s="1120" t="s">
        <v>60</v>
      </c>
      <c r="E30" s="1120" t="s">
        <v>923</v>
      </c>
      <c r="F30" s="1120"/>
      <c r="G30" s="1120" t="s">
        <v>924</v>
      </c>
      <c r="H30" s="1120"/>
      <c r="I30" s="1121" t="s">
        <v>61</v>
      </c>
      <c r="J30" s="1121" t="s">
        <v>64</v>
      </c>
      <c r="K30" s="1121" t="s">
        <v>63</v>
      </c>
      <c r="L30" s="1132" t="s">
        <v>539</v>
      </c>
    </row>
    <row r="31" spans="1:12" ht="54" customHeight="1" thickBot="1">
      <c r="A31" s="1138"/>
      <c r="B31" s="1139"/>
      <c r="C31" s="1120"/>
      <c r="D31" s="1120"/>
      <c r="E31" s="227" t="s">
        <v>926</v>
      </c>
      <c r="F31" s="227" t="s">
        <v>927</v>
      </c>
      <c r="G31" s="227" t="s">
        <v>928</v>
      </c>
      <c r="H31" s="227" t="s">
        <v>929</v>
      </c>
      <c r="I31" s="1121"/>
      <c r="J31" s="1121"/>
      <c r="K31" s="1121"/>
      <c r="L31" s="1132"/>
    </row>
    <row r="32" spans="1:12" ht="13.5" thickBot="1">
      <c r="A32" s="1140" t="s">
        <v>537</v>
      </c>
      <c r="B32" s="1141"/>
      <c r="C32" s="1141"/>
      <c r="D32" s="1141"/>
      <c r="E32" s="1141"/>
      <c r="F32" s="1141"/>
      <c r="G32" s="1141"/>
      <c r="H32" s="1141"/>
      <c r="I32" s="1141"/>
      <c r="J32" s="1141"/>
      <c r="K32" s="1141"/>
      <c r="L32" s="1142"/>
    </row>
    <row r="33" spans="1:12" s="134" customFormat="1" ht="19.5" customHeight="1" thickBot="1">
      <c r="A33" s="1111"/>
      <c r="B33" s="1112"/>
      <c r="C33" s="556"/>
      <c r="D33" s="556"/>
      <c r="E33" s="562"/>
      <c r="F33" s="562"/>
      <c r="G33" s="562"/>
      <c r="H33" s="558"/>
      <c r="I33" s="572">
        <f>SUM(D33:H33)</f>
        <v>0</v>
      </c>
      <c r="J33" s="559"/>
      <c r="K33" s="560"/>
      <c r="L33" s="561"/>
    </row>
    <row r="34" spans="1:12" s="134" customFormat="1" ht="19.5" customHeight="1" thickBot="1">
      <c r="A34" s="1111"/>
      <c r="B34" s="1112"/>
      <c r="C34" s="556"/>
      <c r="D34" s="556"/>
      <c r="E34" s="562"/>
      <c r="F34" s="562"/>
      <c r="G34" s="562"/>
      <c r="H34" s="558"/>
      <c r="I34" s="572">
        <f>SUM(D34:H34)</f>
        <v>0</v>
      </c>
      <c r="J34" s="559"/>
      <c r="K34" s="560"/>
      <c r="L34" s="561"/>
    </row>
    <row r="35" spans="1:12" s="134" customFormat="1" ht="19.5" customHeight="1" thickBot="1">
      <c r="A35" s="1111"/>
      <c r="B35" s="1112"/>
      <c r="C35" s="556"/>
      <c r="D35" s="556"/>
      <c r="E35" s="562"/>
      <c r="F35" s="562"/>
      <c r="G35" s="562"/>
      <c r="H35" s="558"/>
      <c r="I35" s="572">
        <f>SUM(D35:H35)</f>
        <v>0</v>
      </c>
      <c r="J35" s="559"/>
      <c r="K35" s="560"/>
      <c r="L35" s="561"/>
    </row>
    <row r="36" spans="1:12" s="134" customFormat="1" ht="19.5" customHeight="1" thickBot="1">
      <c r="A36" s="1113"/>
      <c r="B36" s="1114"/>
      <c r="C36" s="562"/>
      <c r="D36" s="558"/>
      <c r="E36" s="562"/>
      <c r="F36" s="562"/>
      <c r="G36" s="562"/>
      <c r="H36" s="562"/>
      <c r="I36" s="572">
        <f>SUM(D36:H36)</f>
        <v>0</v>
      </c>
      <c r="J36" s="563"/>
      <c r="K36" s="560"/>
      <c r="L36" s="561"/>
    </row>
    <row r="37" spans="1:12" s="134" customFormat="1" ht="19.5" customHeight="1" thickBot="1">
      <c r="A37" s="1115"/>
      <c r="B37" s="1116"/>
      <c r="C37" s="562"/>
      <c r="D37" s="558"/>
      <c r="E37" s="562"/>
      <c r="F37" s="562"/>
      <c r="G37" s="562"/>
      <c r="H37" s="562"/>
      <c r="I37" s="572">
        <f>SUM(D37:H37)</f>
        <v>0</v>
      </c>
      <c r="J37" s="560"/>
      <c r="K37" s="560"/>
      <c r="L37" s="561"/>
    </row>
    <row r="38" spans="1:12" s="132" customFormat="1" ht="19.5" customHeight="1" thickBot="1">
      <c r="A38" s="1122" t="s">
        <v>476</v>
      </c>
      <c r="B38" s="1123"/>
      <c r="C38" s="564"/>
      <c r="D38" s="598">
        <f>SUM(D33:D37)</f>
        <v>0</v>
      </c>
      <c r="E38" s="598">
        <f>SUM(E33:E37)</f>
        <v>0</v>
      </c>
      <c r="F38" s="599"/>
      <c r="G38" s="598">
        <f>SUM(G33:G37)</f>
        <v>0</v>
      </c>
      <c r="H38" s="598">
        <f>SUM(H33:H37)</f>
        <v>0</v>
      </c>
      <c r="I38" s="598">
        <f>SUM(I33:I37)</f>
        <v>0</v>
      </c>
      <c r="J38" s="565"/>
      <c r="K38" s="600">
        <f>SUM(K32:K37)</f>
        <v>0</v>
      </c>
      <c r="L38" s="566"/>
    </row>
    <row r="39" spans="1:12" s="134" customFormat="1" ht="19.5" customHeight="1" thickBot="1">
      <c r="A39" s="1133" t="s">
        <v>538</v>
      </c>
      <c r="B39" s="1134"/>
      <c r="C39" s="1155"/>
      <c r="D39" s="1134"/>
      <c r="E39" s="1134"/>
      <c r="F39" s="1134"/>
      <c r="G39" s="1134"/>
      <c r="H39" s="1134"/>
      <c r="I39" s="1134"/>
      <c r="J39" s="1134"/>
      <c r="K39" s="1134"/>
      <c r="L39" s="1135"/>
    </row>
    <row r="40" spans="1:12" s="134" customFormat="1" ht="19.5" customHeight="1" thickBot="1">
      <c r="A40" s="1115" t="s">
        <v>866</v>
      </c>
      <c r="B40" s="1128"/>
      <c r="C40" s="998" t="s">
        <v>342</v>
      </c>
      <c r="D40" s="996">
        <v>22884.3</v>
      </c>
      <c r="E40" s="562"/>
      <c r="F40" s="562"/>
      <c r="G40" s="558"/>
      <c r="H40" s="562"/>
      <c r="I40" s="572">
        <f>SUM(D40:H40)</f>
        <v>22884.3</v>
      </c>
      <c r="J40" s="560"/>
      <c r="K40" s="560"/>
      <c r="L40" s="561"/>
    </row>
    <row r="41" spans="1:12" s="134" customFormat="1" ht="19.5" customHeight="1" thickBot="1">
      <c r="A41" s="1115" t="s">
        <v>866</v>
      </c>
      <c r="B41" s="1128"/>
      <c r="C41" s="999" t="s">
        <v>343</v>
      </c>
      <c r="D41" s="996">
        <v>2524.25</v>
      </c>
      <c r="E41" s="558"/>
      <c r="F41" s="562"/>
      <c r="G41" s="558"/>
      <c r="H41" s="562"/>
      <c r="I41" s="572">
        <f>SUM(D41:H41)</f>
        <v>2524.25</v>
      </c>
      <c r="J41" s="560"/>
      <c r="K41" s="560"/>
      <c r="L41" s="561"/>
    </row>
    <row r="42" spans="1:12" s="134" customFormat="1" ht="19.5" customHeight="1" thickBot="1">
      <c r="A42" s="1115" t="s">
        <v>866</v>
      </c>
      <c r="B42" s="1128"/>
      <c r="C42" s="1000" t="s">
        <v>341</v>
      </c>
      <c r="D42" s="996">
        <v>10269.88</v>
      </c>
      <c r="E42" s="562"/>
      <c r="F42" s="562"/>
      <c r="G42" s="562"/>
      <c r="H42" s="562"/>
      <c r="I42" s="572">
        <f>SUM(D42:H42)</f>
        <v>10269.88</v>
      </c>
      <c r="J42" s="560"/>
      <c r="K42" s="560"/>
      <c r="L42" s="561"/>
    </row>
    <row r="43" spans="1:12" s="134" customFormat="1" ht="19.5" customHeight="1" thickBot="1">
      <c r="A43" s="1126"/>
      <c r="B43" s="1127"/>
      <c r="C43" s="997"/>
      <c r="D43" s="557"/>
      <c r="E43" s="562"/>
      <c r="F43" s="562"/>
      <c r="G43" s="562"/>
      <c r="H43" s="562"/>
      <c r="I43" s="572"/>
      <c r="J43" s="856"/>
      <c r="K43" s="560"/>
      <c r="L43" s="561"/>
    </row>
    <row r="44" spans="1:12" s="134" customFormat="1" ht="19.5" customHeight="1" thickBot="1">
      <c r="A44" s="1126"/>
      <c r="B44" s="1127"/>
      <c r="C44" s="562"/>
      <c r="D44" s="557"/>
      <c r="E44" s="567"/>
      <c r="F44" s="567"/>
      <c r="G44" s="567"/>
      <c r="H44" s="567"/>
      <c r="I44" s="572"/>
      <c r="J44" s="857"/>
      <c r="K44" s="568"/>
      <c r="L44" s="569"/>
    </row>
    <row r="45" spans="1:12" s="132" customFormat="1" ht="19.5" customHeight="1" thickBot="1">
      <c r="A45" s="1124" t="s">
        <v>476</v>
      </c>
      <c r="B45" s="1125"/>
      <c r="C45" s="564"/>
      <c r="D45" s="601">
        <f>SUM(D40:D44)</f>
        <v>35678.43</v>
      </c>
      <c r="E45" s="601">
        <f>SUM(E40:E44)</f>
        <v>0</v>
      </c>
      <c r="F45" s="602"/>
      <c r="G45" s="601">
        <f>SUM(G40:G44)</f>
        <v>0</v>
      </c>
      <c r="H45" s="601">
        <f>SUM(H40:H44)</f>
        <v>0</v>
      </c>
      <c r="I45" s="601">
        <f>SUM(I40:I44)</f>
        <v>35678.43</v>
      </c>
      <c r="J45" s="570"/>
      <c r="K45" s="603">
        <f>SUM(K40:K44)</f>
        <v>0</v>
      </c>
      <c r="L45" s="571"/>
    </row>
    <row r="46" ht="12.75">
      <c r="D46" s="858">
        <f>+D40+D41</f>
        <v>25408.55</v>
      </c>
    </row>
    <row r="48" spans="1:12" s="867" customFormat="1" ht="12.75" hidden="1">
      <c r="A48" s="1154" t="s">
        <v>801</v>
      </c>
      <c r="B48" s="1154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</row>
    <row r="49" spans="1:12" s="867" customFormat="1" ht="12.75" hidden="1">
      <c r="A49" s="1153" t="s">
        <v>842</v>
      </c>
      <c r="B49" s="1153"/>
      <c r="C49" s="1153"/>
      <c r="D49" s="1153"/>
      <c r="E49" s="1153"/>
      <c r="F49" s="1153"/>
      <c r="G49" s="1153"/>
      <c r="H49" s="1153"/>
      <c r="I49" s="1153"/>
      <c r="J49" s="1153"/>
      <c r="K49" s="1153"/>
      <c r="L49" s="1153"/>
    </row>
    <row r="50" spans="1:12" s="867" customFormat="1" ht="12.75" hidden="1">
      <c r="A50" s="1153" t="s">
        <v>535</v>
      </c>
      <c r="B50" s="1153"/>
      <c r="C50" s="1153"/>
      <c r="D50" s="1153"/>
      <c r="E50" s="1153"/>
      <c r="F50" s="1153"/>
      <c r="G50" s="1153"/>
      <c r="H50" s="1153"/>
      <c r="I50" s="1153"/>
      <c r="J50" s="1153"/>
      <c r="K50" s="1153"/>
      <c r="L50" s="1153"/>
    </row>
    <row r="51" spans="1:12" s="867" customFormat="1" ht="12.75" hidden="1">
      <c r="A51" s="1153" t="s">
        <v>843</v>
      </c>
      <c r="B51" s="1153"/>
      <c r="C51" s="1153"/>
      <c r="D51" s="1153"/>
      <c r="E51" s="1153"/>
      <c r="F51" s="1153"/>
      <c r="G51" s="1153"/>
      <c r="H51" s="1153"/>
      <c r="I51" s="1153"/>
      <c r="J51" s="1153"/>
      <c r="K51" s="1153"/>
      <c r="L51" s="1153"/>
    </row>
    <row r="52" spans="1:12" s="867" customFormat="1" ht="12.75" hidden="1">
      <c r="A52" s="1153" t="s">
        <v>844</v>
      </c>
      <c r="B52" s="1153"/>
      <c r="C52" s="1153"/>
      <c r="D52" s="1153"/>
      <c r="E52" s="1153"/>
      <c r="F52" s="1153"/>
      <c r="G52" s="1153"/>
      <c r="H52" s="1153"/>
      <c r="I52" s="1153"/>
      <c r="J52" s="1153"/>
      <c r="K52" s="1153"/>
      <c r="L52" s="1153"/>
    </row>
    <row r="53" spans="1:12" s="867" customFormat="1" ht="12.75" hidden="1">
      <c r="A53" s="1153" t="s">
        <v>845</v>
      </c>
      <c r="B53" s="1153"/>
      <c r="C53" s="1153"/>
      <c r="D53" s="1153"/>
      <c r="E53" s="1153"/>
      <c r="F53" s="1153"/>
      <c r="G53" s="1153"/>
      <c r="H53" s="1153"/>
      <c r="I53" s="1153"/>
      <c r="J53" s="1153"/>
      <c r="K53" s="1153"/>
      <c r="L53" s="1153"/>
    </row>
    <row r="54" spans="1:12" s="867" customFormat="1" ht="12.75" hidden="1">
      <c r="A54" s="1153" t="s">
        <v>764</v>
      </c>
      <c r="B54" s="1153"/>
      <c r="C54" s="1153"/>
      <c r="D54" s="1153"/>
      <c r="E54" s="1153"/>
      <c r="F54" s="1153"/>
      <c r="G54" s="1153"/>
      <c r="H54" s="1153"/>
      <c r="I54" s="1153"/>
      <c r="J54" s="1153"/>
      <c r="K54" s="1153"/>
      <c r="L54" s="1153"/>
    </row>
    <row r="55" spans="1:12" s="867" customFormat="1" ht="12.75" hidden="1">
      <c r="A55" s="1153" t="s">
        <v>765</v>
      </c>
      <c r="B55" s="1153"/>
      <c r="C55" s="1153"/>
      <c r="D55" s="1153"/>
      <c r="E55" s="1153"/>
      <c r="F55" s="1153"/>
      <c r="G55" s="1153"/>
      <c r="H55" s="1153"/>
      <c r="I55" s="1153"/>
      <c r="J55" s="1153"/>
      <c r="K55" s="1153"/>
      <c r="L55" s="1153"/>
    </row>
    <row r="56" spans="1:12" s="867" customFormat="1" ht="12.75" hidden="1">
      <c r="A56" s="1153" t="s">
        <v>540</v>
      </c>
      <c r="B56" s="1153"/>
      <c r="C56" s="1153"/>
      <c r="D56" s="1153"/>
      <c r="E56" s="1153"/>
      <c r="F56" s="1153"/>
      <c r="G56" s="1153"/>
      <c r="H56" s="1153"/>
      <c r="I56" s="1153"/>
      <c r="J56" s="1153"/>
      <c r="K56" s="1153"/>
      <c r="L56" s="1153"/>
    </row>
    <row r="57" spans="1:12" s="867" customFormat="1" ht="12.75" hidden="1">
      <c r="A57" s="1153" t="s">
        <v>769</v>
      </c>
      <c r="B57" s="1153"/>
      <c r="C57" s="1153"/>
      <c r="D57" s="1153"/>
      <c r="E57" s="1153"/>
      <c r="F57" s="1153"/>
      <c r="G57" s="1153"/>
      <c r="H57" s="1153"/>
      <c r="I57" s="1153"/>
      <c r="J57" s="1153"/>
      <c r="K57" s="1153"/>
      <c r="L57" s="1153"/>
    </row>
    <row r="58" spans="1:12" s="867" customFormat="1" ht="12.75" hidden="1">
      <c r="A58" s="1153" t="s">
        <v>770</v>
      </c>
      <c r="B58" s="1153"/>
      <c r="C58" s="1153"/>
      <c r="D58" s="1153"/>
      <c r="E58" s="1153"/>
      <c r="F58" s="1153"/>
      <c r="G58" s="1153"/>
      <c r="H58" s="1153"/>
      <c r="I58" s="1153"/>
      <c r="J58" s="1153"/>
      <c r="K58" s="1153"/>
      <c r="L58" s="1153"/>
    </row>
    <row r="59" spans="3:7" s="867" customFormat="1" ht="12.75" hidden="1">
      <c r="C59" s="867" t="s">
        <v>419</v>
      </c>
      <c r="D59" s="922">
        <f>+ACTIVO!B25</f>
        <v>24494.15</v>
      </c>
      <c r="E59" s="922">
        <f>+ACTIVO!C25</f>
        <v>25408.55</v>
      </c>
      <c r="F59" s="922">
        <f>+ACTIVO!D25</f>
        <v>25408.55</v>
      </c>
      <c r="G59" s="922">
        <f>+ACTIVO!D25</f>
        <v>25408.55</v>
      </c>
    </row>
    <row r="60" spans="3:7" s="867" customFormat="1" ht="12.75" hidden="1">
      <c r="C60" s="923" t="s">
        <v>420</v>
      </c>
      <c r="D60" s="924">
        <f>+D58-D59</f>
        <v>-24494.15</v>
      </c>
      <c r="E60" s="924">
        <f>+E58-E59</f>
        <v>-25408.55</v>
      </c>
      <c r="F60" s="924">
        <f>+F58-F59</f>
        <v>-25408.55</v>
      </c>
      <c r="G60" s="924">
        <f>+G58-G59</f>
        <v>-25408.55</v>
      </c>
    </row>
    <row r="61" s="867" customFormat="1" ht="12.75" hidden="1"/>
    <row r="62" s="867" customFormat="1" ht="12.75" hidden="1"/>
    <row r="63" s="867" customFormat="1" ht="12.75" hidden="1"/>
    <row r="64" s="867" customFormat="1" ht="12.75" hidden="1"/>
    <row r="65" s="867" customFormat="1" ht="12.75" hidden="1"/>
    <row r="66" s="867" customFormat="1" ht="12.75" hidden="1"/>
    <row r="67" s="867" customFormat="1" ht="12.75" hidden="1"/>
    <row r="68" s="867" customFormat="1" ht="12.75" hidden="1"/>
  </sheetData>
  <sheetProtection formatColumns="0" formatRows="0"/>
  <mergeCells count="65">
    <mergeCell ref="A39:L39"/>
    <mergeCell ref="A58:L58"/>
    <mergeCell ref="A54:L54"/>
    <mergeCell ref="A55:L55"/>
    <mergeCell ref="A56:L56"/>
    <mergeCell ref="A57:L57"/>
    <mergeCell ref="A52:L52"/>
    <mergeCell ref="L30:L31"/>
    <mergeCell ref="K30:K31"/>
    <mergeCell ref="A53:L53"/>
    <mergeCell ref="A48:L48"/>
    <mergeCell ref="A49:L49"/>
    <mergeCell ref="A50:L50"/>
    <mergeCell ref="A51:L51"/>
    <mergeCell ref="C30:C31"/>
    <mergeCell ref="D30:D31"/>
    <mergeCell ref="G30:H30"/>
    <mergeCell ref="A30:B31"/>
    <mergeCell ref="A7:J7"/>
    <mergeCell ref="A8:J8"/>
    <mergeCell ref="K8:L8"/>
    <mergeCell ref="K7:L7"/>
    <mergeCell ref="G11:H11"/>
    <mergeCell ref="K11:K12"/>
    <mergeCell ref="A24:B24"/>
    <mergeCell ref="A25:B25"/>
    <mergeCell ref="A29:L29"/>
    <mergeCell ref="A37:B37"/>
    <mergeCell ref="A20:L20"/>
    <mergeCell ref="A15:B15"/>
    <mergeCell ref="A11:B12"/>
    <mergeCell ref="A13:L13"/>
    <mergeCell ref="A19:B19"/>
    <mergeCell ref="A32:L32"/>
    <mergeCell ref="A17:B17"/>
    <mergeCell ref="A22:B22"/>
    <mergeCell ref="A14:B14"/>
    <mergeCell ref="A9:L9"/>
    <mergeCell ref="A10:L10"/>
    <mergeCell ref="C11:C12"/>
    <mergeCell ref="D11:D12"/>
    <mergeCell ref="E11:F11"/>
    <mergeCell ref="L11:L12"/>
    <mergeCell ref="I11:I12"/>
    <mergeCell ref="J11:J12"/>
    <mergeCell ref="A36:B36"/>
    <mergeCell ref="A35:B35"/>
    <mergeCell ref="A34:B34"/>
    <mergeCell ref="A45:B45"/>
    <mergeCell ref="A44:B44"/>
    <mergeCell ref="A42:B42"/>
    <mergeCell ref="A38:B38"/>
    <mergeCell ref="A40:B40"/>
    <mergeCell ref="A41:B41"/>
    <mergeCell ref="A43:B43"/>
    <mergeCell ref="A33:B33"/>
    <mergeCell ref="A21:B21"/>
    <mergeCell ref="A18:B18"/>
    <mergeCell ref="A16:B16"/>
    <mergeCell ref="A28:L28"/>
    <mergeCell ref="E30:F30"/>
    <mergeCell ref="I30:I31"/>
    <mergeCell ref="J30:J31"/>
    <mergeCell ref="A23:B23"/>
    <mergeCell ref="A26:B26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 C33:C35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724409448818898" bottom="0.7874015748031497" header="0" footer="0"/>
  <pageSetup horizontalDpi="600" verticalDpi="600" orientation="landscape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1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56" t="s">
        <v>463</v>
      </c>
      <c r="B1" s="1157"/>
      <c r="C1" s="1158"/>
      <c r="D1" s="16" t="e">
        <f>#REF!</f>
        <v>#REF!</v>
      </c>
    </row>
    <row r="2" spans="1:4" ht="25.5" customHeight="1">
      <c r="A2" s="1159" t="s">
        <v>91</v>
      </c>
      <c r="B2" s="1160"/>
      <c r="C2" s="1161"/>
      <c r="D2" s="13" t="s">
        <v>89</v>
      </c>
    </row>
    <row r="3" spans="1:4" ht="25.5" customHeight="1">
      <c r="A3" s="1162" t="s">
        <v>199</v>
      </c>
      <c r="B3" s="1163"/>
      <c r="C3" s="1163"/>
      <c r="D3" s="1164"/>
    </row>
    <row r="4" spans="1:4" ht="31.5" customHeight="1">
      <c r="A4" s="19" t="s">
        <v>473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507</v>
      </c>
      <c r="B5" s="21"/>
      <c r="C5" s="21"/>
      <c r="D5" s="22"/>
    </row>
    <row r="6" spans="1:4" s="3" customFormat="1" ht="19.5" customHeight="1">
      <c r="A6" s="5" t="s">
        <v>142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474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56324181.79</v>
      </c>
    </row>
    <row r="8" spans="1:4" s="3" customFormat="1" ht="19.5" customHeight="1">
      <c r="A8" s="10" t="s">
        <v>508</v>
      </c>
      <c r="B8" s="25" t="str">
        <f>CPYG!A13</f>
        <v>          a) Ventas</v>
      </c>
      <c r="C8" s="25" t="e">
        <f>CPYG!#REF!</f>
        <v>#REF!</v>
      </c>
      <c r="D8" s="26">
        <f>CPYG!B13</f>
        <v>55406959.66</v>
      </c>
    </row>
    <row r="9" spans="1:4" s="3" customFormat="1" ht="19.5" customHeight="1">
      <c r="A9" s="10" t="s">
        <v>143</v>
      </c>
      <c r="B9" s="25" t="str">
        <f>CPYG!A14</f>
        <v>          a.1) Al sector público</v>
      </c>
      <c r="C9" s="25" t="e">
        <f>CPYG!#REF!</f>
        <v>#REF!</v>
      </c>
      <c r="D9" s="26">
        <f>CPYG!B14</f>
        <v>13339191.8</v>
      </c>
    </row>
    <row r="10" spans="1:4" s="3" customFormat="1" ht="19.5" customHeight="1">
      <c r="A10" s="10" t="s">
        <v>144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13038302.47</v>
      </c>
    </row>
    <row r="11" spans="1:4" s="3" customFormat="1" ht="19.5" customHeight="1">
      <c r="A11" s="10" t="s">
        <v>145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300889.33</v>
      </c>
    </row>
    <row r="12" spans="1:4" s="3" customFormat="1" ht="19.5" customHeight="1">
      <c r="A12" s="10" t="s">
        <v>510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146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42067767.86</v>
      </c>
    </row>
    <row r="14" spans="1:4" s="3" customFormat="1" ht="19.5" customHeight="1">
      <c r="A14" s="10" t="s">
        <v>511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917222.13</v>
      </c>
    </row>
    <row r="15" spans="1:4" s="3" customFormat="1" ht="19.5" customHeight="1">
      <c r="A15" s="10" t="s">
        <v>148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894903.95</v>
      </c>
    </row>
    <row r="16" spans="1:4" s="3" customFormat="1" ht="19.5" customHeight="1">
      <c r="A16" s="10" t="s">
        <v>149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34782.08</v>
      </c>
    </row>
    <row r="17" spans="1:4" s="3" customFormat="1" ht="19.5" customHeight="1">
      <c r="A17" s="10" t="s">
        <v>150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838929.51</v>
      </c>
    </row>
    <row r="18" spans="1:4" s="3" customFormat="1" ht="19.5" customHeight="1">
      <c r="A18" s="10" t="s">
        <v>512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21192.36</v>
      </c>
    </row>
    <row r="19" spans="1:4" s="3" customFormat="1" ht="19.5" customHeight="1">
      <c r="A19" s="5" t="s">
        <v>774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22318.18000000005</v>
      </c>
    </row>
    <row r="20" spans="1:4" s="3" customFormat="1" ht="19.5" customHeight="1">
      <c r="A20" s="5" t="s">
        <v>151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152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153</v>
      </c>
      <c r="B22" s="25" t="str">
        <f>CPYG!A29</f>
        <v>4. APROVISIONAMIENTOS.</v>
      </c>
      <c r="C22" s="25" t="e">
        <f>CPYG!#REF!</f>
        <v>#REF!</v>
      </c>
      <c r="D22" s="26">
        <f>CPYG!B29</f>
        <v>-16571766.5</v>
      </c>
    </row>
    <row r="23" spans="1:4" s="3" customFormat="1" ht="19.5" customHeight="1">
      <c r="A23" s="10" t="s">
        <v>154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155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-16468431.12</v>
      </c>
    </row>
    <row r="25" spans="1:4" s="3" customFormat="1" ht="19.5" customHeight="1">
      <c r="A25" s="10" t="s">
        <v>156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157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-103335.38</v>
      </c>
    </row>
    <row r="27" spans="1:4" s="3" customFormat="1" ht="19.5" customHeight="1">
      <c r="A27" s="10" t="s">
        <v>158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22094550.02</v>
      </c>
    </row>
    <row r="28" spans="1:4" s="3" customFormat="1" ht="19.5" customHeight="1">
      <c r="A28" s="10" t="s">
        <v>160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2150839.98</v>
      </c>
    </row>
    <row r="29" spans="1:4" s="3" customFormat="1" ht="19.5" customHeight="1">
      <c r="A29" s="10" t="s">
        <v>161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19943710.04</v>
      </c>
    </row>
    <row r="30" spans="1:4" s="3" customFormat="1" ht="19.5" customHeight="1">
      <c r="A30" s="10" t="s">
        <v>775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776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162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12422825.3</v>
      </c>
    </row>
    <row r="33" spans="1:4" s="3" customFormat="1" ht="19.5" customHeight="1">
      <c r="A33" s="10" t="s">
        <v>163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7520884.74</v>
      </c>
    </row>
    <row r="34" spans="1:4" s="3" customFormat="1" ht="19.5" customHeight="1">
      <c r="A34" s="10" t="s">
        <v>164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165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166</v>
      </c>
      <c r="B36" s="25" t="str">
        <f>CPYG!A46</f>
        <v>6. GASTOS DE PERSONAL.</v>
      </c>
      <c r="C36" s="25" t="e">
        <f>CPYG!#REF!</f>
        <v>#REF!</v>
      </c>
      <c r="D36" s="26">
        <f>CPYG!B46</f>
        <v>-50683238.010000005</v>
      </c>
      <c r="E36" s="40"/>
    </row>
    <row r="37" spans="1:4" s="3" customFormat="1" ht="19.5" customHeight="1">
      <c r="A37" s="10" t="s">
        <v>777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-38352495.27</v>
      </c>
    </row>
    <row r="38" spans="1:4" s="3" customFormat="1" ht="19.5" customHeight="1">
      <c r="A38" s="10" t="s">
        <v>778</v>
      </c>
      <c r="B38" s="25" t="str">
        <f>CPYG!A48</f>
        <v>      b) Indemnizaciones</v>
      </c>
      <c r="C38" s="27" t="e">
        <f>CPYG!#REF!</f>
        <v>#REF!</v>
      </c>
      <c r="D38" s="26">
        <f>CPYG!B48</f>
        <v>-94145</v>
      </c>
    </row>
    <row r="39" spans="1:4" s="3" customFormat="1" ht="19.5" customHeight="1">
      <c r="A39" s="10" t="s">
        <v>779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-12028499.28</v>
      </c>
    </row>
    <row r="40" spans="1:4" s="3" customFormat="1" ht="19.5" customHeight="1">
      <c r="A40" s="10" t="s">
        <v>780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781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-488098.45999999996</v>
      </c>
    </row>
    <row r="42" spans="1:4" s="3" customFormat="1" ht="19.5" customHeight="1">
      <c r="A42" s="5" t="s">
        <v>167</v>
      </c>
      <c r="B42" s="23" t="str">
        <f>CPYG!A52</f>
        <v>      f) Provisiones</v>
      </c>
      <c r="C42" s="23" t="e">
        <f>CPYG!#REF!</f>
        <v>#REF!</v>
      </c>
      <c r="D42" s="24">
        <f>CPYG!B52</f>
        <v>280000</v>
      </c>
    </row>
    <row r="43" spans="1:4" s="3" customFormat="1" ht="19.5" customHeight="1">
      <c r="A43" s="10" t="s">
        <v>782</v>
      </c>
      <c r="B43" s="25" t="str">
        <f>CPYG!A55</f>
        <v>7. OTROS GASTOS DE EXPLOTACIÓN.</v>
      </c>
      <c r="C43" s="27" t="e">
        <f>CPYG!#REF!</f>
        <v>#REF!</v>
      </c>
      <c r="D43" s="26">
        <f>CPYG!B55</f>
        <v>-10375240.92</v>
      </c>
    </row>
    <row r="44" spans="1:4" s="3" customFormat="1" ht="19.5" customHeight="1">
      <c r="A44" s="10" t="s">
        <v>783</v>
      </c>
      <c r="B44" s="25" t="str">
        <f>CPYG!A56</f>
        <v>      a) Servicios Exteriores</v>
      </c>
      <c r="C44" s="27" t="e">
        <f>CPYG!#REF!</f>
        <v>#REF!</v>
      </c>
      <c r="D44" s="26">
        <f>CPYG!B56</f>
        <v>-8368413.33</v>
      </c>
    </row>
    <row r="45" spans="1:4" s="3" customFormat="1" ht="19.5" customHeight="1">
      <c r="A45" s="10" t="s">
        <v>168</v>
      </c>
      <c r="B45" s="25" t="str">
        <f>CPYG!A57</f>
        <v>      b) Tributos</v>
      </c>
      <c r="C45" s="25" t="e">
        <f>CPYG!#REF!</f>
        <v>#REF!</v>
      </c>
      <c r="D45" s="26">
        <f>CPYG!B57</f>
        <v>-868451.42</v>
      </c>
    </row>
    <row r="46" spans="1:4" s="3" customFormat="1" ht="19.5" customHeight="1">
      <c r="A46" s="10" t="s">
        <v>169</v>
      </c>
      <c r="B46" s="25" t="str">
        <f>CPYG!A58</f>
        <v>      c) Pérdidas, deterioro y variación de provisiones por operac. Comerciales.</v>
      </c>
      <c r="C46" s="27" t="e">
        <f>CPYG!#REF!</f>
        <v>#REF!</v>
      </c>
      <c r="D46" s="26">
        <f>CPYG!B58</f>
        <v>-1010516.51</v>
      </c>
    </row>
    <row r="47" spans="1:4" s="3" customFormat="1" ht="19.5" customHeight="1">
      <c r="A47" s="10" t="s">
        <v>170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171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172</v>
      </c>
      <c r="B49" s="23" t="str">
        <f>CPYG!A59</f>
        <v>      d) Otros gastos de gestión corriente.</v>
      </c>
      <c r="C49" s="39" t="e">
        <f>CPYG!#REF!</f>
        <v>#REF!</v>
      </c>
      <c r="D49" s="24">
        <f>CPYG!B59</f>
        <v>-127859.66</v>
      </c>
    </row>
    <row r="50" spans="1:4" s="3" customFormat="1" ht="19.5" customHeight="1">
      <c r="A50" s="5" t="s">
        <v>173</v>
      </c>
      <c r="B50" s="23" t="str">
        <f>CPYG!A60</f>
        <v>8. AMORTIZACIÓN DEL INMOVILIZADO.</v>
      </c>
      <c r="C50" s="23" t="e">
        <f>CPYG!#REF!</f>
        <v>#REF!</v>
      </c>
      <c r="D50" s="24">
        <f>CPYG!B60</f>
        <v>-6194131.159999999</v>
      </c>
    </row>
    <row r="51" spans="1:4" s="3" customFormat="1" ht="19.5" customHeight="1">
      <c r="A51" s="5" t="s">
        <v>174</v>
      </c>
      <c r="B51" s="23" t="str">
        <f>CPYG!A64</f>
        <v>9. IMPUTACIÓN DE SUBVENCIONES DE INMOVILIZADO NO FINANCIERO Y OTRAS. (2)</v>
      </c>
      <c r="C51" s="23" t="e">
        <f>CPYG!#REF!</f>
        <v>#REF!</v>
      </c>
      <c r="D51" s="24">
        <f>CPYG!B64</f>
        <v>5791724.55</v>
      </c>
    </row>
    <row r="52" spans="1:4" s="3" customFormat="1" ht="19.5" customHeight="1">
      <c r="A52" s="5" t="s">
        <v>175</v>
      </c>
      <c r="B52" s="23" t="str">
        <f>CPYG!A65</f>
        <v>10. EXCESOS DE PROVISIONES.</v>
      </c>
      <c r="C52" s="23" t="e">
        <f>CPYG!#REF!</f>
        <v>#REF!</v>
      </c>
      <c r="D52" s="24">
        <f>CPYG!B65</f>
        <v>0</v>
      </c>
    </row>
    <row r="53" spans="1:4" s="3" customFormat="1" ht="19.5" customHeight="1">
      <c r="A53" s="10" t="s">
        <v>459</v>
      </c>
      <c r="B53" s="25" t="str">
        <f>CPYG!A66</f>
        <v>11. DETERIORO Y RESULTADO POR ENAJENACIONES DEL INMOVILIZADO.</v>
      </c>
      <c r="C53" s="27" t="e">
        <f>CPYG!#REF!</f>
        <v>#REF!</v>
      </c>
      <c r="D53" s="26">
        <f>CPYG!B66</f>
        <v>2092.71</v>
      </c>
    </row>
    <row r="54" spans="1:4" s="3" customFormat="1" ht="19.5" customHeight="1">
      <c r="A54" s="10" t="s">
        <v>784</v>
      </c>
      <c r="B54" s="25" t="str">
        <f>CPYG!A67</f>
        <v>      a) Deterioros y pérdidas</v>
      </c>
      <c r="C54" s="25" t="e">
        <f>CPYG!#REF!</f>
        <v>#REF!</v>
      </c>
      <c r="D54" s="26">
        <f>CPYG!B67</f>
        <v>0</v>
      </c>
    </row>
    <row r="55" spans="1:4" s="41" customFormat="1" ht="19.5" customHeight="1">
      <c r="A55" s="5" t="s">
        <v>92</v>
      </c>
      <c r="B55" s="23" t="str">
        <f>CPYG!A71</f>
        <v>      b) Resultados por enajenaciones y otras</v>
      </c>
      <c r="C55" s="23" t="e">
        <f>CPYG!#REF!</f>
        <v>#REF!</v>
      </c>
      <c r="D55" s="24">
        <f>CPYG!B71</f>
        <v>2092.71</v>
      </c>
    </row>
    <row r="56" spans="1:4" s="3" customFormat="1" ht="19.5" customHeight="1">
      <c r="A56" s="5" t="s">
        <v>93</v>
      </c>
      <c r="B56" s="23" t="str">
        <f>CPYG!A80</f>
        <v>13. OTROS RESULTADOS</v>
      </c>
      <c r="C56" s="23" t="e">
        <f>CPYG!#REF!</f>
        <v>#REF!</v>
      </c>
      <c r="D56" s="24">
        <f>CPYG!B80</f>
        <v>-41975.53</v>
      </c>
    </row>
    <row r="57" spans="1:4" s="3" customFormat="1" ht="19.5" customHeight="1">
      <c r="A57" s="5" t="s">
        <v>176</v>
      </c>
      <c r="B57" s="23" t="str">
        <f>CPYG!A83</f>
        <v>A.1.)  RESULTADO DE EXPLOTACIÓN (∑(1+2+3+4+5+6+7+8+9+10+11+12+12a+13))</v>
      </c>
      <c r="C57" s="23" t="e">
        <f>CPYG!#REF!</f>
        <v>#REF!</v>
      </c>
      <c r="D57" s="24">
        <f>CPYG!B83</f>
        <v>346196.94999999774</v>
      </c>
    </row>
    <row r="58" spans="1:4" s="3" customFormat="1" ht="19.5" customHeight="1">
      <c r="A58" s="10" t="s">
        <v>177</v>
      </c>
      <c r="B58" s="25" t="str">
        <f>CPYG!A84</f>
        <v>14. INGRESOS FINANCIEROS.</v>
      </c>
      <c r="C58" s="25" t="e">
        <f>CPYG!#REF!</f>
        <v>#REF!</v>
      </c>
      <c r="D58" s="26">
        <f>CPYG!B84</f>
        <v>1325162.31</v>
      </c>
    </row>
    <row r="59" spans="1:4" s="3" customFormat="1" ht="19.5" customHeight="1">
      <c r="A59" s="10" t="s">
        <v>178</v>
      </c>
      <c r="B59" s="25" t="str">
        <f>CPYG!A85</f>
        <v>      a) De participaciones en instrumentos de patrimonio.</v>
      </c>
      <c r="C59" s="27" t="e">
        <f>CPYG!#REF!</f>
        <v>#REF!</v>
      </c>
      <c r="D59" s="26">
        <f>CPYG!B85</f>
        <v>0</v>
      </c>
    </row>
    <row r="60" spans="1:4" s="3" customFormat="1" ht="19.5" customHeight="1">
      <c r="A60" s="10" t="s">
        <v>179</v>
      </c>
      <c r="B60" s="25" t="str">
        <f>CPYG!A86</f>
        <v>          a.1.) En empresas del grupo y asociadas.</v>
      </c>
      <c r="C60" s="27" t="e">
        <f>CPYG!#REF!</f>
        <v>#REF!</v>
      </c>
      <c r="D60" s="26">
        <f>CPYG!B86</f>
        <v>0</v>
      </c>
    </row>
    <row r="61" spans="1:4" s="3" customFormat="1" ht="19.5" customHeight="1">
      <c r="A61" s="10" t="s">
        <v>785</v>
      </c>
      <c r="B61" s="25" t="str">
        <f>CPYG!A87</f>
        <v>          a.2) En terceros.</v>
      </c>
      <c r="C61" s="25" t="e">
        <f>CPYG!#REF!</f>
        <v>#REF!</v>
      </c>
      <c r="D61" s="26">
        <f>CPYG!B87</f>
        <v>0</v>
      </c>
    </row>
    <row r="62" spans="1:4" s="3" customFormat="1" ht="19.5" customHeight="1">
      <c r="A62" s="10" t="s">
        <v>180</v>
      </c>
      <c r="B62" s="25" t="str">
        <f>CPYG!A88</f>
        <v>      b) De valores negociables y otros instrumentos financieros</v>
      </c>
      <c r="C62" s="27" t="e">
        <f>CPYG!#REF!</f>
        <v>#REF!</v>
      </c>
      <c r="D62" s="26">
        <f>CPYG!B88</f>
        <v>1325162.31</v>
      </c>
    </row>
    <row r="63" spans="1:4" s="3" customFormat="1" ht="19.5" customHeight="1">
      <c r="A63" s="10" t="s">
        <v>181</v>
      </c>
      <c r="B63" s="25" t="str">
        <f>CPYG!A89</f>
        <v>          b.1.) En empresas del grupo y asociadas.</v>
      </c>
      <c r="C63" s="25" t="e">
        <f>CPYG!#REF!</f>
        <v>#REF!</v>
      </c>
      <c r="D63" s="26">
        <f>CPYG!B89</f>
        <v>1135419.74</v>
      </c>
    </row>
    <row r="64" spans="1:4" s="3" customFormat="1" ht="19.5" customHeight="1">
      <c r="A64" s="5" t="s">
        <v>182</v>
      </c>
      <c r="B64" s="23" t="str">
        <f>CPYG!A90</f>
        <v>          b.2) En terceros.</v>
      </c>
      <c r="C64" s="23" t="e">
        <f>CPYG!#REF!</f>
        <v>#REF!</v>
      </c>
      <c r="D64" s="24">
        <f>CPYG!B90</f>
        <v>189742.57</v>
      </c>
    </row>
    <row r="65" spans="1:4" s="3" customFormat="1" ht="19.5" customHeight="1">
      <c r="A65" s="10" t="s">
        <v>184</v>
      </c>
      <c r="B65" s="25" t="str">
        <f>CPYG!A92</f>
        <v>15. GASTOS FINANCIEROS.</v>
      </c>
      <c r="C65" s="27" t="e">
        <f>CPYG!#REF!</f>
        <v>#REF!</v>
      </c>
      <c r="D65" s="26">
        <f>CPYG!B92</f>
        <v>-1222600.07</v>
      </c>
    </row>
    <row r="66" spans="1:4" s="3" customFormat="1" ht="19.5" customHeight="1">
      <c r="A66" s="10" t="s">
        <v>786</v>
      </c>
      <c r="B66" s="29" t="str">
        <f>CPYG!A93</f>
        <v>      a) Por deudas con empresas del grupo y asociadas.</v>
      </c>
      <c r="C66" s="29" t="e">
        <f>CPYG!#REF!</f>
        <v>#REF!</v>
      </c>
      <c r="D66" s="30">
        <f>CPYG!B93</f>
        <v>0</v>
      </c>
    </row>
    <row r="67" spans="1:4" s="3" customFormat="1" ht="19.5" customHeight="1">
      <c r="A67" s="10" t="s">
        <v>787</v>
      </c>
      <c r="B67" s="29" t="str">
        <f>CPYG!A94</f>
        <v>      b) Por deudas con terceros</v>
      </c>
      <c r="C67" s="29" t="e">
        <f>CPYG!#REF!</f>
        <v>#REF!</v>
      </c>
      <c r="D67" s="30">
        <f>CPYG!B94</f>
        <v>-1222600.07</v>
      </c>
    </row>
    <row r="68" spans="1:4" s="3" customFormat="1" ht="19.5" customHeight="1">
      <c r="A68" s="5" t="s">
        <v>185</v>
      </c>
      <c r="B68" s="23" t="str">
        <f>CPYG!A95</f>
        <v>      c) Por actualización de provisiones</v>
      </c>
      <c r="C68" s="23" t="e">
        <f>CPYG!#REF!</f>
        <v>#REF!</v>
      </c>
      <c r="D68" s="24">
        <f>CPYG!B95</f>
        <v>0</v>
      </c>
    </row>
    <row r="69" spans="1:4" s="3" customFormat="1" ht="19.5" customHeight="1">
      <c r="A69" s="10" t="s">
        <v>186</v>
      </c>
      <c r="B69" s="29" t="str">
        <f>CPYG!A96</f>
        <v>16. VARIACIÓN DE VALOR RAZONABLE EN INSTRUMENTOS FINANCIEROS.</v>
      </c>
      <c r="C69" s="29" t="e">
        <f>CPYG!#REF!</f>
        <v>#REF!</v>
      </c>
      <c r="D69" s="30">
        <f>CPYG!B96</f>
        <v>0</v>
      </c>
    </row>
    <row r="70" spans="1:4" s="3" customFormat="1" ht="19.5" customHeight="1">
      <c r="A70" s="10" t="s">
        <v>788</v>
      </c>
      <c r="B70" s="29" t="str">
        <f>CPYG!A97</f>
        <v>      a) Cartera de negociación y otros.</v>
      </c>
      <c r="C70" s="29" t="e">
        <f>CPYG!#REF!</f>
        <v>#REF!</v>
      </c>
      <c r="D70" s="30">
        <f>CPYG!B97</f>
        <v>0</v>
      </c>
    </row>
    <row r="71" spans="1:4" s="3" customFormat="1" ht="19.5" customHeight="1">
      <c r="A71" s="5" t="s">
        <v>187</v>
      </c>
      <c r="B71" s="23" t="str">
        <f>CPYG!A98</f>
        <v>      b) Imputación al resultado del ejercicio por activos financieros disponibles para la venta</v>
      </c>
      <c r="C71" s="23" t="e">
        <f>CPYG!#REF!</f>
        <v>#REF!</v>
      </c>
      <c r="D71" s="24">
        <f>CPYG!B98</f>
        <v>0</v>
      </c>
    </row>
    <row r="72" spans="1:4" s="3" customFormat="1" ht="19.5" customHeight="1">
      <c r="A72" s="5" t="s">
        <v>94</v>
      </c>
      <c r="B72" s="23" t="str">
        <f>CPYG!A99</f>
        <v>17. DIFERENCIA DE CAMBIO.</v>
      </c>
      <c r="C72" s="23" t="e">
        <f>CPYG!#REF!</f>
        <v>#REF!</v>
      </c>
      <c r="D72" s="24">
        <f>CPYG!B99</f>
        <v>0</v>
      </c>
    </row>
    <row r="73" spans="1:4" s="3" customFormat="1" ht="20.25" customHeight="1">
      <c r="A73" s="10" t="s">
        <v>188</v>
      </c>
      <c r="B73" s="29" t="str">
        <f>CPYG!A100</f>
        <v>18. DETERIORO Y RESULTADO POR ENAJENACIONES DE INSTRUMENTOS FINANCIEROS</v>
      </c>
      <c r="C73" s="29" t="e">
        <f>CPYG!#REF!</f>
        <v>#REF!</v>
      </c>
      <c r="D73" s="30">
        <f>CPYG!B100</f>
        <v>0</v>
      </c>
    </row>
    <row r="74" spans="1:4" s="3" customFormat="1" ht="17.25" customHeight="1">
      <c r="A74" s="12" t="s">
        <v>784</v>
      </c>
      <c r="B74" s="29" t="str">
        <f>CPYG!A101</f>
        <v>      a) Deterioros y Pérdidas.</v>
      </c>
      <c r="C74" s="29" t="e">
        <f>CPYG!#REF!</f>
        <v>#REF!</v>
      </c>
      <c r="D74" s="30">
        <f>CPYG!B101</f>
        <v>0</v>
      </c>
    </row>
    <row r="75" spans="1:4" s="3" customFormat="1" ht="19.5" customHeight="1">
      <c r="A75" s="5" t="s">
        <v>95</v>
      </c>
      <c r="B75" s="23" t="str">
        <f>CPYG!A102</f>
        <v>      b) Resultados por enajenaciones y otras.</v>
      </c>
      <c r="C75" s="23" t="e">
        <f>CPYG!#REF!</f>
        <v>#REF!</v>
      </c>
      <c r="D75" s="24">
        <f>CPYG!B102</f>
        <v>0</v>
      </c>
    </row>
    <row r="76" spans="1:4" s="3" customFormat="1" ht="19.5" customHeight="1">
      <c r="A76" s="5" t="s">
        <v>789</v>
      </c>
      <c r="B76" s="23" t="str">
        <f>CPYG!A106</f>
        <v>A.2.) RESULTADO FINANCIERO (∑ (14 A 19))</v>
      </c>
      <c r="C76" s="23" t="e">
        <f>CPYG!#REF!</f>
        <v>#REF!</v>
      </c>
      <c r="D76" s="24">
        <f>CPYG!B106</f>
        <v>102562.23999999999</v>
      </c>
    </row>
    <row r="77" spans="1:4" s="3" customFormat="1" ht="19.5" customHeight="1">
      <c r="A77" s="5" t="s">
        <v>457</v>
      </c>
      <c r="B77" s="23" t="str">
        <f>CPYG!A107</f>
        <v>A.3.) RESULTADO ANTES DE IMPUESTOS (A.1 + A.2)</v>
      </c>
      <c r="C77" s="39" t="e">
        <f>CPYG!#REF!</f>
        <v>#REF!</v>
      </c>
      <c r="D77" s="24">
        <f>CPYG!B107</f>
        <v>448759.18999999773</v>
      </c>
    </row>
    <row r="78" spans="1:4" s="3" customFormat="1" ht="25.5" customHeight="1">
      <c r="A78" s="11" t="s">
        <v>96</v>
      </c>
      <c r="B78" s="23" t="str">
        <f>CPYG!A108</f>
        <v>20. IMPUESTOS SOBRE BENEFICIOS.</v>
      </c>
      <c r="C78" s="23" t="e">
        <f>CPYG!#REF!</f>
        <v>#REF!</v>
      </c>
      <c r="D78" s="24">
        <f>CPYG!B108</f>
        <v>-279950.75</v>
      </c>
    </row>
    <row r="79" spans="1:4" s="3" customFormat="1" ht="19.5" customHeight="1">
      <c r="A79" s="5" t="s">
        <v>790</v>
      </c>
      <c r="B79" s="23"/>
      <c r="C79" s="23"/>
      <c r="D79" s="24"/>
    </row>
    <row r="80" spans="1:4" s="3" customFormat="1" ht="19.5" customHeight="1">
      <c r="A80" s="5" t="s">
        <v>97</v>
      </c>
      <c r="B80" s="23" t="str">
        <f>CPYG!A110</f>
        <v>B) OPERACIONES INTERRUMPIDAS</v>
      </c>
      <c r="C80" s="23" t="e">
        <f>CPYG!#REF!</f>
        <v>#REF!</v>
      </c>
      <c r="D80" s="24">
        <f>CPYG!B110</f>
        <v>0</v>
      </c>
    </row>
    <row r="81" spans="1:4" s="3" customFormat="1" ht="39.75" customHeight="1" thickBot="1">
      <c r="A81" s="20" t="s">
        <v>98</v>
      </c>
      <c r="B81" s="31" t="str">
        <f>CPYG!A111</f>
        <v>21. RESULTADO DEL EJERCICIO PROCEDENTE DE OPERACIONES INTERRUMPIDAS NETO DE IMPUESTOS.</v>
      </c>
      <c r="C81" s="31" t="e">
        <f>CPYG!#REF!</f>
        <v>#REF!</v>
      </c>
      <c r="D81" s="32">
        <f>CPYG!B111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509</v>
      </c>
      <c r="B84" s="34"/>
      <c r="C84" s="34"/>
      <c r="D84" s="34"/>
    </row>
    <row r="85" spans="1:5" ht="19.5" customHeight="1">
      <c r="A85" s="7" t="s">
        <v>458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168808.43999999773</v>
      </c>
      <c r="C90" s="33">
        <f>PASIVO!C25</f>
        <v>122132.4000000087</v>
      </c>
      <c r="D90" s="33">
        <f>PASIVO!D25</f>
        <v>21375.782999999683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-21375.782999999683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5">
      <c r="C1" s="803" t="s">
        <v>829</v>
      </c>
    </row>
    <row r="2" ht="14.25">
      <c r="C2" s="804" t="s">
        <v>830</v>
      </c>
    </row>
    <row r="4" spans="1:3" ht="15">
      <c r="A4" s="802" t="s">
        <v>678</v>
      </c>
      <c r="C4" s="807">
        <v>42339</v>
      </c>
    </row>
    <row r="5" spans="1:3" ht="15">
      <c r="A5" s="802" t="s">
        <v>828</v>
      </c>
      <c r="C5" s="806" t="s">
        <v>831</v>
      </c>
    </row>
    <row r="6" ht="25.5" customHeight="1" thickBot="1"/>
    <row r="7" spans="1:5" ht="44.25" customHeight="1">
      <c r="A7" s="1178" t="s">
        <v>761</v>
      </c>
      <c r="B7" s="1179"/>
      <c r="C7" s="1179"/>
      <c r="D7" s="1180"/>
      <c r="E7" s="231">
        <f>CPYG!D7</f>
        <v>2016</v>
      </c>
    </row>
    <row r="8" spans="1:5" ht="18.75" customHeight="1">
      <c r="A8" s="1184" t="str">
        <f>CPYG!A8</f>
        <v>TRANSPORTES INTERURBANOS DE TENERIFE, S.A.U.</v>
      </c>
      <c r="B8" s="1185"/>
      <c r="C8" s="1185"/>
      <c r="D8" s="1186"/>
      <c r="E8" s="232" t="s">
        <v>531</v>
      </c>
    </row>
    <row r="9" spans="1:5" ht="23.25" customHeight="1" thickBot="1">
      <c r="A9" s="1181" t="s">
        <v>762</v>
      </c>
      <c r="B9" s="1182"/>
      <c r="C9" s="1182"/>
      <c r="D9" s="1182"/>
      <c r="E9" s="1183"/>
    </row>
    <row r="10" spans="1:5" ht="28.5" customHeight="1" thickBot="1">
      <c r="A10" s="1167" t="s">
        <v>214</v>
      </c>
      <c r="B10" s="1168"/>
      <c r="C10" s="233" t="s">
        <v>57</v>
      </c>
      <c r="D10" s="233" t="s">
        <v>65</v>
      </c>
      <c r="E10" s="234" t="s">
        <v>846</v>
      </c>
    </row>
    <row r="11" spans="1:5" ht="16.5" customHeight="1">
      <c r="A11" s="1187" t="str">
        <f>+CPYG!A21</f>
        <v>          b.1.1.) A la Entidad Local o a sus unidades dependientes.(1)</v>
      </c>
      <c r="B11" s="1170"/>
      <c r="C11" s="643">
        <f>+CPYG!C21</f>
        <v>0</v>
      </c>
      <c r="D11" s="643">
        <f>+CPYG!D21</f>
        <v>0</v>
      </c>
      <c r="E11" s="644"/>
    </row>
    <row r="12" spans="1:5" ht="16.5" customHeight="1">
      <c r="A12" s="1188" t="str">
        <f>+CPYG!A22</f>
        <v>          b.1.2.) A otras Administraciones Públicas.(1)</v>
      </c>
      <c r="B12" s="1189"/>
      <c r="C12" s="645">
        <f>+CPYG!C22</f>
        <v>792753.56</v>
      </c>
      <c r="D12" s="645">
        <f>+CPYG!D22</f>
        <v>792753.56</v>
      </c>
      <c r="E12" s="579"/>
    </row>
    <row r="13" spans="1:8" ht="16.5" customHeight="1">
      <c r="A13" s="1188" t="str">
        <f>+CPYG!A23</f>
        <v>          b.1.3.) A empresas y Entes Públicos.(1)</v>
      </c>
      <c r="B13" s="1189"/>
      <c r="C13" s="645"/>
      <c r="D13" s="645"/>
      <c r="E13" s="579"/>
      <c r="G13" s="226"/>
      <c r="H13" s="226"/>
    </row>
    <row r="14" spans="1:8" ht="16.5" customHeight="1">
      <c r="A14" s="1188" t="str">
        <f>+CPYG!A24</f>
        <v>          b.2.) Al sector privado</v>
      </c>
      <c r="B14" s="1189"/>
      <c r="C14" s="645">
        <f>+CPYG!C24</f>
        <v>94233.96</v>
      </c>
      <c r="D14" s="645">
        <f>+CPYG!D24</f>
        <v>94233.96</v>
      </c>
      <c r="E14" s="579"/>
      <c r="G14" s="226"/>
      <c r="H14" s="226"/>
    </row>
    <row r="15" spans="1:8" s="225" customFormat="1" ht="22.5" customHeight="1" thickBot="1">
      <c r="A15" s="1165" t="s">
        <v>932</v>
      </c>
      <c r="B15" s="1166"/>
      <c r="C15" s="236">
        <f>SUM(C11:C14)</f>
        <v>886987.52</v>
      </c>
      <c r="D15" s="236">
        <f>SUM(D11:D14)</f>
        <v>886987.52</v>
      </c>
      <c r="E15" s="237"/>
      <c r="G15" s="238">
        <f>+C15-CPYG!C12</f>
        <v>-53800989.3</v>
      </c>
      <c r="H15" s="238">
        <f>+D15-CPYG!D12</f>
        <v>-53787562.18</v>
      </c>
    </row>
    <row r="16" spans="1:4" ht="9" customHeight="1" thickBot="1">
      <c r="A16" s="1173"/>
      <c r="B16" s="1173"/>
      <c r="C16" s="1173"/>
      <c r="D16" s="1173"/>
    </row>
    <row r="17" spans="1:5" ht="33.75" customHeight="1" thickBot="1">
      <c r="A17" s="1167" t="s">
        <v>680</v>
      </c>
      <c r="B17" s="1168"/>
      <c r="C17" s="233" t="s">
        <v>57</v>
      </c>
      <c r="D17" s="233" t="s">
        <v>65</v>
      </c>
      <c r="E17" s="234" t="s">
        <v>846</v>
      </c>
    </row>
    <row r="18" spans="1:5" ht="12.75">
      <c r="A18" s="1169" t="s">
        <v>215</v>
      </c>
      <c r="B18" s="1170"/>
      <c r="C18" s="239">
        <f>SUM(C19:C22)</f>
        <v>255818.13</v>
      </c>
      <c r="D18" s="239">
        <f>SUM(D19:D22)</f>
        <v>0</v>
      </c>
      <c r="E18" s="240"/>
    </row>
    <row r="19" spans="1:5" ht="16.5" customHeight="1">
      <c r="A19" s="1171" t="s">
        <v>348</v>
      </c>
      <c r="B19" s="1172"/>
      <c r="C19" s="646">
        <v>255818.13</v>
      </c>
      <c r="D19" s="646"/>
      <c r="E19" s="647"/>
    </row>
    <row r="20" spans="1:5" ht="16.5" customHeight="1">
      <c r="A20" s="1176"/>
      <c r="B20" s="1177"/>
      <c r="C20" s="648"/>
      <c r="D20" s="648"/>
      <c r="E20" s="649"/>
    </row>
    <row r="21" spans="1:5" ht="16.5" customHeight="1">
      <c r="A21" s="1176"/>
      <c r="B21" s="1177"/>
      <c r="C21" s="648"/>
      <c r="D21" s="648"/>
      <c r="E21" s="649"/>
    </row>
    <row r="22" spans="1:5" ht="16.5" customHeight="1">
      <c r="A22" s="1176"/>
      <c r="B22" s="1177"/>
      <c r="C22" s="648"/>
      <c r="D22" s="648"/>
      <c r="E22" s="649"/>
    </row>
    <row r="23" spans="1:5" ht="12.75">
      <c r="A23" s="1174" t="s">
        <v>216</v>
      </c>
      <c r="B23" s="1175"/>
      <c r="C23" s="241">
        <f>SUM(C24:C27)</f>
        <v>0</v>
      </c>
      <c r="D23" s="241">
        <f>SUM(D24:D27)</f>
        <v>-17.54</v>
      </c>
      <c r="E23" s="242"/>
    </row>
    <row r="24" spans="1:5" ht="16.5" customHeight="1">
      <c r="A24" s="1171" t="s">
        <v>349</v>
      </c>
      <c r="B24" s="1172"/>
      <c r="C24" s="646"/>
      <c r="D24" s="646">
        <v>-17.54</v>
      </c>
      <c r="E24" s="647"/>
    </row>
    <row r="25" spans="1:5" ht="16.5" customHeight="1">
      <c r="A25" s="1176"/>
      <c r="B25" s="1177"/>
      <c r="C25" s="648"/>
      <c r="D25" s="648"/>
      <c r="E25" s="649"/>
    </row>
    <row r="26" spans="1:5" ht="16.5" customHeight="1">
      <c r="A26" s="1176"/>
      <c r="B26" s="1177"/>
      <c r="C26" s="648"/>
      <c r="D26" s="648"/>
      <c r="E26" s="649"/>
    </row>
    <row r="27" spans="1:5" ht="16.5" customHeight="1">
      <c r="A27" s="1169"/>
      <c r="B27" s="1170"/>
      <c r="C27" s="643"/>
      <c r="D27" s="643"/>
      <c r="E27" s="644"/>
    </row>
    <row r="28" spans="1:5" s="225" customFormat="1" ht="22.5" customHeight="1" thickBot="1">
      <c r="A28" s="1165" t="s">
        <v>932</v>
      </c>
      <c r="B28" s="1166"/>
      <c r="C28" s="236">
        <f>C18+C23</f>
        <v>255818.13</v>
      </c>
      <c r="D28" s="236">
        <f>D18+D23</f>
        <v>-17.54</v>
      </c>
      <c r="E28" s="237"/>
    </row>
    <row r="29" spans="1:4" ht="21" customHeight="1">
      <c r="A29" s="1173"/>
      <c r="B29" s="1173"/>
      <c r="C29" s="1173"/>
      <c r="D29" s="1173"/>
    </row>
    <row r="30" spans="1:5" s="225" customFormat="1" ht="22.5" customHeight="1">
      <c r="A30" s="235"/>
      <c r="B30" s="235"/>
      <c r="C30" s="243"/>
      <c r="D30" s="243"/>
      <c r="E30" s="244"/>
    </row>
    <row r="31" s="913" customFormat="1" ht="12.75" hidden="1">
      <c r="A31" s="925" t="s">
        <v>801</v>
      </c>
    </row>
    <row r="32" spans="1:5" s="913" customFormat="1" ht="42" customHeight="1" hidden="1">
      <c r="A32" s="1190" t="s">
        <v>757</v>
      </c>
      <c r="B32" s="1190"/>
      <c r="C32" s="1190"/>
      <c r="D32" s="1190"/>
      <c r="E32" s="1190"/>
    </row>
    <row r="33" spans="1:5" s="913" customFormat="1" ht="27" customHeight="1" hidden="1">
      <c r="A33" s="1190" t="s">
        <v>760</v>
      </c>
      <c r="B33" s="1190"/>
      <c r="C33" s="1190"/>
      <c r="D33" s="1190"/>
      <c r="E33" s="1190"/>
    </row>
  </sheetData>
  <sheetProtection/>
  <mergeCells count="25"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  <mergeCell ref="A11:B11"/>
    <mergeCell ref="A14:B14"/>
    <mergeCell ref="A12:B12"/>
    <mergeCell ref="A13:B13"/>
    <mergeCell ref="A7:D7"/>
    <mergeCell ref="A9:E9"/>
    <mergeCell ref="A10:B10"/>
    <mergeCell ref="A8:D8"/>
    <mergeCell ref="A15:B15"/>
    <mergeCell ref="A17:B17"/>
    <mergeCell ref="A18:B18"/>
    <mergeCell ref="A24:B24"/>
    <mergeCell ref="A16:D16"/>
    <mergeCell ref="A23:B23"/>
    <mergeCell ref="A21:B2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93"/>
  <sheetViews>
    <sheetView zoomScale="70" zoomScaleNormal="70" zoomScalePageLayoutView="0" workbookViewId="0" topLeftCell="A1">
      <selection activeCell="C4" sqref="C4"/>
    </sheetView>
  </sheetViews>
  <sheetFormatPr defaultColWidth="11.57421875" defaultRowHeight="12.75"/>
  <cols>
    <col min="1" max="1" width="76.421875" style="245" customWidth="1"/>
    <col min="2" max="2" width="0.2890625" style="245" hidden="1" customWidth="1"/>
    <col min="3" max="3" width="24.7109375" style="245" customWidth="1"/>
    <col min="4" max="4" width="19.7109375" style="245" customWidth="1"/>
    <col min="5" max="5" width="19.421875" style="245" customWidth="1"/>
    <col min="6" max="6" width="7.421875" style="245" bestFit="1" customWidth="1"/>
    <col min="7" max="7" width="7.7109375" style="245" bestFit="1" customWidth="1"/>
    <col min="8" max="8" width="7.57421875" style="245" bestFit="1" customWidth="1"/>
    <col min="9" max="9" width="19.421875" style="926" hidden="1" customWidth="1"/>
    <col min="10" max="10" width="11.57421875" style="927" customWidth="1"/>
    <col min="11" max="12" width="11.57421875" style="246" customWidth="1"/>
    <col min="13" max="14" width="11.57421875" style="247" customWidth="1"/>
    <col min="15" max="16384" width="11.57421875" style="245" customWidth="1"/>
  </cols>
  <sheetData>
    <row r="1" spans="1:3" ht="15">
      <c r="A1" s="223"/>
      <c r="B1" s="223"/>
      <c r="C1" s="803" t="s">
        <v>829</v>
      </c>
    </row>
    <row r="2" spans="1:3" ht="14.25">
      <c r="A2" s="223"/>
      <c r="B2" s="223"/>
      <c r="C2" s="804" t="s">
        <v>830</v>
      </c>
    </row>
    <row r="3" spans="1:3" ht="12.75">
      <c r="A3" s="223"/>
      <c r="B3" s="223"/>
      <c r="C3" s="223"/>
    </row>
    <row r="4" spans="1:3" ht="15">
      <c r="A4" s="802" t="s">
        <v>678</v>
      </c>
      <c r="B4" s="223"/>
      <c r="C4" s="807">
        <v>42339</v>
      </c>
    </row>
    <row r="5" spans="1:3" ht="15">
      <c r="A5" s="802" t="s">
        <v>828</v>
      </c>
      <c r="B5" s="223"/>
      <c r="C5" s="806" t="s">
        <v>831</v>
      </c>
    </row>
    <row r="6" spans="1:8" ht="13.5" thickBot="1">
      <c r="A6" s="696"/>
      <c r="H6" s="697"/>
    </row>
    <row r="7" spans="1:8" ht="46.5" customHeight="1">
      <c r="A7" s="1198" t="s">
        <v>542</v>
      </c>
      <c r="B7" s="1199"/>
      <c r="C7" s="1199"/>
      <c r="D7" s="1199"/>
      <c r="E7" s="1199"/>
      <c r="F7" s="1191">
        <f>CPYG!D7</f>
        <v>2016</v>
      </c>
      <c r="G7" s="1191"/>
      <c r="H7" s="1192"/>
    </row>
    <row r="8" spans="1:8" ht="30" customHeight="1" thickBot="1">
      <c r="A8" s="1196" t="s">
        <v>767</v>
      </c>
      <c r="B8" s="1197"/>
      <c r="C8" s="1197"/>
      <c r="D8" s="1197"/>
      <c r="E8" s="1197"/>
      <c r="F8" s="1193" t="s">
        <v>525</v>
      </c>
      <c r="G8" s="1194"/>
      <c r="H8" s="1195"/>
    </row>
    <row r="9" spans="1:8" ht="24.75" customHeight="1" thickBot="1">
      <c r="A9" s="1201" t="s">
        <v>853</v>
      </c>
      <c r="B9" s="1202"/>
      <c r="C9" s="1202"/>
      <c r="D9" s="1202"/>
      <c r="E9" s="1202"/>
      <c r="F9" s="1202"/>
      <c r="G9" s="1202"/>
      <c r="H9" s="1203"/>
    </row>
    <row r="10" spans="1:15" ht="19.5" customHeight="1" thickBot="1">
      <c r="A10" s="650" t="s">
        <v>852</v>
      </c>
      <c r="B10" s="651"/>
      <c r="C10" s="652" t="s">
        <v>847</v>
      </c>
      <c r="D10" s="652">
        <v>2015</v>
      </c>
      <c r="E10" s="652">
        <v>2016</v>
      </c>
      <c r="F10" s="652" t="s">
        <v>477</v>
      </c>
      <c r="G10" s="652" t="s">
        <v>931</v>
      </c>
      <c r="H10" s="653" t="s">
        <v>930</v>
      </c>
      <c r="O10" s="247"/>
    </row>
    <row r="11" spans="1:15" ht="19.5" customHeight="1" thickBot="1">
      <c r="A11" s="654" t="s">
        <v>848</v>
      </c>
      <c r="B11" s="655"/>
      <c r="C11" s="656"/>
      <c r="D11" s="657">
        <f>PASIVO!B32</f>
        <v>21663395.93</v>
      </c>
      <c r="E11" s="658">
        <f>+D24</f>
        <v>18479893.474999998</v>
      </c>
      <c r="F11" s="659"/>
      <c r="G11" s="660"/>
      <c r="H11" s="661"/>
      <c r="O11" s="247"/>
    </row>
    <row r="12" spans="1:15" ht="19.5" customHeight="1">
      <c r="A12" s="628" t="s">
        <v>291</v>
      </c>
      <c r="B12" s="680"/>
      <c r="C12" s="248" t="s">
        <v>862</v>
      </c>
      <c r="D12" s="249">
        <v>97533.66</v>
      </c>
      <c r="E12" s="249"/>
      <c r="F12" s="250"/>
      <c r="G12" s="250"/>
      <c r="H12" s="251"/>
      <c r="O12" s="247"/>
    </row>
    <row r="13" spans="1:15" ht="19.5" customHeight="1">
      <c r="A13" s="633" t="s">
        <v>292</v>
      </c>
      <c r="B13" s="680"/>
      <c r="C13" s="248" t="s">
        <v>862</v>
      </c>
      <c r="D13" s="252">
        <v>673027</v>
      </c>
      <c r="E13" s="252"/>
      <c r="F13" s="253"/>
      <c r="G13" s="253"/>
      <c r="H13" s="254"/>
      <c r="O13" s="247"/>
    </row>
    <row r="14" spans="1:15" ht="19.5" customHeight="1">
      <c r="A14" s="633" t="s">
        <v>293</v>
      </c>
      <c r="B14" s="680"/>
      <c r="C14" s="248" t="s">
        <v>862</v>
      </c>
      <c r="D14" s="252">
        <v>144595.22</v>
      </c>
      <c r="E14" s="252">
        <v>593850</v>
      </c>
      <c r="F14" s="253" t="s">
        <v>371</v>
      </c>
      <c r="G14" s="253" t="s">
        <v>372</v>
      </c>
      <c r="H14" s="254" t="s">
        <v>373</v>
      </c>
      <c r="O14" s="247"/>
    </row>
    <row r="15" spans="1:15" ht="19.5" customHeight="1">
      <c r="A15" s="633" t="s">
        <v>706</v>
      </c>
      <c r="B15" s="724"/>
      <c r="C15" s="725" t="s">
        <v>862</v>
      </c>
      <c r="D15" s="726">
        <v>34716.12</v>
      </c>
      <c r="E15" s="726"/>
      <c r="F15" s="733"/>
      <c r="G15" s="733"/>
      <c r="H15" s="734"/>
      <c r="O15" s="247"/>
    </row>
    <row r="16" spans="1:15" ht="19.5" customHeight="1">
      <c r="A16" s="681"/>
      <c r="B16" s="680"/>
      <c r="C16" s="248"/>
      <c r="D16" s="252"/>
      <c r="E16" s="252"/>
      <c r="F16" s="255"/>
      <c r="G16" s="255"/>
      <c r="H16" s="256"/>
      <c r="O16" s="247"/>
    </row>
    <row r="17" spans="1:15" ht="19.5" customHeight="1">
      <c r="A17" s="681"/>
      <c r="B17" s="680"/>
      <c r="C17" s="248"/>
      <c r="D17" s="252"/>
      <c r="E17" s="252"/>
      <c r="F17" s="255"/>
      <c r="G17" s="255"/>
      <c r="H17" s="256"/>
      <c r="O17" s="247"/>
    </row>
    <row r="18" spans="1:15" ht="19.5" customHeight="1">
      <c r="A18" s="681"/>
      <c r="B18" s="680"/>
      <c r="C18" s="248"/>
      <c r="D18" s="252"/>
      <c r="E18" s="252"/>
      <c r="F18" s="255"/>
      <c r="G18" s="255"/>
      <c r="H18" s="256"/>
      <c r="O18" s="247"/>
    </row>
    <row r="19" spans="1:15" ht="19.5" customHeight="1" thickBot="1">
      <c r="A19" s="682"/>
      <c r="B19" s="683"/>
      <c r="C19" s="372"/>
      <c r="D19" s="373"/>
      <c r="E19" s="373"/>
      <c r="F19" s="259"/>
      <c r="G19" s="259"/>
      <c r="H19" s="260"/>
      <c r="O19" s="247"/>
    </row>
    <row r="20" spans="1:15" ht="19.5" customHeight="1" thickBot="1">
      <c r="A20" s="664" t="s">
        <v>855</v>
      </c>
      <c r="B20" s="665"/>
      <c r="C20" s="666"/>
      <c r="D20" s="735">
        <f>SUM(D12:D19)</f>
        <v>949872</v>
      </c>
      <c r="E20" s="736">
        <f>SUM(E12:E19)</f>
        <v>593850</v>
      </c>
      <c r="F20" s="698"/>
      <c r="G20" s="698"/>
      <c r="H20" s="698"/>
      <c r="O20" s="247"/>
    </row>
    <row r="21" spans="1:15" ht="19.5" customHeight="1">
      <c r="A21" s="667" t="s">
        <v>849</v>
      </c>
      <c r="B21" s="662"/>
      <c r="C21" s="629"/>
      <c r="D21" s="699">
        <f>-D20*25%</f>
        <v>-237468</v>
      </c>
      <c r="E21" s="374">
        <f>-E20*25%</f>
        <v>-148462.5</v>
      </c>
      <c r="F21" s="698"/>
      <c r="G21" s="698"/>
      <c r="H21" s="698"/>
      <c r="O21" s="247"/>
    </row>
    <row r="22" spans="1:15" ht="19.5" customHeight="1">
      <c r="A22" s="663" t="s">
        <v>850</v>
      </c>
      <c r="B22" s="662"/>
      <c r="C22" s="261"/>
      <c r="D22" s="933">
        <v>-5194541.94</v>
      </c>
      <c r="E22" s="934">
        <v>-4130070.09</v>
      </c>
      <c r="F22" s="698"/>
      <c r="G22" s="698"/>
      <c r="H22" s="698"/>
      <c r="I22" s="927"/>
      <c r="O22" s="247"/>
    </row>
    <row r="23" spans="1:15" ht="19.5" customHeight="1" thickBot="1">
      <c r="A23" s="663" t="s">
        <v>681</v>
      </c>
      <c r="B23" s="668"/>
      <c r="C23" s="262"/>
      <c r="D23" s="263">
        <f>-D22*25%</f>
        <v>1298635.485</v>
      </c>
      <c r="E23" s="375">
        <f>-E22*25%</f>
        <v>1032517.5225</v>
      </c>
      <c r="F23" s="698"/>
      <c r="G23" s="698"/>
      <c r="H23" s="698"/>
      <c r="I23" s="928">
        <f>SUM(E21:E23)</f>
        <v>-3246015.0675</v>
      </c>
      <c r="O23" s="247"/>
    </row>
    <row r="24" spans="1:15" ht="19.5" customHeight="1" thickBot="1" thickTop="1">
      <c r="A24" s="669" t="s">
        <v>851</v>
      </c>
      <c r="B24" s="670"/>
      <c r="C24" s="671"/>
      <c r="D24" s="737">
        <f>D11+D20+D21+D22+D23</f>
        <v>18479893.474999998</v>
      </c>
      <c r="E24" s="993">
        <f>E11+E20+E21+E22+E23</f>
        <v>15827728.407499999</v>
      </c>
      <c r="F24" s="698"/>
      <c r="G24" s="698"/>
      <c r="H24" s="698"/>
      <c r="I24" s="929"/>
      <c r="O24" s="247"/>
    </row>
    <row r="25" spans="1:10" s="133" customFormat="1" ht="19.5" customHeight="1">
      <c r="A25" s="698"/>
      <c r="B25" s="698"/>
      <c r="C25" s="698"/>
      <c r="D25" s="698"/>
      <c r="E25" s="698"/>
      <c r="F25" s="698"/>
      <c r="G25" s="698"/>
      <c r="H25" s="698"/>
      <c r="I25" s="867"/>
      <c r="J25" s="867"/>
    </row>
    <row r="26" spans="1:10" s="133" customFormat="1" ht="19.5" customHeight="1" thickBot="1">
      <c r="A26" s="698"/>
      <c r="B26" s="698"/>
      <c r="C26" s="698"/>
      <c r="D26" s="698"/>
      <c r="E26" s="698"/>
      <c r="F26" s="698"/>
      <c r="G26" s="698"/>
      <c r="H26" s="698"/>
      <c r="I26" s="867"/>
      <c r="J26" s="867"/>
    </row>
    <row r="27" spans="1:10" s="133" customFormat="1" ht="19.5" customHeight="1" thickBot="1">
      <c r="A27" s="650" t="s">
        <v>472</v>
      </c>
      <c r="B27" s="651"/>
      <c r="C27" s="652" t="s">
        <v>847</v>
      </c>
      <c r="D27" s="652">
        <v>2015</v>
      </c>
      <c r="E27" s="652">
        <v>2016</v>
      </c>
      <c r="F27" s="652" t="s">
        <v>477</v>
      </c>
      <c r="G27" s="652" t="s">
        <v>931</v>
      </c>
      <c r="H27" s="653" t="s">
        <v>930</v>
      </c>
      <c r="I27" s="867"/>
      <c r="J27" s="867"/>
    </row>
    <row r="28" spans="1:10" s="133" customFormat="1" ht="19.5" customHeight="1" thickBot="1">
      <c r="A28" s="650" t="s">
        <v>683</v>
      </c>
      <c r="B28" s="651"/>
      <c r="C28" s="672"/>
      <c r="D28" s="673"/>
      <c r="E28" s="673"/>
      <c r="F28" s="672"/>
      <c r="G28" s="672"/>
      <c r="H28" s="674"/>
      <c r="I28" s="867"/>
      <c r="J28" s="867"/>
    </row>
    <row r="29" spans="1:10" s="133" customFormat="1" ht="19.5" customHeight="1">
      <c r="A29" s="679"/>
      <c r="B29" s="680"/>
      <c r="C29" s="248"/>
      <c r="D29" s="249"/>
      <c r="E29" s="249"/>
      <c r="F29" s="751"/>
      <c r="G29" s="751"/>
      <c r="H29" s="752"/>
      <c r="I29" s="867"/>
      <c r="J29" s="867"/>
    </row>
    <row r="30" spans="1:10" s="133" customFormat="1" ht="19.5" customHeight="1">
      <c r="A30" s="681" t="s">
        <v>310</v>
      </c>
      <c r="B30" s="680"/>
      <c r="C30" s="701" t="s">
        <v>862</v>
      </c>
      <c r="D30" s="252">
        <f>-'Anexo Transf. y subv.'!D11</f>
        <v>-38127591.730000004</v>
      </c>
      <c r="E30" s="252">
        <f>-'Anexo Transf. y subv.'!E11</f>
        <v>-31957874.36</v>
      </c>
      <c r="F30" s="1205" t="s">
        <v>376</v>
      </c>
      <c r="G30" s="1206"/>
      <c r="H30" s="1207"/>
      <c r="I30" s="867"/>
      <c r="J30" s="867"/>
    </row>
    <row r="31" spans="1:10" s="133" customFormat="1" ht="19.5" customHeight="1">
      <c r="A31" s="681" t="s">
        <v>310</v>
      </c>
      <c r="B31" s="680"/>
      <c r="C31" s="701" t="s">
        <v>864</v>
      </c>
      <c r="D31" s="252">
        <f>-'Anexo Transf. y subv.'!D50-'Anexo Transf. y subv.'!D61</f>
        <v>-14791501.45</v>
      </c>
      <c r="E31" s="252">
        <f>-'Anexo Transf. y subv.'!E50-'Anexo Transf. y subv.'!E61</f>
        <v>-13787106.42</v>
      </c>
      <c r="F31" s="693"/>
      <c r="G31" s="693"/>
      <c r="H31" s="694"/>
      <c r="I31" s="868"/>
      <c r="J31" s="867"/>
    </row>
    <row r="32" spans="1:10" s="133" customFormat="1" ht="19.5" customHeight="1">
      <c r="A32" s="681"/>
      <c r="B32" s="680"/>
      <c r="C32" s="701"/>
      <c r="D32" s="252"/>
      <c r="E32" s="994"/>
      <c r="F32" s="751"/>
      <c r="G32" s="751"/>
      <c r="H32" s="752"/>
      <c r="I32" s="930"/>
      <c r="J32" s="867"/>
    </row>
    <row r="33" spans="1:10" s="133" customFormat="1" ht="19.5" customHeight="1">
      <c r="A33" s="681"/>
      <c r="B33" s="680"/>
      <c r="C33" s="248"/>
      <c r="D33" s="252"/>
      <c r="E33" s="252"/>
      <c r="F33" s="693"/>
      <c r="G33" s="693"/>
      <c r="H33" s="694"/>
      <c r="I33" s="930"/>
      <c r="J33" s="867"/>
    </row>
    <row r="34" spans="1:10" s="133" customFormat="1" ht="19.5" customHeight="1">
      <c r="A34" s="681"/>
      <c r="B34" s="680"/>
      <c r="C34" s="248"/>
      <c r="D34" s="252"/>
      <c r="E34" s="252"/>
      <c r="F34" s="693"/>
      <c r="G34" s="693"/>
      <c r="H34" s="694"/>
      <c r="I34" s="931"/>
      <c r="J34" s="867"/>
    </row>
    <row r="35" spans="1:10" s="133" customFormat="1" ht="19.5" customHeight="1">
      <c r="A35" s="681"/>
      <c r="B35" s="680"/>
      <c r="C35" s="248"/>
      <c r="D35" s="252"/>
      <c r="E35" s="252"/>
      <c r="F35" s="693"/>
      <c r="G35" s="693"/>
      <c r="H35" s="694"/>
      <c r="I35" s="867"/>
      <c r="J35" s="867"/>
    </row>
    <row r="36" spans="1:10" s="133" customFormat="1" ht="19.5" customHeight="1" thickBot="1">
      <c r="A36" s="682"/>
      <c r="B36" s="683"/>
      <c r="C36" s="372"/>
      <c r="D36" s="373"/>
      <c r="E36" s="373"/>
      <c r="F36" s="695"/>
      <c r="G36" s="695"/>
      <c r="H36" s="260"/>
      <c r="I36" s="867"/>
      <c r="J36" s="867"/>
    </row>
    <row r="37" spans="1:10" s="133" customFormat="1" ht="19.5" customHeight="1" thickBot="1">
      <c r="A37" s="675" t="s">
        <v>476</v>
      </c>
      <c r="B37" s="651"/>
      <c r="C37" s="676"/>
      <c r="D37" s="738">
        <f>SUM(D29:D36)</f>
        <v>-52919093.18000001</v>
      </c>
      <c r="E37" s="736">
        <f>SUM(E29:E36)</f>
        <v>-45744980.78</v>
      </c>
      <c r="F37" s="698"/>
      <c r="G37" s="698"/>
      <c r="H37" s="698"/>
      <c r="I37" s="867"/>
      <c r="J37" s="867"/>
    </row>
    <row r="38" spans="1:10" s="133" customFormat="1" ht="19.5" customHeight="1" thickBot="1">
      <c r="A38" s="698"/>
      <c r="B38" s="698"/>
      <c r="C38" s="698"/>
      <c r="D38" s="698"/>
      <c r="E38" s="698"/>
      <c r="F38" s="698"/>
      <c r="G38" s="698"/>
      <c r="H38" s="698"/>
      <c r="I38" s="867"/>
      <c r="J38" s="867"/>
    </row>
    <row r="39" spans="1:10" s="133" customFormat="1" ht="41.25" customHeight="1" thickBot="1">
      <c r="A39" s="677" t="s">
        <v>763</v>
      </c>
      <c r="B39" s="651"/>
      <c r="C39" s="652" t="s">
        <v>847</v>
      </c>
      <c r="D39" s="652">
        <v>2015</v>
      </c>
      <c r="E39" s="652">
        <v>2016</v>
      </c>
      <c r="F39" s="652" t="s">
        <v>477</v>
      </c>
      <c r="G39" s="652" t="s">
        <v>931</v>
      </c>
      <c r="H39" s="653" t="s">
        <v>930</v>
      </c>
      <c r="I39" s="867"/>
      <c r="J39" s="867"/>
    </row>
    <row r="40" spans="1:10" s="133" customFormat="1" ht="19.5" customHeight="1">
      <c r="A40" s="688"/>
      <c r="B40" s="689"/>
      <c r="C40" s="690"/>
      <c r="D40" s="691"/>
      <c r="E40" s="692"/>
      <c r="F40" s="753"/>
      <c r="G40" s="753"/>
      <c r="H40" s="754"/>
      <c r="I40" s="932"/>
      <c r="J40" s="932"/>
    </row>
    <row r="41" spans="1:10" s="133" customFormat="1" ht="19.5" customHeight="1" hidden="1">
      <c r="A41" s="681"/>
      <c r="B41" s="680"/>
      <c r="C41" s="248"/>
      <c r="D41" s="252"/>
      <c r="E41" s="252"/>
      <c r="F41" s="755"/>
      <c r="G41" s="755"/>
      <c r="H41" s="756"/>
      <c r="I41" s="932"/>
      <c r="J41" s="932"/>
    </row>
    <row r="42" spans="1:10" s="133" customFormat="1" ht="19.5" customHeight="1" hidden="1">
      <c r="A42" s="681"/>
      <c r="B42" s="680"/>
      <c r="C42" s="248"/>
      <c r="D42" s="252"/>
      <c r="E42" s="252"/>
      <c r="F42" s="255"/>
      <c r="G42" s="255"/>
      <c r="H42" s="256"/>
      <c r="I42" s="867"/>
      <c r="J42" s="867"/>
    </row>
    <row r="43" spans="1:15" ht="24.75" customHeight="1" hidden="1">
      <c r="A43" s="681"/>
      <c r="B43" s="680"/>
      <c r="C43" s="248"/>
      <c r="D43" s="252"/>
      <c r="E43" s="252"/>
      <c r="F43" s="255"/>
      <c r="G43" s="255"/>
      <c r="H43" s="256"/>
      <c r="O43" s="247"/>
    </row>
    <row r="44" spans="1:15" ht="19.5" customHeight="1" hidden="1">
      <c r="A44" s="681"/>
      <c r="B44" s="680"/>
      <c r="C44" s="248"/>
      <c r="D44" s="252"/>
      <c r="E44" s="252"/>
      <c r="F44" s="255"/>
      <c r="G44" s="255"/>
      <c r="H44" s="256"/>
      <c r="O44" s="247"/>
    </row>
    <row r="45" spans="1:15" ht="19.5" customHeight="1" hidden="1">
      <c r="A45" s="681"/>
      <c r="B45" s="680"/>
      <c r="C45" s="248"/>
      <c r="D45" s="252"/>
      <c r="E45" s="252"/>
      <c r="F45" s="255"/>
      <c r="G45" s="255"/>
      <c r="H45" s="256"/>
      <c r="O45" s="247"/>
    </row>
    <row r="46" spans="1:15" ht="19.5" customHeight="1" hidden="1">
      <c r="A46" s="681"/>
      <c r="B46" s="680"/>
      <c r="C46" s="248"/>
      <c r="D46" s="252"/>
      <c r="E46" s="548"/>
      <c r="F46" s="255"/>
      <c r="G46" s="255"/>
      <c r="H46" s="256"/>
      <c r="O46" s="247"/>
    </row>
    <row r="47" spans="1:15" ht="19.5" customHeight="1" thickBot="1">
      <c r="A47" s="682"/>
      <c r="B47" s="683"/>
      <c r="C47" s="372"/>
      <c r="D47" s="373"/>
      <c r="E47" s="373"/>
      <c r="F47" s="259"/>
      <c r="G47" s="259"/>
      <c r="H47" s="260"/>
      <c r="O47" s="247"/>
    </row>
    <row r="48" spans="1:15" ht="19.5" customHeight="1" thickBot="1">
      <c r="A48" s="675" t="s">
        <v>476</v>
      </c>
      <c r="B48" s="651"/>
      <c r="C48" s="676"/>
      <c r="D48" s="738">
        <f>SUM(D40:D47)</f>
        <v>0</v>
      </c>
      <c r="E48" s="736">
        <f>SUM(E40:E47)</f>
        <v>0</v>
      </c>
      <c r="F48" s="698"/>
      <c r="G48" s="698"/>
      <c r="H48" s="698"/>
      <c r="O48" s="247"/>
    </row>
    <row r="49" spans="1:10" s="133" customFormat="1" ht="19.5" customHeight="1">
      <c r="A49" s="698"/>
      <c r="B49" s="698"/>
      <c r="C49" s="698"/>
      <c r="D49" s="698"/>
      <c r="E49" s="698"/>
      <c r="F49" s="698"/>
      <c r="G49" s="698"/>
      <c r="H49" s="698"/>
      <c r="I49" s="867"/>
      <c r="J49" s="867"/>
    </row>
    <row r="50" spans="1:10" s="133" customFormat="1" ht="19.5" customHeight="1" thickBot="1">
      <c r="A50" s="698"/>
      <c r="B50" s="698"/>
      <c r="C50" s="698"/>
      <c r="D50" s="698"/>
      <c r="E50" s="698"/>
      <c r="F50" s="698"/>
      <c r="G50" s="698"/>
      <c r="H50" s="698"/>
      <c r="I50" s="867"/>
      <c r="J50" s="867"/>
    </row>
    <row r="51" spans="1:10" s="133" customFormat="1" ht="44.25" customHeight="1" thickBot="1">
      <c r="A51" s="677" t="s">
        <v>854</v>
      </c>
      <c r="B51" s="651"/>
      <c r="C51" s="652" t="s">
        <v>847</v>
      </c>
      <c r="D51" s="652">
        <v>2015</v>
      </c>
      <c r="E51" s="652">
        <v>2016</v>
      </c>
      <c r="F51" s="652" t="s">
        <v>477</v>
      </c>
      <c r="G51" s="652" t="s">
        <v>931</v>
      </c>
      <c r="H51" s="653" t="s">
        <v>930</v>
      </c>
      <c r="I51" s="867"/>
      <c r="J51" s="867"/>
    </row>
    <row r="52" spans="1:10" s="133" customFormat="1" ht="19.5" customHeight="1">
      <c r="A52" s="679"/>
      <c r="B52" s="680"/>
      <c r="C52" s="248"/>
      <c r="D52" s="249"/>
      <c r="E52" s="249"/>
      <c r="F52" s="253"/>
      <c r="G52" s="253"/>
      <c r="H52" s="254"/>
      <c r="I52" s="867"/>
      <c r="J52" s="867"/>
    </row>
    <row r="53" spans="1:10" s="133" customFormat="1" ht="19.5" customHeight="1">
      <c r="A53" s="681"/>
      <c r="B53" s="680"/>
      <c r="C53" s="248"/>
      <c r="D53" s="252"/>
      <c r="E53" s="252"/>
      <c r="F53" s="255"/>
      <c r="G53" s="255"/>
      <c r="H53" s="256"/>
      <c r="I53" s="867"/>
      <c r="J53" s="867"/>
    </row>
    <row r="54" spans="1:10" s="133" customFormat="1" ht="19.5" customHeight="1">
      <c r="A54" s="681"/>
      <c r="B54" s="680"/>
      <c r="C54" s="248"/>
      <c r="D54" s="252"/>
      <c r="E54" s="252"/>
      <c r="F54" s="255"/>
      <c r="G54" s="255"/>
      <c r="H54" s="256"/>
      <c r="I54" s="867"/>
      <c r="J54" s="867"/>
    </row>
    <row r="55" spans="1:10" s="133" customFormat="1" ht="19.5" customHeight="1">
      <c r="A55" s="681"/>
      <c r="B55" s="680"/>
      <c r="C55" s="248"/>
      <c r="D55" s="252"/>
      <c r="E55" s="252"/>
      <c r="F55" s="255"/>
      <c r="G55" s="255"/>
      <c r="H55" s="256"/>
      <c r="I55" s="867"/>
      <c r="J55" s="867"/>
    </row>
    <row r="56" spans="1:10" s="133" customFormat="1" ht="19.5" customHeight="1">
      <c r="A56" s="681"/>
      <c r="B56" s="680"/>
      <c r="C56" s="248"/>
      <c r="D56" s="252"/>
      <c r="E56" s="252"/>
      <c r="F56" s="255"/>
      <c r="G56" s="255"/>
      <c r="H56" s="256"/>
      <c r="I56" s="867"/>
      <c r="J56" s="867"/>
    </row>
    <row r="57" spans="1:10" s="133" customFormat="1" ht="19.5" customHeight="1">
      <c r="A57" s="681"/>
      <c r="B57" s="680"/>
      <c r="C57" s="248"/>
      <c r="D57" s="252"/>
      <c r="E57" s="252"/>
      <c r="F57" s="255"/>
      <c r="G57" s="255"/>
      <c r="H57" s="256"/>
      <c r="I57" s="867"/>
      <c r="J57" s="867"/>
    </row>
    <row r="58" spans="1:10" s="133" customFormat="1" ht="19.5" customHeight="1">
      <c r="A58" s="681"/>
      <c r="B58" s="680"/>
      <c r="C58" s="248"/>
      <c r="D58" s="252"/>
      <c r="E58" s="252"/>
      <c r="F58" s="255"/>
      <c r="G58" s="255"/>
      <c r="H58" s="256"/>
      <c r="I58" s="867"/>
      <c r="J58" s="867"/>
    </row>
    <row r="59" spans="1:10" s="133" customFormat="1" ht="19.5" customHeight="1" thickBot="1">
      <c r="A59" s="681"/>
      <c r="B59" s="684"/>
      <c r="C59" s="257"/>
      <c r="D59" s="258"/>
      <c r="E59" s="258"/>
      <c r="F59" s="259"/>
      <c r="G59" s="259"/>
      <c r="H59" s="260"/>
      <c r="I59" s="867"/>
      <c r="J59" s="867"/>
    </row>
    <row r="60" spans="1:10" s="133" customFormat="1" ht="19.5" customHeight="1" thickBot="1">
      <c r="A60" s="675" t="s">
        <v>860</v>
      </c>
      <c r="B60" s="651"/>
      <c r="C60" s="676"/>
      <c r="D60" s="678">
        <f>SUM(D52:D59)</f>
        <v>0</v>
      </c>
      <c r="E60" s="678">
        <f>SUM(E52:E59)</f>
        <v>0</v>
      </c>
      <c r="F60" s="698"/>
      <c r="G60" s="698"/>
      <c r="H60" s="698"/>
      <c r="I60" s="867"/>
      <c r="J60" s="867"/>
    </row>
    <row r="61" spans="1:10" s="133" customFormat="1" ht="19.5" customHeight="1">
      <c r="A61" s="264"/>
      <c r="B61" s="265"/>
      <c r="C61" s="266"/>
      <c r="D61" s="266"/>
      <c r="E61" s="266"/>
      <c r="I61" s="867"/>
      <c r="J61" s="867"/>
    </row>
    <row r="62" spans="1:10" s="133" customFormat="1" ht="45.75" customHeight="1">
      <c r="A62" s="1204"/>
      <c r="B62" s="1204"/>
      <c r="C62" s="1204"/>
      <c r="D62" s="1204"/>
      <c r="E62" s="1204"/>
      <c r="F62" s="1204"/>
      <c r="G62" s="1204"/>
      <c r="H62" s="1204"/>
      <c r="I62" s="867"/>
      <c r="J62" s="867"/>
    </row>
    <row r="63" spans="1:10" s="133" customFormat="1" ht="19.5" customHeight="1">
      <c r="A63" s="1200"/>
      <c r="B63" s="1200"/>
      <c r="C63" s="1200"/>
      <c r="D63" s="1200"/>
      <c r="E63" s="1200"/>
      <c r="F63" s="1200"/>
      <c r="G63" s="1200"/>
      <c r="H63" s="1200"/>
      <c r="I63" s="867"/>
      <c r="J63" s="867"/>
    </row>
    <row r="64" spans="1:10" s="133" customFormat="1" ht="18.75" customHeight="1">
      <c r="A64" s="1200"/>
      <c r="B64" s="1200"/>
      <c r="C64" s="1200"/>
      <c r="D64" s="1200"/>
      <c r="E64" s="1200"/>
      <c r="F64" s="1200"/>
      <c r="G64" s="1200"/>
      <c r="H64" s="1200"/>
      <c r="I64" s="867"/>
      <c r="J64" s="867"/>
    </row>
    <row r="65" spans="9:10" s="133" customFormat="1" ht="19.5" customHeight="1">
      <c r="I65" s="867"/>
      <c r="J65" s="867"/>
    </row>
    <row r="66" spans="9:10" s="133" customFormat="1" ht="19.5" customHeight="1">
      <c r="I66" s="867"/>
      <c r="J66" s="867"/>
    </row>
    <row r="67" spans="9:10" s="133" customFormat="1" ht="19.5" customHeight="1">
      <c r="I67" s="867"/>
      <c r="J67" s="867"/>
    </row>
    <row r="68" spans="9:10" s="133" customFormat="1" ht="19.5" customHeight="1">
      <c r="I68" s="867"/>
      <c r="J68" s="867"/>
    </row>
    <row r="69" spans="9:10" s="133" customFormat="1" ht="19.5" customHeight="1">
      <c r="I69" s="867"/>
      <c r="J69" s="867"/>
    </row>
    <row r="70" spans="9:10" s="133" customFormat="1" ht="19.5" customHeight="1">
      <c r="I70" s="867"/>
      <c r="J70" s="867"/>
    </row>
    <row r="71" spans="9:10" s="133" customFormat="1" ht="19.5" customHeight="1">
      <c r="I71" s="867"/>
      <c r="J71" s="867"/>
    </row>
    <row r="72" spans="9:10" s="133" customFormat="1" ht="19.5" customHeight="1">
      <c r="I72" s="867"/>
      <c r="J72" s="867"/>
    </row>
    <row r="73" spans="9:10" s="133" customFormat="1" ht="19.5" customHeight="1">
      <c r="I73" s="867"/>
      <c r="J73" s="867"/>
    </row>
    <row r="74" spans="9:10" s="133" customFormat="1" ht="19.5" customHeight="1">
      <c r="I74" s="867"/>
      <c r="J74" s="867"/>
    </row>
    <row r="75" spans="9:10" s="133" customFormat="1" ht="19.5" customHeight="1">
      <c r="I75" s="867"/>
      <c r="J75" s="867"/>
    </row>
    <row r="76" spans="9:10" s="133" customFormat="1" ht="19.5" customHeight="1">
      <c r="I76" s="867"/>
      <c r="J76" s="867"/>
    </row>
    <row r="77" spans="9:10" s="133" customFormat="1" ht="12.75">
      <c r="I77" s="867"/>
      <c r="J77" s="867"/>
    </row>
    <row r="78" spans="9:10" s="133" customFormat="1" ht="12.75">
      <c r="I78" s="867"/>
      <c r="J78" s="867"/>
    </row>
    <row r="79" spans="9:10" s="133" customFormat="1" ht="12.75">
      <c r="I79" s="867"/>
      <c r="J79" s="867"/>
    </row>
    <row r="80" spans="9:10" s="133" customFormat="1" ht="12.75">
      <c r="I80" s="867"/>
      <c r="J80" s="867"/>
    </row>
    <row r="81" spans="9:10" s="133" customFormat="1" ht="12.75">
      <c r="I81" s="867"/>
      <c r="J81" s="867"/>
    </row>
    <row r="82" spans="9:10" s="133" customFormat="1" ht="12.75">
      <c r="I82" s="867"/>
      <c r="J82" s="867"/>
    </row>
    <row r="88" ht="12.75">
      <c r="C88" s="245" t="s">
        <v>861</v>
      </c>
    </row>
    <row r="89" ht="12.75">
      <c r="C89" s="245" t="s">
        <v>862</v>
      </c>
    </row>
    <row r="90" ht="12.75">
      <c r="C90" s="245" t="s">
        <v>863</v>
      </c>
    </row>
    <row r="91" ht="12.75">
      <c r="C91" s="245" t="s">
        <v>864</v>
      </c>
    </row>
    <row r="92" ht="12.75">
      <c r="C92" s="245" t="s">
        <v>865</v>
      </c>
    </row>
    <row r="93" ht="12.75">
      <c r="C93" s="245" t="s">
        <v>866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63:H63"/>
    <mergeCell ref="A64:H64"/>
    <mergeCell ref="A9:H9"/>
    <mergeCell ref="A62:H62"/>
    <mergeCell ref="F30:H30"/>
    <mergeCell ref="F7:H7"/>
    <mergeCell ref="F8:H8"/>
    <mergeCell ref="A8:E8"/>
    <mergeCell ref="A7:E7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1:L64"/>
  <sheetViews>
    <sheetView zoomScale="70" zoomScaleNormal="70" zoomScalePageLayoutView="0" workbookViewId="0" topLeftCell="A1">
      <selection activeCell="D4" sqref="D4"/>
    </sheetView>
  </sheetViews>
  <sheetFormatPr defaultColWidth="11.421875" defaultRowHeight="12.75"/>
  <cols>
    <col min="2" max="2" width="48.57421875" style="0" bestFit="1" customWidth="1"/>
    <col min="3" max="3" width="15.421875" style="0" customWidth="1"/>
    <col min="4" max="5" width="17.421875" style="0" bestFit="1" customWidth="1"/>
    <col min="6" max="6" width="7.7109375" style="0" customWidth="1"/>
    <col min="7" max="7" width="9.28125" style="0" customWidth="1"/>
    <col min="8" max="8" width="7.28125" style="0" bestFit="1" customWidth="1"/>
    <col min="9" max="9" width="16.421875" style="945" bestFit="1" customWidth="1"/>
  </cols>
  <sheetData>
    <row r="1" spans="2:9" ht="15">
      <c r="B1" s="223"/>
      <c r="C1" s="223"/>
      <c r="D1" s="803" t="s">
        <v>829</v>
      </c>
      <c r="E1" s="245"/>
      <c r="F1" s="245"/>
      <c r="G1" s="245"/>
      <c r="H1" s="245"/>
      <c r="I1" s="946"/>
    </row>
    <row r="2" spans="2:9" ht="14.25">
      <c r="B2" s="223"/>
      <c r="C2" s="223"/>
      <c r="D2" s="804" t="s">
        <v>830</v>
      </c>
      <c r="E2" s="245"/>
      <c r="F2" s="245"/>
      <c r="G2" s="245"/>
      <c r="H2" s="245"/>
      <c r="I2" s="946"/>
    </row>
    <row r="3" spans="2:9" ht="12.75">
      <c r="B3" s="223"/>
      <c r="C3" s="223"/>
      <c r="D3" s="223"/>
      <c r="E3" s="245"/>
      <c r="F3" s="245"/>
      <c r="G3" s="245"/>
      <c r="H3" s="245"/>
      <c r="I3" s="946"/>
    </row>
    <row r="4" spans="2:9" ht="15">
      <c r="B4" s="802" t="s">
        <v>678</v>
      </c>
      <c r="C4" s="223"/>
      <c r="D4" s="807">
        <v>42339</v>
      </c>
      <c r="E4" s="245"/>
      <c r="F4" s="245"/>
      <c r="G4" s="245"/>
      <c r="H4" s="245"/>
      <c r="I4" s="946"/>
    </row>
    <row r="5" spans="2:9" ht="15">
      <c r="B5" s="802" t="s">
        <v>828</v>
      </c>
      <c r="C5" s="223"/>
      <c r="D5" s="806" t="s">
        <v>831</v>
      </c>
      <c r="E5" s="245"/>
      <c r="F5" s="245"/>
      <c r="G5" s="245"/>
      <c r="H5" s="245"/>
      <c r="I5" s="946"/>
    </row>
    <row r="6" spans="2:9" ht="13.5" thickBot="1">
      <c r="B6" s="696"/>
      <c r="C6" s="245"/>
      <c r="D6" s="245"/>
      <c r="E6" s="245"/>
      <c r="F6" s="245"/>
      <c r="G6" s="245"/>
      <c r="H6" s="245"/>
      <c r="I6" s="947"/>
    </row>
    <row r="7" spans="2:9" ht="12.75">
      <c r="B7" s="1198" t="s">
        <v>542</v>
      </c>
      <c r="C7" s="1199"/>
      <c r="D7" s="1199"/>
      <c r="E7" s="1199"/>
      <c r="F7" s="1199"/>
      <c r="G7" s="1208">
        <v>2016</v>
      </c>
      <c r="H7" s="1209"/>
      <c r="I7" s="948"/>
    </row>
    <row r="8" spans="2:9" ht="54" customHeight="1" thickBot="1">
      <c r="B8" s="1196" t="s">
        <v>766</v>
      </c>
      <c r="C8" s="1197"/>
      <c r="D8" s="1197"/>
      <c r="E8" s="1197"/>
      <c r="F8" s="1197"/>
      <c r="G8" s="1210" t="s">
        <v>768</v>
      </c>
      <c r="H8" s="1211"/>
      <c r="I8" s="949"/>
    </row>
    <row r="9" spans="2:8" ht="13.5" thickBot="1">
      <c r="B9" s="951" t="s">
        <v>351</v>
      </c>
      <c r="C9" s="862" t="s">
        <v>336</v>
      </c>
      <c r="D9" s="652">
        <v>2015</v>
      </c>
      <c r="E9" s="935">
        <v>2016</v>
      </c>
      <c r="F9" s="652" t="s">
        <v>477</v>
      </c>
      <c r="G9" s="652" t="s">
        <v>931</v>
      </c>
      <c r="H9" s="863" t="s">
        <v>930</v>
      </c>
    </row>
    <row r="10" spans="2:8" ht="12.75">
      <c r="B10" s="952"/>
      <c r="C10" s="861"/>
      <c r="D10" s="980"/>
      <c r="E10" s="981"/>
      <c r="F10" s="982"/>
      <c r="G10" s="982"/>
      <c r="H10" s="983"/>
    </row>
    <row r="11" spans="2:8" ht="12.75">
      <c r="B11" s="953" t="s">
        <v>338</v>
      </c>
      <c r="C11" s="851"/>
      <c r="D11" s="852">
        <f>SUM(D12:D43)</f>
        <v>38127591.730000004</v>
      </c>
      <c r="E11" s="936">
        <f>SUM(E12:E48)</f>
        <v>31957874.36</v>
      </c>
      <c r="F11" s="851"/>
      <c r="G11" s="851"/>
      <c r="H11" s="833"/>
    </row>
    <row r="12" spans="2:8" ht="12.75">
      <c r="B12" s="954" t="s">
        <v>311</v>
      </c>
      <c r="C12" s="853" t="s">
        <v>337</v>
      </c>
      <c r="D12" s="846">
        <v>12821196.14</v>
      </c>
      <c r="E12" s="937"/>
      <c r="F12" s="851"/>
      <c r="G12" s="851"/>
      <c r="H12" s="833"/>
    </row>
    <row r="13" spans="2:8" ht="12.75">
      <c r="B13" s="954"/>
      <c r="C13" s="853"/>
      <c r="D13" s="840"/>
      <c r="E13" s="937"/>
      <c r="F13" s="851"/>
      <c r="G13" s="851"/>
      <c r="H13" s="833"/>
    </row>
    <row r="14" spans="2:8" ht="12.75">
      <c r="B14" s="954" t="s">
        <v>312</v>
      </c>
      <c r="C14" s="853" t="s">
        <v>337</v>
      </c>
      <c r="D14" s="840"/>
      <c r="E14" s="938">
        <v>1536373.36</v>
      </c>
      <c r="F14" s="942" t="s">
        <v>371</v>
      </c>
      <c r="G14" s="942" t="s">
        <v>377</v>
      </c>
      <c r="H14" s="955" t="s">
        <v>374</v>
      </c>
    </row>
    <row r="15" spans="2:8" ht="12.75">
      <c r="B15" s="954"/>
      <c r="C15" s="853"/>
      <c r="D15" s="840"/>
      <c r="E15" s="937"/>
      <c r="F15" s="942"/>
      <c r="G15" s="942"/>
      <c r="H15" s="955"/>
    </row>
    <row r="16" spans="2:8" ht="12.75">
      <c r="B16" s="954" t="s">
        <v>313</v>
      </c>
      <c r="C16" s="853" t="s">
        <v>337</v>
      </c>
      <c r="D16" s="847">
        <v>13354690.14</v>
      </c>
      <c r="E16" s="938">
        <v>0</v>
      </c>
      <c r="F16" s="942"/>
      <c r="G16" s="942"/>
      <c r="H16" s="955"/>
    </row>
    <row r="17" spans="2:8" ht="12.75">
      <c r="B17" s="954" t="s">
        <v>314</v>
      </c>
      <c r="C17" s="853" t="s">
        <v>337</v>
      </c>
      <c r="D17" s="847">
        <v>-2340354</v>
      </c>
      <c r="E17" s="937"/>
      <c r="F17" s="942"/>
      <c r="G17" s="942"/>
      <c r="H17" s="955"/>
    </row>
    <row r="18" spans="2:8" ht="12.75">
      <c r="B18" s="954" t="s">
        <v>315</v>
      </c>
      <c r="C18" s="853" t="s">
        <v>337</v>
      </c>
      <c r="D18" s="847">
        <v>141285.98</v>
      </c>
      <c r="E18" s="937"/>
      <c r="F18" s="942"/>
      <c r="G18" s="942"/>
      <c r="H18" s="955"/>
    </row>
    <row r="19" spans="2:8" ht="12.75">
      <c r="B19" s="954"/>
      <c r="C19" s="853"/>
      <c r="D19" s="840"/>
      <c r="E19" s="937"/>
      <c r="F19" s="942"/>
      <c r="G19" s="942"/>
      <c r="H19" s="955"/>
    </row>
    <row r="20" spans="2:8" ht="12.75">
      <c r="B20" s="954" t="s">
        <v>316</v>
      </c>
      <c r="C20" s="853" t="s">
        <v>337</v>
      </c>
      <c r="D20" s="846"/>
      <c r="E20" s="939">
        <v>13219368.93</v>
      </c>
      <c r="F20" s="942" t="s">
        <v>371</v>
      </c>
      <c r="G20" s="942" t="s">
        <v>377</v>
      </c>
      <c r="H20" s="955" t="s">
        <v>374</v>
      </c>
    </row>
    <row r="21" spans="2:8" ht="12.75">
      <c r="B21" s="954" t="s">
        <v>317</v>
      </c>
      <c r="C21" s="853" t="s">
        <v>337</v>
      </c>
      <c r="D21" s="846"/>
      <c r="E21" s="939">
        <v>396581.07</v>
      </c>
      <c r="F21" s="942" t="s">
        <v>371</v>
      </c>
      <c r="G21" s="942" t="s">
        <v>377</v>
      </c>
      <c r="H21" s="955" t="s">
        <v>374</v>
      </c>
    </row>
    <row r="22" spans="2:8" ht="12.75">
      <c r="B22" s="954" t="s">
        <v>318</v>
      </c>
      <c r="C22" s="853" t="s">
        <v>337</v>
      </c>
      <c r="D22" s="847">
        <v>10906340</v>
      </c>
      <c r="E22" s="939">
        <v>0</v>
      </c>
      <c r="F22" s="942"/>
      <c r="G22" s="942"/>
      <c r="H22" s="955"/>
    </row>
    <row r="23" spans="2:8" ht="12.75">
      <c r="B23" s="954" t="s">
        <v>319</v>
      </c>
      <c r="C23" s="853" t="s">
        <v>337</v>
      </c>
      <c r="D23" s="848">
        <v>100000</v>
      </c>
      <c r="E23" s="940"/>
      <c r="F23" s="942"/>
      <c r="G23" s="942"/>
      <c r="H23" s="955"/>
    </row>
    <row r="24" spans="2:8" ht="12.75">
      <c r="B24" s="954" t="s">
        <v>320</v>
      </c>
      <c r="C24" s="853" t="s">
        <v>337</v>
      </c>
      <c r="D24" s="848">
        <v>949892</v>
      </c>
      <c r="E24" s="940"/>
      <c r="F24" s="942"/>
      <c r="G24" s="942"/>
      <c r="H24" s="955"/>
    </row>
    <row r="25" spans="2:8" ht="12.75">
      <c r="B25" s="954"/>
      <c r="C25" s="853"/>
      <c r="D25" s="848"/>
      <c r="E25" s="940"/>
      <c r="F25" s="942"/>
      <c r="G25" s="942"/>
      <c r="H25" s="955"/>
    </row>
    <row r="26" spans="2:8" ht="12.75">
      <c r="B26" s="954" t="s">
        <v>321</v>
      </c>
      <c r="C26" s="853" t="s">
        <v>337</v>
      </c>
      <c r="D26" s="846"/>
      <c r="E26" s="940">
        <v>10587846</v>
      </c>
      <c r="F26" s="942" t="s">
        <v>371</v>
      </c>
      <c r="G26" s="942" t="s">
        <v>377</v>
      </c>
      <c r="H26" s="955" t="s">
        <v>374</v>
      </c>
    </row>
    <row r="27" spans="2:8" ht="12.75">
      <c r="B27" s="954" t="s">
        <v>322</v>
      </c>
      <c r="C27" s="853" t="s">
        <v>337</v>
      </c>
      <c r="D27" s="846"/>
      <c r="E27" s="940">
        <v>593850</v>
      </c>
      <c r="F27" s="942" t="s">
        <v>371</v>
      </c>
      <c r="G27" s="942" t="s">
        <v>372</v>
      </c>
      <c r="H27" s="955" t="s">
        <v>373</v>
      </c>
    </row>
    <row r="28" spans="2:8" ht="12.75">
      <c r="B28" s="954"/>
      <c r="C28" s="853"/>
      <c r="D28" s="848"/>
      <c r="E28" s="940"/>
      <c r="F28" s="942"/>
      <c r="G28" s="942"/>
      <c r="H28" s="955"/>
    </row>
    <row r="29" spans="2:8" ht="12.75">
      <c r="B29" s="954" t="s">
        <v>323</v>
      </c>
      <c r="C29" s="853" t="s">
        <v>337</v>
      </c>
      <c r="D29" s="848">
        <v>625000</v>
      </c>
      <c r="E29" s="940"/>
      <c r="F29" s="942"/>
      <c r="G29" s="942"/>
      <c r="H29" s="955"/>
    </row>
    <row r="30" spans="2:8" ht="12.75">
      <c r="B30" s="954" t="s">
        <v>324</v>
      </c>
      <c r="C30" s="853" t="s">
        <v>337</v>
      </c>
      <c r="D30" s="848">
        <v>954880.65</v>
      </c>
      <c r="E30" s="940">
        <v>1279842</v>
      </c>
      <c r="F30" s="942" t="s">
        <v>371</v>
      </c>
      <c r="G30" s="942" t="s">
        <v>375</v>
      </c>
      <c r="H30" s="955" t="s">
        <v>374</v>
      </c>
    </row>
    <row r="31" spans="2:8" ht="12.75">
      <c r="B31" s="954"/>
      <c r="C31" s="853"/>
      <c r="D31" s="848"/>
      <c r="E31" s="940"/>
      <c r="F31" s="851"/>
      <c r="G31" s="851"/>
      <c r="H31" s="833"/>
    </row>
    <row r="32" spans="2:8" ht="12.75">
      <c r="B32" s="954" t="s">
        <v>325</v>
      </c>
      <c r="C32" s="853" t="s">
        <v>337</v>
      </c>
      <c r="D32" s="848">
        <v>14412</v>
      </c>
      <c r="E32" s="940">
        <v>14413.23</v>
      </c>
      <c r="F32" s="942" t="s">
        <v>371</v>
      </c>
      <c r="G32" s="942" t="s">
        <v>375</v>
      </c>
      <c r="H32" s="955" t="s">
        <v>374</v>
      </c>
    </row>
    <row r="33" spans="2:12" ht="12.75">
      <c r="B33" s="954" t="s">
        <v>326</v>
      </c>
      <c r="C33" s="853" t="s">
        <v>337</v>
      </c>
      <c r="D33" s="848">
        <v>0</v>
      </c>
      <c r="E33" s="940">
        <v>689858</v>
      </c>
      <c r="F33" s="942" t="s">
        <v>371</v>
      </c>
      <c r="G33" s="942" t="s">
        <v>375</v>
      </c>
      <c r="H33" s="955" t="s">
        <v>374</v>
      </c>
      <c r="J33" s="864"/>
      <c r="K33" s="864"/>
      <c r="L33" s="864"/>
    </row>
    <row r="34" spans="2:9" ht="12.75">
      <c r="B34" s="954" t="s">
        <v>327</v>
      </c>
      <c r="C34" s="853" t="s">
        <v>337</v>
      </c>
      <c r="D34" s="848">
        <v>0</v>
      </c>
      <c r="E34" s="940">
        <v>691578</v>
      </c>
      <c r="F34" s="942" t="s">
        <v>371</v>
      </c>
      <c r="G34" s="942" t="s">
        <v>375</v>
      </c>
      <c r="H34" s="955" t="s">
        <v>374</v>
      </c>
      <c r="I34" s="950"/>
    </row>
    <row r="35" spans="2:9" ht="12.75">
      <c r="B35" s="954" t="s">
        <v>328</v>
      </c>
      <c r="C35" s="853" t="s">
        <v>337</v>
      </c>
      <c r="D35" s="848">
        <v>0</v>
      </c>
      <c r="E35" s="940">
        <v>658058.41</v>
      </c>
      <c r="F35" s="942" t="s">
        <v>371</v>
      </c>
      <c r="G35" s="942" t="s">
        <v>375</v>
      </c>
      <c r="H35" s="955" t="s">
        <v>374</v>
      </c>
      <c r="I35" s="950"/>
    </row>
    <row r="36" spans="2:8" ht="12.75">
      <c r="B36" s="954"/>
      <c r="C36" s="853"/>
      <c r="D36" s="840"/>
      <c r="E36" s="941"/>
      <c r="F36" s="851"/>
      <c r="G36" s="851"/>
      <c r="H36" s="833"/>
    </row>
    <row r="37" spans="2:8" ht="12.75">
      <c r="B37" s="954" t="s">
        <v>329</v>
      </c>
      <c r="C37" s="853" t="s">
        <v>337</v>
      </c>
      <c r="D37" s="848">
        <v>49314</v>
      </c>
      <c r="E37" s="939">
        <v>0</v>
      </c>
      <c r="F37" s="851"/>
      <c r="G37" s="851"/>
      <c r="H37" s="833"/>
    </row>
    <row r="38" spans="2:8" ht="12.75">
      <c r="B38" s="954" t="s">
        <v>346</v>
      </c>
      <c r="C38" s="853" t="s">
        <v>337</v>
      </c>
      <c r="D38" s="848">
        <v>550934.82</v>
      </c>
      <c r="E38" s="939"/>
      <c r="F38" s="851"/>
      <c r="G38" s="851"/>
      <c r="H38" s="833"/>
    </row>
    <row r="39" spans="2:8" ht="12.75">
      <c r="B39" s="954" t="s">
        <v>347</v>
      </c>
      <c r="C39" s="853" t="s">
        <v>337</v>
      </c>
      <c r="D39" s="848"/>
      <c r="E39" s="939">
        <v>565967.38</v>
      </c>
      <c r="F39" s="942" t="s">
        <v>371</v>
      </c>
      <c r="G39" s="942" t="s">
        <v>378</v>
      </c>
      <c r="H39" s="955" t="s">
        <v>374</v>
      </c>
    </row>
    <row r="40" spans="2:8" ht="12.75">
      <c r="B40" s="954"/>
      <c r="C40" s="853"/>
      <c r="D40" s="848"/>
      <c r="E40" s="939"/>
      <c r="F40" s="851"/>
      <c r="G40" s="851"/>
      <c r="H40" s="833"/>
    </row>
    <row r="41" spans="2:8" ht="12.75">
      <c r="B41" s="956" t="s">
        <v>352</v>
      </c>
      <c r="C41" s="853" t="s">
        <v>337</v>
      </c>
      <c r="D41" s="848"/>
      <c r="E41" s="939">
        <v>489751.98</v>
      </c>
      <c r="F41" s="942" t="s">
        <v>371</v>
      </c>
      <c r="G41" s="942" t="s">
        <v>377</v>
      </c>
      <c r="H41" s="955" t="s">
        <v>374</v>
      </c>
    </row>
    <row r="42" spans="2:8" ht="12.75">
      <c r="B42" s="956" t="s">
        <v>353</v>
      </c>
      <c r="C42" s="853" t="s">
        <v>337</v>
      </c>
      <c r="D42" s="848"/>
      <c r="E42" s="939">
        <v>362193</v>
      </c>
      <c r="F42" s="942" t="s">
        <v>371</v>
      </c>
      <c r="G42" s="942" t="s">
        <v>377</v>
      </c>
      <c r="H42" s="955" t="s">
        <v>374</v>
      </c>
    </row>
    <row r="43" spans="2:8" ht="12.75">
      <c r="B43" s="956" t="s">
        <v>354</v>
      </c>
      <c r="C43" s="853" t="s">
        <v>337</v>
      </c>
      <c r="D43" s="848"/>
      <c r="E43" s="939">
        <v>562193</v>
      </c>
      <c r="F43" s="942" t="s">
        <v>371</v>
      </c>
      <c r="G43" s="942" t="s">
        <v>377</v>
      </c>
      <c r="H43" s="955" t="s">
        <v>374</v>
      </c>
    </row>
    <row r="44" spans="2:8" ht="12.75">
      <c r="B44" s="957"/>
      <c r="C44" s="851"/>
      <c r="D44" s="840"/>
      <c r="E44" s="941"/>
      <c r="F44" s="851"/>
      <c r="G44" s="851"/>
      <c r="H44" s="833"/>
    </row>
    <row r="45" spans="2:8" ht="12.75">
      <c r="B45" s="958" t="s">
        <v>183</v>
      </c>
      <c r="C45" s="865" t="s">
        <v>337</v>
      </c>
      <c r="D45" s="860"/>
      <c r="E45" s="939">
        <v>200000</v>
      </c>
      <c r="F45" s="943" t="s">
        <v>371</v>
      </c>
      <c r="G45" s="943" t="s">
        <v>375</v>
      </c>
      <c r="H45" s="959" t="s">
        <v>374</v>
      </c>
    </row>
    <row r="46" spans="2:8" ht="12.75">
      <c r="B46" s="958"/>
      <c r="C46" s="865"/>
      <c r="D46" s="860"/>
      <c r="E46" s="939"/>
      <c r="F46" s="943"/>
      <c r="G46" s="943"/>
      <c r="H46" s="959"/>
    </row>
    <row r="47" spans="2:8" ht="12.75">
      <c r="B47" s="960" t="s">
        <v>917</v>
      </c>
      <c r="C47" s="865" t="s">
        <v>337</v>
      </c>
      <c r="D47" s="860"/>
      <c r="E47" s="939">
        <v>55000</v>
      </c>
      <c r="F47" s="944" t="s">
        <v>371</v>
      </c>
      <c r="G47" s="944" t="s">
        <v>377</v>
      </c>
      <c r="H47" s="961" t="s">
        <v>374</v>
      </c>
    </row>
    <row r="48" spans="2:8" ht="13.5" thickBot="1">
      <c r="B48" s="962" t="s">
        <v>918</v>
      </c>
      <c r="C48" s="963" t="s">
        <v>337</v>
      </c>
      <c r="D48" s="964"/>
      <c r="E48" s="965">
        <v>55000</v>
      </c>
      <c r="F48" s="966" t="s">
        <v>371</v>
      </c>
      <c r="G48" s="966" t="s">
        <v>919</v>
      </c>
      <c r="H48" s="967" t="s">
        <v>374</v>
      </c>
    </row>
    <row r="49" spans="2:8" ht="13.5" thickBot="1">
      <c r="B49" s="984"/>
      <c r="C49" s="985"/>
      <c r="D49" s="986"/>
      <c r="E49" s="987"/>
      <c r="F49" s="759"/>
      <c r="G49" s="759"/>
      <c r="H49" s="759"/>
    </row>
    <row r="50" spans="2:8" ht="15">
      <c r="B50" s="968" t="s">
        <v>339</v>
      </c>
      <c r="C50" s="969"/>
      <c r="D50" s="970">
        <f>SUM(D51:D59)</f>
        <v>13891501.45</v>
      </c>
      <c r="E50" s="971">
        <f>SUM(E51:E59)</f>
        <v>12256785</v>
      </c>
      <c r="F50" s="759"/>
      <c r="G50" s="759"/>
      <c r="H50" s="759"/>
    </row>
    <row r="51" spans="2:8" ht="12.75">
      <c r="B51" s="954" t="s">
        <v>330</v>
      </c>
      <c r="C51" s="853" t="s">
        <v>864</v>
      </c>
      <c r="D51" s="846">
        <v>1979134.93</v>
      </c>
      <c r="E51" s="972"/>
      <c r="F51" s="759"/>
      <c r="G51" s="759"/>
      <c r="H51" s="759"/>
    </row>
    <row r="52" spans="2:8" ht="12.75">
      <c r="B52" s="954"/>
      <c r="C52" s="853"/>
      <c r="D52" s="840"/>
      <c r="E52" s="972"/>
      <c r="F52" s="759"/>
      <c r="G52" s="759"/>
      <c r="H52" s="759"/>
    </row>
    <row r="53" spans="2:8" ht="12.75">
      <c r="B53" s="954" t="s">
        <v>331</v>
      </c>
      <c r="C53" s="853" t="s">
        <v>864</v>
      </c>
      <c r="D53" s="846">
        <v>529233.69</v>
      </c>
      <c r="E53" s="972"/>
      <c r="F53" s="759"/>
      <c r="G53" s="759"/>
      <c r="H53" s="759"/>
    </row>
    <row r="54" spans="2:8" ht="12.75">
      <c r="B54" s="954" t="s">
        <v>332</v>
      </c>
      <c r="C54" s="853" t="s">
        <v>864</v>
      </c>
      <c r="D54" s="846">
        <v>540004.83</v>
      </c>
      <c r="E54" s="972"/>
      <c r="F54" s="759"/>
      <c r="G54" s="759"/>
      <c r="H54" s="759"/>
    </row>
    <row r="55" spans="2:8" ht="12.75">
      <c r="B55" s="954"/>
      <c r="C55" s="853"/>
      <c r="D55" s="846"/>
      <c r="E55" s="972"/>
      <c r="F55" s="759"/>
      <c r="G55" s="759"/>
      <c r="H55" s="759"/>
    </row>
    <row r="56" spans="2:8" ht="12.75">
      <c r="B56" s="954" t="s">
        <v>333</v>
      </c>
      <c r="C56" s="853" t="s">
        <v>864</v>
      </c>
      <c r="D56" s="846">
        <v>10843128</v>
      </c>
      <c r="E56" s="972"/>
      <c r="F56" s="759"/>
      <c r="G56" s="759"/>
      <c r="H56" s="759"/>
    </row>
    <row r="57" spans="2:8" ht="12.75">
      <c r="B57" s="954" t="s">
        <v>334</v>
      </c>
      <c r="C57" s="853" t="s">
        <v>864</v>
      </c>
      <c r="D57" s="840"/>
      <c r="E57" s="973">
        <v>10843128</v>
      </c>
      <c r="F57" s="759"/>
      <c r="G57" s="759"/>
      <c r="H57" s="759"/>
    </row>
    <row r="58" spans="2:8" ht="12.75">
      <c r="B58" s="954"/>
      <c r="C58" s="853"/>
      <c r="D58" s="846"/>
      <c r="E58" s="972"/>
      <c r="F58" s="759"/>
      <c r="G58" s="759"/>
      <c r="H58" s="759"/>
    </row>
    <row r="59" spans="2:8" ht="12.75">
      <c r="B59" s="954" t="s">
        <v>335</v>
      </c>
      <c r="C59" s="853" t="s">
        <v>864</v>
      </c>
      <c r="D59" s="840"/>
      <c r="E59" s="973">
        <v>1413657</v>
      </c>
      <c r="F59" s="759"/>
      <c r="G59" s="759"/>
      <c r="H59" s="759"/>
    </row>
    <row r="60" spans="2:8" ht="12.75">
      <c r="B60" s="954"/>
      <c r="C60" s="853"/>
      <c r="D60" s="840"/>
      <c r="E60" s="972"/>
      <c r="F60" s="759"/>
      <c r="G60" s="759"/>
      <c r="H60" s="759"/>
    </row>
    <row r="61" spans="2:9" s="849" customFormat="1" ht="15">
      <c r="B61" s="974" t="s">
        <v>340</v>
      </c>
      <c r="C61" s="853"/>
      <c r="D61" s="854">
        <f>SUM(D62)</f>
        <v>900000</v>
      </c>
      <c r="E61" s="975">
        <f>SUM(E62)</f>
        <v>1530321.42</v>
      </c>
      <c r="F61" s="945"/>
      <c r="G61" s="945"/>
      <c r="H61" s="945"/>
      <c r="I61" s="945"/>
    </row>
    <row r="62" spans="2:8" ht="12.75">
      <c r="B62" s="954" t="s">
        <v>314</v>
      </c>
      <c r="C62" s="853" t="s">
        <v>864</v>
      </c>
      <c r="D62" s="848">
        <v>900000</v>
      </c>
      <c r="E62" s="973">
        <v>1530321.42</v>
      </c>
      <c r="F62" s="759"/>
      <c r="G62" s="759"/>
      <c r="H62" s="759"/>
    </row>
    <row r="63" spans="2:8" ht="13.5" customHeight="1">
      <c r="B63" s="957"/>
      <c r="C63" s="853"/>
      <c r="D63" s="848"/>
      <c r="E63" s="972"/>
      <c r="F63" s="759"/>
      <c r="G63" s="759"/>
      <c r="H63" s="759"/>
    </row>
    <row r="64" spans="2:8" ht="13.5" thickBot="1">
      <c r="B64" s="976" t="s">
        <v>476</v>
      </c>
      <c r="C64" s="977"/>
      <c r="D64" s="978">
        <f>+D11+D50+D61</f>
        <v>52919093.18000001</v>
      </c>
      <c r="E64" s="979">
        <f>+E11+E50+E61</f>
        <v>45744980.78</v>
      </c>
      <c r="F64" s="850"/>
      <c r="G64" s="759"/>
      <c r="H64" s="759"/>
    </row>
  </sheetData>
  <sheetProtection/>
  <mergeCells count="4">
    <mergeCell ref="G7:H7"/>
    <mergeCell ref="G8:H8"/>
    <mergeCell ref="B7:F7"/>
    <mergeCell ref="B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headerFooter alignWithMargins="0">
    <oddFooter>&amp;L&amp;8Plaza de España, 1
38003 Santa Cruz de Tenerife
Teléfono:901 501 901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2"/>
  <sheetViews>
    <sheetView zoomScale="55" zoomScaleNormal="55" zoomScalePageLayoutView="0" workbookViewId="0" topLeftCell="A1">
      <selection activeCell="C4" sqref="C4"/>
    </sheetView>
  </sheetViews>
  <sheetFormatPr defaultColWidth="11.57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1" width="16.57421875" style="867" hidden="1" customWidth="1"/>
    <col min="12" max="12" width="16.421875" style="133" bestFit="1" customWidth="1"/>
    <col min="13" max="16384" width="11.57421875" style="133" customWidth="1"/>
  </cols>
  <sheetData>
    <row r="1" spans="2:5" ht="15">
      <c r="B1" s="223"/>
      <c r="C1" s="803" t="s">
        <v>829</v>
      </c>
      <c r="E1" s="245"/>
    </row>
    <row r="2" spans="2:5" ht="14.25">
      <c r="B2" s="223"/>
      <c r="C2" s="804" t="s">
        <v>830</v>
      </c>
      <c r="E2" s="245"/>
    </row>
    <row r="3" spans="2:5" ht="12.75">
      <c r="B3" s="223"/>
      <c r="C3" s="223"/>
      <c r="D3" s="223"/>
      <c r="E3" s="245"/>
    </row>
    <row r="4" spans="2:5" ht="15">
      <c r="B4" s="802" t="s">
        <v>678</v>
      </c>
      <c r="C4" s="807">
        <v>42339</v>
      </c>
      <c r="E4" s="245"/>
    </row>
    <row r="5" spans="2:5" ht="15">
      <c r="B5" s="802" t="s">
        <v>828</v>
      </c>
      <c r="C5" s="806" t="s">
        <v>831</v>
      </c>
      <c r="E5" s="245"/>
    </row>
    <row r="6" ht="26.25" customHeight="1" thickBot="1"/>
    <row r="7" spans="1:10" ht="21.75" customHeight="1">
      <c r="A7" s="1079" t="s">
        <v>646</v>
      </c>
      <c r="B7" s="1080"/>
      <c r="C7" s="1080"/>
      <c r="D7" s="1080"/>
      <c r="E7" s="1080"/>
      <c r="F7" s="1080"/>
      <c r="G7" s="1080"/>
      <c r="H7" s="1080"/>
      <c r="I7" s="1243">
        <v>2016</v>
      </c>
      <c r="J7" s="1244"/>
    </row>
    <row r="8" spans="1:10" ht="19.5" customHeight="1">
      <c r="A8" s="1239" t="s">
        <v>647</v>
      </c>
      <c r="B8" s="1240"/>
      <c r="C8" s="1240"/>
      <c r="D8" s="1240"/>
      <c r="E8" s="1240"/>
      <c r="F8" s="1240"/>
      <c r="G8" s="1240"/>
      <c r="H8" s="1240"/>
      <c r="I8" s="1245"/>
      <c r="J8" s="1246"/>
    </row>
    <row r="9" spans="1:10" ht="27.75" customHeight="1" thickBot="1">
      <c r="A9" s="1236" t="str">
        <f>CPYG!A8</f>
        <v>TRANSPORTES INTERURBANOS DE TENERIFE, S.A.U.</v>
      </c>
      <c r="B9" s="1237"/>
      <c r="C9" s="1237"/>
      <c r="D9" s="1237"/>
      <c r="E9" s="1237"/>
      <c r="F9" s="1237"/>
      <c r="G9" s="1237"/>
      <c r="H9" s="1238"/>
      <c r="I9" s="1241" t="s">
        <v>661</v>
      </c>
      <c r="J9" s="1242"/>
    </row>
    <row r="10" spans="1:15" ht="18" customHeight="1">
      <c r="A10" s="1214" t="s">
        <v>868</v>
      </c>
      <c r="B10" s="1215"/>
      <c r="C10" s="1227" t="s">
        <v>66</v>
      </c>
      <c r="D10" s="1229"/>
      <c r="E10" s="1227" t="s">
        <v>67</v>
      </c>
      <c r="F10" s="1228"/>
      <c r="G10" s="1228"/>
      <c r="H10" s="1229"/>
      <c r="I10" s="1227" t="s">
        <v>68</v>
      </c>
      <c r="J10" s="1229"/>
      <c r="K10" s="988"/>
      <c r="L10" s="267"/>
      <c r="M10" s="267"/>
      <c r="N10" s="267"/>
      <c r="O10" s="267"/>
    </row>
    <row r="11" spans="1:15" ht="21" customHeight="1">
      <c r="A11" s="1214"/>
      <c r="B11" s="1215"/>
      <c r="C11" s="268"/>
      <c r="D11" s="269"/>
      <c r="E11" s="1230" t="s">
        <v>662</v>
      </c>
      <c r="F11" s="1232" t="s">
        <v>470</v>
      </c>
      <c r="G11" s="1233"/>
      <c r="H11" s="1225" t="s">
        <v>663</v>
      </c>
      <c r="I11" s="268"/>
      <c r="J11" s="269"/>
      <c r="K11" s="988"/>
      <c r="L11" s="267"/>
      <c r="M11" s="267"/>
      <c r="N11" s="267"/>
      <c r="O11" s="267"/>
    </row>
    <row r="12" spans="1:15" ht="27" customHeight="1">
      <c r="A12" s="1216"/>
      <c r="B12" s="1217"/>
      <c r="C12" s="270" t="s">
        <v>664</v>
      </c>
      <c r="D12" s="271" t="s">
        <v>665</v>
      </c>
      <c r="E12" s="1231"/>
      <c r="F12" s="272" t="s">
        <v>666</v>
      </c>
      <c r="G12" s="272" t="s">
        <v>667</v>
      </c>
      <c r="H12" s="1226"/>
      <c r="I12" s="270" t="s">
        <v>668</v>
      </c>
      <c r="J12" s="271" t="s">
        <v>665</v>
      </c>
      <c r="K12" s="988"/>
      <c r="L12" s="267"/>
      <c r="M12" s="267"/>
      <c r="N12" s="267"/>
      <c r="O12" s="267"/>
    </row>
    <row r="13" spans="1:10" ht="12.75">
      <c r="A13" s="1220" t="s">
        <v>669</v>
      </c>
      <c r="B13" s="1224"/>
      <c r="C13" s="273"/>
      <c r="D13" s="274"/>
      <c r="E13" s="273"/>
      <c r="F13" s="275"/>
      <c r="G13" s="275"/>
      <c r="H13" s="274"/>
      <c r="I13" s="273"/>
      <c r="J13" s="274"/>
    </row>
    <row r="14" spans="1:10" ht="12.75">
      <c r="A14" s="229"/>
      <c r="B14" s="158" t="s">
        <v>670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29"/>
      <c r="B15" s="158" t="s">
        <v>671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29"/>
      <c r="B16" s="158" t="s">
        <v>672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29"/>
      <c r="B17" s="158" t="s">
        <v>673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220" t="s">
        <v>674</v>
      </c>
      <c r="B18" s="1221"/>
      <c r="C18" s="273"/>
      <c r="D18" s="274"/>
      <c r="E18" s="273"/>
      <c r="F18" s="275"/>
      <c r="G18" s="275"/>
      <c r="H18" s="274"/>
      <c r="I18" s="273"/>
      <c r="J18" s="274"/>
    </row>
    <row r="19" spans="1:10" ht="12.75">
      <c r="A19" s="1222" t="s">
        <v>675</v>
      </c>
      <c r="B19" s="1223"/>
      <c r="C19" s="273"/>
      <c r="D19" s="274"/>
      <c r="E19" s="273"/>
      <c r="F19" s="275"/>
      <c r="G19" s="275"/>
      <c r="H19" s="274"/>
      <c r="I19" s="273"/>
      <c r="J19" s="274"/>
    </row>
    <row r="20" spans="1:12" ht="12.75">
      <c r="A20" s="229"/>
      <c r="B20" s="158" t="s">
        <v>676</v>
      </c>
      <c r="C20" s="219">
        <f>4179261.88+92746.04</f>
        <v>4272007.92</v>
      </c>
      <c r="D20" s="218"/>
      <c r="E20" s="219">
        <f>-913585.27-50000</f>
        <v>-963585.27</v>
      </c>
      <c r="F20" s="217"/>
      <c r="G20" s="217"/>
      <c r="H20" s="218">
        <v>276386.86</v>
      </c>
      <c r="I20" s="219">
        <f aca="true" t="shared" si="0" ref="I20:I25">C20+E20+F20+G20</f>
        <v>3308422.65</v>
      </c>
      <c r="J20" s="218"/>
      <c r="K20" s="989">
        <f>+PASIVO!D40+PASIVO!D56</f>
        <v>3308422.65</v>
      </c>
      <c r="L20" s="841"/>
    </row>
    <row r="21" spans="1:10" ht="12.75">
      <c r="A21" s="229"/>
      <c r="B21" s="158" t="s">
        <v>677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29"/>
      <c r="B22" s="158" t="s">
        <v>682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29"/>
      <c r="B23" s="158" t="s">
        <v>684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29"/>
      <c r="B24" s="158" t="s">
        <v>685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29"/>
      <c r="B25" s="158" t="s">
        <v>686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222" t="s">
        <v>687</v>
      </c>
      <c r="B26" s="1223"/>
      <c r="C26" s="273"/>
      <c r="D26" s="274"/>
      <c r="E26" s="273"/>
      <c r="F26" s="275"/>
      <c r="G26" s="275"/>
      <c r="H26" s="274"/>
      <c r="I26" s="273"/>
      <c r="J26" s="274"/>
    </row>
    <row r="27" spans="1:10" ht="12.75">
      <c r="A27" s="229"/>
      <c r="B27" s="158" t="s">
        <v>676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29"/>
      <c r="B28" s="158" t="s">
        <v>677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29"/>
      <c r="B29" s="158" t="s">
        <v>682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29"/>
      <c r="B30" s="158" t="s">
        <v>684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29"/>
      <c r="B31" s="158" t="s">
        <v>685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29"/>
      <c r="B32" s="158" t="s">
        <v>686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222" t="s">
        <v>688</v>
      </c>
      <c r="B33" s="1223"/>
      <c r="C33" s="273"/>
      <c r="D33" s="274"/>
      <c r="E33" s="273"/>
      <c r="F33" s="275"/>
      <c r="G33" s="275"/>
      <c r="H33" s="274"/>
      <c r="I33" s="273"/>
      <c r="J33" s="274"/>
    </row>
    <row r="34" spans="1:10" ht="12.75">
      <c r="A34" s="229"/>
      <c r="B34" s="158" t="s">
        <v>676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29"/>
      <c r="B35" s="158" t="s">
        <v>677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29"/>
      <c r="B36" s="158" t="s">
        <v>682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29"/>
      <c r="B37" s="158" t="s">
        <v>684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29"/>
      <c r="B38" s="158" t="s">
        <v>685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29"/>
      <c r="B39" s="158" t="s">
        <v>686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222" t="s">
        <v>689</v>
      </c>
      <c r="B40" s="1223"/>
      <c r="C40" s="549"/>
      <c r="D40" s="549"/>
      <c r="E40" s="273"/>
      <c r="F40" s="275"/>
      <c r="G40" s="275"/>
      <c r="H40" s="274"/>
      <c r="I40" s="273"/>
      <c r="J40" s="274"/>
    </row>
    <row r="41" spans="1:10" ht="12.75">
      <c r="A41" s="1220" t="s">
        <v>690</v>
      </c>
      <c r="B41" s="1221"/>
      <c r="C41" s="855"/>
      <c r="D41" s="274"/>
      <c r="E41" s="273"/>
      <c r="F41" s="275"/>
      <c r="G41" s="275"/>
      <c r="H41" s="274"/>
      <c r="I41" s="273"/>
      <c r="J41" s="274"/>
    </row>
    <row r="42" spans="1:10" ht="12.75">
      <c r="A42" s="229"/>
      <c r="B42" s="158" t="s">
        <v>691</v>
      </c>
      <c r="C42" s="219">
        <v>973419.58</v>
      </c>
      <c r="D42" s="218"/>
      <c r="E42" s="219"/>
      <c r="F42" s="217"/>
      <c r="G42" s="217"/>
      <c r="H42" s="218">
        <v>31422.24</v>
      </c>
      <c r="I42" s="219">
        <f>C42+E42+F42+G42</f>
        <v>973419.58</v>
      </c>
      <c r="J42" s="218"/>
    </row>
    <row r="43" spans="1:10" ht="12.75">
      <c r="A43" s="229"/>
      <c r="B43" s="158" t="s">
        <v>692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29"/>
      <c r="B44" s="158" t="s">
        <v>693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220" t="s">
        <v>694</v>
      </c>
      <c r="B45" s="1221"/>
      <c r="C45" s="273"/>
      <c r="D45" s="274"/>
      <c r="E45" s="273"/>
      <c r="F45" s="275"/>
      <c r="G45" s="275"/>
      <c r="H45" s="274"/>
      <c r="I45" s="273"/>
      <c r="J45" s="274"/>
    </row>
    <row r="46" spans="1:10" ht="12.75">
      <c r="A46" s="1218" t="s">
        <v>695</v>
      </c>
      <c r="B46" s="1219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234" t="s">
        <v>696</v>
      </c>
      <c r="B47" s="1235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218" t="s">
        <v>697</v>
      </c>
      <c r="B48" s="1219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218" t="s">
        <v>698</v>
      </c>
      <c r="B49" s="1219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218" t="s">
        <v>699</v>
      </c>
      <c r="B50" s="1219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218" t="s">
        <v>700</v>
      </c>
      <c r="B51" s="1219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220" t="s">
        <v>701</v>
      </c>
      <c r="B52" s="1221"/>
      <c r="C52" s="273"/>
      <c r="D52" s="274"/>
      <c r="E52" s="273"/>
      <c r="F52" s="275"/>
      <c r="G52" s="275"/>
      <c r="H52" s="274"/>
      <c r="I52" s="273"/>
      <c r="J52" s="274"/>
    </row>
    <row r="53" spans="1:11" ht="12.75">
      <c r="A53" s="1218" t="s">
        <v>702</v>
      </c>
      <c r="B53" s="1219"/>
      <c r="C53" s="219">
        <f>+PASIVO!C41+PASIVO!C57</f>
        <v>294001.27</v>
      </c>
      <c r="D53" s="218"/>
      <c r="E53" s="219"/>
      <c r="F53" s="217">
        <v>-60461.26</v>
      </c>
      <c r="G53" s="217"/>
      <c r="H53" s="218">
        <v>5290.700000000001</v>
      </c>
      <c r="I53" s="219">
        <f>C53+E53+F53+G53</f>
        <v>233540.01</v>
      </c>
      <c r="J53" s="218"/>
      <c r="K53" s="989">
        <f>+PASIVO!D41+PASIVO!D57</f>
        <v>233540.00999999998</v>
      </c>
    </row>
    <row r="54" spans="1:10" ht="12.75">
      <c r="A54" s="1218" t="s">
        <v>703</v>
      </c>
      <c r="B54" s="1219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218" t="s">
        <v>704</v>
      </c>
      <c r="B55" s="1219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29" t="s">
        <v>705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212" t="s">
        <v>706</v>
      </c>
      <c r="B57" s="1213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  <row r="58" s="867" customFormat="1" ht="12.75" hidden="1">
      <c r="H58" s="990">
        <f>+H20+H42+H53</f>
        <v>313099.8</v>
      </c>
    </row>
    <row r="59" s="867" customFormat="1" ht="12.75" hidden="1">
      <c r="H59" s="867">
        <f>+CPYG!D94</f>
        <v>-313099.8</v>
      </c>
    </row>
    <row r="60" ht="12.75">
      <c r="H60" s="859"/>
    </row>
    <row r="62" ht="12.75">
      <c r="H62" s="859"/>
    </row>
  </sheetData>
  <sheetProtection/>
  <mergeCells count="31">
    <mergeCell ref="I10:J10"/>
    <mergeCell ref="A7:H7"/>
    <mergeCell ref="A9:H9"/>
    <mergeCell ref="A8:H8"/>
    <mergeCell ref="I9:J9"/>
    <mergeCell ref="I7:J8"/>
    <mergeCell ref="C10:D10"/>
    <mergeCell ref="A54:B54"/>
    <mergeCell ref="A55:B55"/>
    <mergeCell ref="A33:B33"/>
    <mergeCell ref="A40:B40"/>
    <mergeCell ref="A41:B41"/>
    <mergeCell ref="A45:B45"/>
    <mergeCell ref="A46:B46"/>
    <mergeCell ref="A47:B47"/>
    <mergeCell ref="A48:B48"/>
    <mergeCell ref="A49:B49"/>
    <mergeCell ref="H11:H12"/>
    <mergeCell ref="E10:H10"/>
    <mergeCell ref="E11:E12"/>
    <mergeCell ref="F11:G11"/>
    <mergeCell ref="A57:B57"/>
    <mergeCell ref="A10:B12"/>
    <mergeCell ref="A50:B50"/>
    <mergeCell ref="A51:B51"/>
    <mergeCell ref="A52:B52"/>
    <mergeCell ref="A53:B53"/>
    <mergeCell ref="A19:B19"/>
    <mergeCell ref="A26:B26"/>
    <mergeCell ref="A13:B13"/>
    <mergeCell ref="A18:B18"/>
  </mergeCells>
  <printOptions horizontalCentered="1" verticalCentered="1"/>
  <pageMargins left="0.7480314960629921" right="0.2362204724409449" top="0.7874015748031497" bottom="0.984251968503937" header="0" footer="0"/>
  <pageSetup fitToHeight="1" fitToWidth="1"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zoomScale="70" zoomScaleNormal="70" zoomScalePageLayoutView="0" workbookViewId="0" topLeftCell="A1">
      <selection activeCell="G4" sqref="G4"/>
    </sheetView>
  </sheetViews>
  <sheetFormatPr defaultColWidth="11.57421875" defaultRowHeight="12.75"/>
  <cols>
    <col min="1" max="1" width="10.28125" style="276" customWidth="1"/>
    <col min="2" max="2" width="19.8515625" style="276" hidden="1" customWidth="1"/>
    <col min="3" max="3" width="31.140625" style="276" bestFit="1" customWidth="1"/>
    <col min="4" max="4" width="16.421875" style="276" customWidth="1"/>
    <col min="5" max="5" width="10.57421875" style="276" customWidth="1"/>
    <col min="6" max="6" width="11.28125" style="276" customWidth="1"/>
    <col min="7" max="8" width="13.57421875" style="276" customWidth="1"/>
    <col min="9" max="9" width="16.57421875" style="276" customWidth="1"/>
    <col min="10" max="10" width="17.28125" style="276" customWidth="1"/>
    <col min="11" max="11" width="13.28125" style="276" customWidth="1"/>
    <col min="12" max="12" width="15.421875" style="276" customWidth="1"/>
    <col min="13" max="13" width="15.57421875" style="276" customWidth="1"/>
    <col min="14" max="14" width="16.7109375" style="276" customWidth="1"/>
    <col min="15" max="15" width="12.57421875" style="276" customWidth="1"/>
    <col min="16" max="16" width="0" style="276" hidden="1" customWidth="1"/>
    <col min="17" max="17" width="17.140625" style="277" hidden="1" customWidth="1"/>
    <col min="18" max="18" width="17.421875" style="277" hidden="1" customWidth="1"/>
    <col min="19" max="19" width="0.9921875" style="277" hidden="1" customWidth="1"/>
    <col min="20" max="16384" width="11.57421875" style="276" customWidth="1"/>
  </cols>
  <sheetData>
    <row r="1" ht="15">
      <c r="G1" s="803" t="s">
        <v>829</v>
      </c>
    </row>
    <row r="2" ht="14.25">
      <c r="G2" s="804" t="s">
        <v>830</v>
      </c>
    </row>
    <row r="4" spans="1:7" ht="15">
      <c r="A4" s="802" t="s">
        <v>678</v>
      </c>
      <c r="G4" s="807">
        <v>42339</v>
      </c>
    </row>
    <row r="5" spans="1:7" ht="15">
      <c r="A5" s="802" t="s">
        <v>828</v>
      </c>
      <c r="G5" s="806" t="s">
        <v>831</v>
      </c>
    </row>
    <row r="6" spans="1:14" ht="24.75" customHeight="1" thickBot="1">
      <c r="A6" s="314"/>
      <c r="N6" s="315"/>
    </row>
    <row r="7" spans="1:19" s="292" customFormat="1" ht="36" customHeight="1" thickBot="1">
      <c r="A7" s="1264" t="s">
        <v>856</v>
      </c>
      <c r="B7" s="1265"/>
      <c r="C7" s="1265"/>
      <c r="D7" s="1265"/>
      <c r="E7" s="1265"/>
      <c r="F7" s="1265"/>
      <c r="G7" s="1265"/>
      <c r="H7" s="1265"/>
      <c r="I7" s="1265"/>
      <c r="J7" s="1265"/>
      <c r="K7" s="1265"/>
      <c r="L7" s="1265"/>
      <c r="M7" s="1266"/>
      <c r="N7" s="1254">
        <f>CPYG!D7</f>
        <v>2016</v>
      </c>
      <c r="O7" s="1255"/>
      <c r="Q7" s="294"/>
      <c r="R7" s="294"/>
      <c r="S7" s="294"/>
    </row>
    <row r="8" spans="1:15" ht="25.5" customHeight="1" thickBot="1">
      <c r="A8" s="1252" t="str">
        <f>CPYG!A8</f>
        <v>TRANSPORTES INTERURBANOS DE TENERIFE, S.A.U.</v>
      </c>
      <c r="B8" s="1263"/>
      <c r="C8" s="1263"/>
      <c r="D8" s="1263"/>
      <c r="E8" s="1263"/>
      <c r="F8" s="1263"/>
      <c r="G8" s="1263"/>
      <c r="H8" s="1263"/>
      <c r="I8" s="1263"/>
      <c r="J8" s="1263"/>
      <c r="K8" s="1263"/>
      <c r="L8" s="1263"/>
      <c r="M8" s="1253"/>
      <c r="N8" s="1252" t="s">
        <v>528</v>
      </c>
      <c r="O8" s="1253"/>
    </row>
    <row r="9" spans="1:15" ht="24.75" customHeight="1">
      <c r="A9" s="1256" t="s">
        <v>475</v>
      </c>
      <c r="B9" s="1257"/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8"/>
    </row>
    <row r="10" spans="1:16" ht="48" customHeight="1">
      <c r="A10" s="1267" t="s">
        <v>773</v>
      </c>
      <c r="B10" s="1268"/>
      <c r="C10" s="1262"/>
      <c r="D10" s="1260" t="s">
        <v>217</v>
      </c>
      <c r="E10" s="1262"/>
      <c r="F10" s="279" t="s">
        <v>218</v>
      </c>
      <c r="G10" s="1259" t="s">
        <v>219</v>
      </c>
      <c r="H10" s="1259"/>
      <c r="I10" s="1259"/>
      <c r="J10" s="1260" t="s">
        <v>220</v>
      </c>
      <c r="K10" s="1262"/>
      <c r="L10" s="1260" t="s">
        <v>69</v>
      </c>
      <c r="M10" s="1262"/>
      <c r="N10" s="1260" t="s">
        <v>70</v>
      </c>
      <c r="O10" s="1261"/>
      <c r="P10" s="280"/>
    </row>
    <row r="11" spans="1:15" ht="19.5" customHeight="1">
      <c r="A11" s="1247"/>
      <c r="B11" s="1248"/>
      <c r="C11" s="1249"/>
      <c r="D11" s="1250"/>
      <c r="E11" s="1251"/>
      <c r="F11" s="281"/>
      <c r="G11" s="1269"/>
      <c r="H11" s="1270"/>
      <c r="I11" s="1271"/>
      <c r="J11" s="1250"/>
      <c r="K11" s="1251"/>
      <c r="L11" s="1250"/>
      <c r="M11" s="1251"/>
      <c r="N11" s="1250"/>
      <c r="O11" s="1278"/>
    </row>
    <row r="12" spans="1:15" ht="19.5" customHeight="1">
      <c r="A12" s="1247"/>
      <c r="B12" s="1248"/>
      <c r="C12" s="1249"/>
      <c r="D12" s="1250"/>
      <c r="E12" s="1251"/>
      <c r="F12" s="281"/>
      <c r="G12" s="1281"/>
      <c r="H12" s="1281"/>
      <c r="I12" s="1281"/>
      <c r="J12" s="1250"/>
      <c r="K12" s="1251"/>
      <c r="L12" s="1250"/>
      <c r="M12" s="1280"/>
      <c r="N12" s="1250"/>
      <c r="O12" s="1278"/>
    </row>
    <row r="13" spans="1:15" ht="19.5" customHeight="1">
      <c r="A13" s="1247"/>
      <c r="B13" s="1248"/>
      <c r="C13" s="1249"/>
      <c r="D13" s="1250"/>
      <c r="E13" s="1251"/>
      <c r="F13" s="281"/>
      <c r="G13" s="1281"/>
      <c r="H13" s="1281"/>
      <c r="I13" s="1281"/>
      <c r="J13" s="1250"/>
      <c r="K13" s="1251"/>
      <c r="L13" s="1250"/>
      <c r="M13" s="1280"/>
      <c r="N13" s="1250"/>
      <c r="O13" s="1278"/>
    </row>
    <row r="14" spans="1:15" ht="19.5" customHeight="1">
      <c r="A14" s="1247"/>
      <c r="B14" s="1248"/>
      <c r="C14" s="1249"/>
      <c r="D14" s="1250"/>
      <c r="E14" s="1251"/>
      <c r="F14" s="281"/>
      <c r="G14" s="1281"/>
      <c r="H14" s="1281"/>
      <c r="I14" s="1281"/>
      <c r="J14" s="1250"/>
      <c r="K14" s="1251"/>
      <c r="L14" s="1250"/>
      <c r="M14" s="1280"/>
      <c r="N14" s="1250"/>
      <c r="O14" s="1278"/>
    </row>
    <row r="15" spans="1:15" ht="19.5" customHeight="1">
      <c r="A15" s="1247"/>
      <c r="B15" s="1248"/>
      <c r="C15" s="1249"/>
      <c r="D15" s="1250"/>
      <c r="E15" s="1251"/>
      <c r="F15" s="283"/>
      <c r="G15" s="1281"/>
      <c r="H15" s="1281"/>
      <c r="I15" s="1281"/>
      <c r="J15" s="1250"/>
      <c r="K15" s="1251"/>
      <c r="L15" s="1250"/>
      <c r="M15" s="1280"/>
      <c r="N15" s="1250"/>
      <c r="O15" s="1278"/>
    </row>
    <row r="16" spans="1:15" ht="24.75" customHeight="1">
      <c r="A16" s="1274" t="s">
        <v>522</v>
      </c>
      <c r="B16" s="1275"/>
      <c r="C16" s="1275"/>
      <c r="D16" s="1275"/>
      <c r="E16" s="1275"/>
      <c r="F16" s="1275"/>
      <c r="G16" s="1275"/>
      <c r="H16" s="1275"/>
      <c r="I16" s="1275"/>
      <c r="J16" s="1275"/>
      <c r="K16" s="1275"/>
      <c r="L16" s="1275"/>
      <c r="M16" s="1275"/>
      <c r="N16" s="1275"/>
      <c r="O16" s="1276"/>
    </row>
    <row r="17" spans="1:15" ht="40.5" customHeight="1">
      <c r="A17" s="1277" t="s">
        <v>221</v>
      </c>
      <c r="B17" s="279"/>
      <c r="C17" s="1259" t="s">
        <v>222</v>
      </c>
      <c r="D17" s="1288" t="s">
        <v>223</v>
      </c>
      <c r="E17" s="1289"/>
      <c r="F17" s="1259" t="s">
        <v>224</v>
      </c>
      <c r="G17" s="1272" t="s">
        <v>771</v>
      </c>
      <c r="H17" s="1272" t="s">
        <v>772</v>
      </c>
      <c r="I17" s="1260" t="s">
        <v>71</v>
      </c>
      <c r="J17" s="1262"/>
      <c r="K17" s="1260" t="s">
        <v>65</v>
      </c>
      <c r="L17" s="1268"/>
      <c r="M17" s="1262"/>
      <c r="N17" s="1259" t="s">
        <v>77</v>
      </c>
      <c r="O17" s="1279"/>
    </row>
    <row r="18" spans="1:19" ht="60" customHeight="1">
      <c r="A18" s="1277"/>
      <c r="B18" s="279"/>
      <c r="C18" s="1259"/>
      <c r="D18" s="1290"/>
      <c r="E18" s="1291"/>
      <c r="F18" s="1259"/>
      <c r="G18" s="1273"/>
      <c r="H18" s="1273"/>
      <c r="I18" s="284" t="s">
        <v>857</v>
      </c>
      <c r="J18" s="279" t="s">
        <v>72</v>
      </c>
      <c r="K18" s="819" t="s">
        <v>73</v>
      </c>
      <c r="L18" s="279" t="s">
        <v>74</v>
      </c>
      <c r="M18" s="278" t="s">
        <v>75</v>
      </c>
      <c r="N18" s="278" t="s">
        <v>76</v>
      </c>
      <c r="O18" s="285" t="s">
        <v>225</v>
      </c>
      <c r="Q18" s="286" t="s">
        <v>471</v>
      </c>
      <c r="R18" s="277" t="s">
        <v>870</v>
      </c>
      <c r="S18" s="277" t="s">
        <v>871</v>
      </c>
    </row>
    <row r="19" spans="1:20" s="292" customFormat="1" ht="19.5" customHeight="1">
      <c r="A19" s="832">
        <v>2012</v>
      </c>
      <c r="B19" s="287"/>
      <c r="C19" s="287" t="s">
        <v>344</v>
      </c>
      <c r="D19" s="1284" t="s">
        <v>345</v>
      </c>
      <c r="E19" s="1285"/>
      <c r="F19" s="282"/>
      <c r="G19" s="288"/>
      <c r="H19" s="288"/>
      <c r="I19" s="289">
        <f>+PASIVO!B40</f>
        <v>700464.79</v>
      </c>
      <c r="J19" s="818">
        <f>+PASIVO!C40</f>
        <v>92746.04</v>
      </c>
      <c r="K19" s="746">
        <v>0</v>
      </c>
      <c r="L19" s="702">
        <v>50000</v>
      </c>
      <c r="M19" s="702">
        <v>3000</v>
      </c>
      <c r="N19" s="703">
        <f>+J19-L19</f>
        <v>42746.03999999999</v>
      </c>
      <c r="O19" s="291"/>
      <c r="Q19" s="293"/>
      <c r="R19" s="294"/>
      <c r="S19" s="294"/>
      <c r="T19" s="843"/>
    </row>
    <row r="20" spans="1:19" s="292" customFormat="1" ht="19.5" customHeight="1">
      <c r="A20" s="295"/>
      <c r="B20" s="287"/>
      <c r="C20" s="287"/>
      <c r="D20" s="1284"/>
      <c r="E20" s="1285"/>
      <c r="F20" s="282"/>
      <c r="G20" s="288"/>
      <c r="H20" s="288"/>
      <c r="I20" s="289"/>
      <c r="J20" s="289"/>
      <c r="K20" s="289"/>
      <c r="L20" s="289"/>
      <c r="M20" s="289"/>
      <c r="N20" s="290"/>
      <c r="O20" s="291"/>
      <c r="P20" s="292">
        <f aca="true" t="shared" si="0" ref="P20:P28">+P19+1</f>
        <v>1</v>
      </c>
      <c r="Q20" s="293">
        <f aca="true" t="shared" si="1" ref="Q20:Q28">+S20-R20</f>
        <v>-492841.42</v>
      </c>
      <c r="R20" s="294">
        <v>492841.42</v>
      </c>
      <c r="S20" s="294">
        <f aca="true" t="shared" si="2" ref="S20:S28">+R19</f>
        <v>0</v>
      </c>
    </row>
    <row r="21" spans="1:19" s="292" customFormat="1" ht="19.5" customHeight="1">
      <c r="A21" s="295"/>
      <c r="B21" s="287"/>
      <c r="C21" s="287"/>
      <c r="D21" s="1284"/>
      <c r="E21" s="1285"/>
      <c r="F21" s="282"/>
      <c r="G21" s="288"/>
      <c r="H21" s="288"/>
      <c r="I21" s="289"/>
      <c r="J21" s="289"/>
      <c r="K21" s="289"/>
      <c r="L21" s="289"/>
      <c r="M21" s="289"/>
      <c r="N21" s="290"/>
      <c r="O21" s="291"/>
      <c r="P21" s="292">
        <f t="shared" si="0"/>
        <v>2</v>
      </c>
      <c r="Q21" s="293">
        <f t="shared" si="1"/>
        <v>53178.25</v>
      </c>
      <c r="R21" s="294">
        <v>439663.17</v>
      </c>
      <c r="S21" s="294">
        <f t="shared" si="2"/>
        <v>492841.42</v>
      </c>
    </row>
    <row r="22" spans="1:19" s="292" customFormat="1" ht="19.5" customHeight="1">
      <c r="A22" s="295"/>
      <c r="B22" s="287"/>
      <c r="C22" s="287"/>
      <c r="D22" s="1284"/>
      <c r="E22" s="1285"/>
      <c r="F22" s="282"/>
      <c r="G22" s="288"/>
      <c r="H22" s="288"/>
      <c r="I22" s="289"/>
      <c r="J22" s="289"/>
      <c r="K22" s="289"/>
      <c r="L22" s="289"/>
      <c r="M22" s="289"/>
      <c r="N22" s="290"/>
      <c r="O22" s="291"/>
      <c r="P22" s="292">
        <f t="shared" si="0"/>
        <v>3</v>
      </c>
      <c r="Q22" s="293">
        <f t="shared" si="1"/>
        <v>56170.159999999974</v>
      </c>
      <c r="R22" s="294">
        <v>383493.01</v>
      </c>
      <c r="S22" s="294">
        <f t="shared" si="2"/>
        <v>439663.17</v>
      </c>
    </row>
    <row r="23" spans="1:19" s="292" customFormat="1" ht="19.5" customHeight="1">
      <c r="A23" s="295"/>
      <c r="B23" s="287"/>
      <c r="C23" s="287"/>
      <c r="D23" s="1284"/>
      <c r="E23" s="1285"/>
      <c r="F23" s="282"/>
      <c r="G23" s="288"/>
      <c r="H23" s="288"/>
      <c r="I23" s="289"/>
      <c r="J23" s="289"/>
      <c r="K23" s="289"/>
      <c r="L23" s="289"/>
      <c r="M23" s="289"/>
      <c r="N23" s="290"/>
      <c r="O23" s="291"/>
      <c r="P23" s="292">
        <f t="shared" si="0"/>
        <v>4</v>
      </c>
      <c r="Q23" s="293">
        <f t="shared" si="1"/>
        <v>59330.42999999999</v>
      </c>
      <c r="R23" s="294">
        <v>324162.58</v>
      </c>
      <c r="S23" s="294">
        <f t="shared" si="2"/>
        <v>383493.01</v>
      </c>
    </row>
    <row r="24" spans="1:19" s="292" customFormat="1" ht="19.5" customHeight="1">
      <c r="A24" s="295"/>
      <c r="B24" s="287"/>
      <c r="C24" s="287"/>
      <c r="D24" s="1284"/>
      <c r="E24" s="1285"/>
      <c r="F24" s="282"/>
      <c r="G24" s="288"/>
      <c r="H24" s="288"/>
      <c r="I24" s="289"/>
      <c r="J24" s="289"/>
      <c r="K24" s="289"/>
      <c r="L24" s="289"/>
      <c r="M24" s="289"/>
      <c r="N24" s="290"/>
      <c r="O24" s="291"/>
      <c r="P24" s="292">
        <f t="shared" si="0"/>
        <v>5</v>
      </c>
      <c r="Q24" s="293">
        <f t="shared" si="1"/>
        <v>62668.49000000002</v>
      </c>
      <c r="R24" s="294">
        <v>261494.09</v>
      </c>
      <c r="S24" s="294">
        <f t="shared" si="2"/>
        <v>324162.58</v>
      </c>
    </row>
    <row r="25" spans="1:19" s="292" customFormat="1" ht="19.5" customHeight="1">
      <c r="A25" s="295"/>
      <c r="B25" s="287"/>
      <c r="C25" s="287"/>
      <c r="D25" s="1284"/>
      <c r="E25" s="1285"/>
      <c r="F25" s="282"/>
      <c r="G25" s="282"/>
      <c r="H25" s="282"/>
      <c r="I25" s="296"/>
      <c r="J25" s="296"/>
      <c r="K25" s="296"/>
      <c r="L25" s="296"/>
      <c r="M25" s="296"/>
      <c r="N25" s="297"/>
      <c r="O25" s="291"/>
      <c r="P25" s="292">
        <f t="shared" si="0"/>
        <v>6</v>
      </c>
      <c r="Q25" s="293">
        <f t="shared" si="1"/>
        <v>66194.34</v>
      </c>
      <c r="R25" s="294">
        <v>195299.75</v>
      </c>
      <c r="S25" s="294">
        <f t="shared" si="2"/>
        <v>261494.09</v>
      </c>
    </row>
    <row r="26" spans="1:19" s="292" customFormat="1" ht="19.5" customHeight="1">
      <c r="A26" s="295"/>
      <c r="B26" s="287"/>
      <c r="C26" s="287"/>
      <c r="D26" s="1284"/>
      <c r="E26" s="1285"/>
      <c r="F26" s="282"/>
      <c r="G26" s="282"/>
      <c r="H26" s="282"/>
      <c r="I26" s="296"/>
      <c r="J26" s="296"/>
      <c r="K26" s="296"/>
      <c r="L26" s="296"/>
      <c r="M26" s="296"/>
      <c r="N26" s="297"/>
      <c r="O26" s="291"/>
      <c r="P26" s="292">
        <f t="shared" si="0"/>
        <v>7</v>
      </c>
      <c r="Q26" s="293">
        <f t="shared" si="1"/>
        <v>69918.59</v>
      </c>
      <c r="R26" s="294">
        <v>125381.16</v>
      </c>
      <c r="S26" s="294">
        <f t="shared" si="2"/>
        <v>195299.75</v>
      </c>
    </row>
    <row r="27" spans="1:19" s="292" customFormat="1" ht="19.5" customHeight="1">
      <c r="A27" s="295"/>
      <c r="B27" s="287"/>
      <c r="C27" s="287"/>
      <c r="D27" s="1284"/>
      <c r="E27" s="1285"/>
      <c r="F27" s="282"/>
      <c r="G27" s="282"/>
      <c r="H27" s="282"/>
      <c r="I27" s="296"/>
      <c r="J27" s="296"/>
      <c r="K27" s="296"/>
      <c r="L27" s="296"/>
      <c r="M27" s="296"/>
      <c r="N27" s="297"/>
      <c r="O27" s="291"/>
      <c r="P27" s="292">
        <f t="shared" si="0"/>
        <v>8</v>
      </c>
      <c r="Q27" s="293">
        <f t="shared" si="1"/>
        <v>73852.37</v>
      </c>
      <c r="R27" s="294">
        <v>51528.79</v>
      </c>
      <c r="S27" s="294">
        <f t="shared" si="2"/>
        <v>125381.16</v>
      </c>
    </row>
    <row r="28" spans="1:19" s="292" customFormat="1" ht="19.5" customHeight="1" thickBot="1">
      <c r="A28" s="298"/>
      <c r="B28" s="287"/>
      <c r="C28" s="299"/>
      <c r="D28" s="1286"/>
      <c r="E28" s="1287"/>
      <c r="F28" s="300"/>
      <c r="G28" s="300"/>
      <c r="H28" s="300"/>
      <c r="I28" s="301"/>
      <c r="J28" s="301"/>
      <c r="K28" s="301"/>
      <c r="L28" s="301"/>
      <c r="M28" s="301"/>
      <c r="N28" s="302"/>
      <c r="O28" s="303"/>
      <c r="P28" s="292">
        <f t="shared" si="0"/>
        <v>9</v>
      </c>
      <c r="Q28" s="293">
        <f t="shared" si="1"/>
        <v>51528.79</v>
      </c>
      <c r="R28" s="294">
        <v>0</v>
      </c>
      <c r="S28" s="294">
        <f t="shared" si="2"/>
        <v>51528.79</v>
      </c>
    </row>
    <row r="29" spans="1:19" s="292" customFormat="1" ht="19.5" customHeight="1" thickBot="1">
      <c r="A29" s="304" t="s">
        <v>476</v>
      </c>
      <c r="B29" s="305"/>
      <c r="C29" s="306"/>
      <c r="D29" s="1282"/>
      <c r="E29" s="1283"/>
      <c r="F29" s="307"/>
      <c r="G29" s="307"/>
      <c r="H29" s="307"/>
      <c r="I29" s="798">
        <f aca="true" t="shared" si="3" ref="I29:N29">SUM(I19:I28)</f>
        <v>700464.79</v>
      </c>
      <c r="J29" s="798">
        <f t="shared" si="3"/>
        <v>92746.04</v>
      </c>
      <c r="K29" s="798">
        <f>SUM(K20:K28)</f>
        <v>0</v>
      </c>
      <c r="L29" s="798">
        <f t="shared" si="3"/>
        <v>50000</v>
      </c>
      <c r="M29" s="798">
        <f t="shared" si="3"/>
        <v>3000</v>
      </c>
      <c r="N29" s="798">
        <f t="shared" si="3"/>
        <v>42746.03999999999</v>
      </c>
      <c r="O29" s="308"/>
      <c r="Q29" s="294"/>
      <c r="R29" s="294"/>
      <c r="S29" s="294"/>
    </row>
    <row r="30" spans="1:15" ht="12.75">
      <c r="A30" s="309"/>
      <c r="B30" s="310"/>
      <c r="C30" s="310"/>
      <c r="D30" s="311"/>
      <c r="E30" s="309"/>
      <c r="F30" s="309"/>
      <c r="G30" s="309"/>
      <c r="H30" s="309"/>
      <c r="I30" s="309"/>
      <c r="J30" s="309"/>
      <c r="K30" s="309"/>
      <c r="L30" s="309"/>
      <c r="M30" s="309"/>
      <c r="N30" s="312"/>
      <c r="O30" s="313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I17:J17"/>
    <mergeCell ref="D14:E14"/>
    <mergeCell ref="G12:I12"/>
    <mergeCell ref="L12:M12"/>
    <mergeCell ref="K17:M17"/>
    <mergeCell ref="L13:M13"/>
    <mergeCell ref="D15:E15"/>
    <mergeCell ref="J12:K12"/>
    <mergeCell ref="G13:I13"/>
    <mergeCell ref="L15:M15"/>
    <mergeCell ref="D20:E20"/>
    <mergeCell ref="D24:E24"/>
    <mergeCell ref="D22:E22"/>
    <mergeCell ref="D17:E18"/>
    <mergeCell ref="D21:E21"/>
    <mergeCell ref="D23:E23"/>
    <mergeCell ref="D19:E19"/>
    <mergeCell ref="D29:E29"/>
    <mergeCell ref="D25:E25"/>
    <mergeCell ref="D26:E26"/>
    <mergeCell ref="D27:E27"/>
    <mergeCell ref="D28:E28"/>
    <mergeCell ref="N15:O15"/>
    <mergeCell ref="A14:C14"/>
    <mergeCell ref="L14:M14"/>
    <mergeCell ref="H17:H18"/>
    <mergeCell ref="G15:I15"/>
    <mergeCell ref="G14:I14"/>
    <mergeCell ref="A15:C15"/>
    <mergeCell ref="N14:O14"/>
    <mergeCell ref="J15:K15"/>
    <mergeCell ref="J14:K14"/>
    <mergeCell ref="C17:C18"/>
    <mergeCell ref="G11:I11"/>
    <mergeCell ref="G17:G18"/>
    <mergeCell ref="A16:O16"/>
    <mergeCell ref="A17:A18"/>
    <mergeCell ref="F17:F18"/>
    <mergeCell ref="N11:O11"/>
    <mergeCell ref="N13:O13"/>
    <mergeCell ref="N12:O12"/>
    <mergeCell ref="N17:O17"/>
    <mergeCell ref="N7:O7"/>
    <mergeCell ref="A9:O9"/>
    <mergeCell ref="G10:I10"/>
    <mergeCell ref="N10:O10"/>
    <mergeCell ref="L10:M10"/>
    <mergeCell ref="J10:K10"/>
    <mergeCell ref="D10:E10"/>
    <mergeCell ref="A8:M8"/>
    <mergeCell ref="A7:M7"/>
    <mergeCell ref="A10:C10"/>
    <mergeCell ref="A11:C11"/>
    <mergeCell ref="J13:K13"/>
    <mergeCell ref="D13:E13"/>
    <mergeCell ref="N8:O8"/>
    <mergeCell ref="A12:C12"/>
    <mergeCell ref="D11:E11"/>
    <mergeCell ref="J11:K11"/>
    <mergeCell ref="D12:E12"/>
    <mergeCell ref="A13:C13"/>
    <mergeCell ref="L11:M11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4">
      <selection activeCell="C22" sqref="C22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92" t="s">
        <v>429</v>
      </c>
      <c r="B1" s="1293"/>
      <c r="C1" s="1293"/>
      <c r="D1" s="1293"/>
      <c r="E1" s="1293"/>
      <c r="F1" s="1293"/>
      <c r="G1" s="1294"/>
      <c r="H1" s="108">
        <v>2011</v>
      </c>
      <c r="I1"/>
      <c r="J1"/>
    </row>
    <row r="2" spans="1:10" s="110" customFormat="1" ht="17.25" thickBot="1">
      <c r="A2" s="1295" t="s">
        <v>430</v>
      </c>
      <c r="B2" s="1296"/>
      <c r="C2" s="1296"/>
      <c r="D2" s="1296"/>
      <c r="E2" s="1296"/>
      <c r="F2" s="1296"/>
      <c r="G2" s="1297"/>
      <c r="H2" s="120" t="s">
        <v>867</v>
      </c>
      <c r="I2"/>
      <c r="J2"/>
    </row>
    <row r="3" spans="1:8" ht="13.5" customHeight="1" thickBot="1">
      <c r="A3" s="1298" t="s">
        <v>431</v>
      </c>
      <c r="B3" s="1299"/>
      <c r="C3" s="1299"/>
      <c r="D3" s="1299"/>
      <c r="E3" s="1299"/>
      <c r="F3" s="1299"/>
      <c r="G3" s="1299"/>
      <c r="H3" s="1300"/>
    </row>
    <row r="4" spans="3:8" ht="20.25" customHeight="1">
      <c r="C4" s="1301">
        <v>2009</v>
      </c>
      <c r="D4" s="1301"/>
      <c r="E4" s="1301" t="s">
        <v>100</v>
      </c>
      <c r="F4" s="1301"/>
      <c r="G4" s="1301" t="s">
        <v>99</v>
      </c>
      <c r="H4" s="1301"/>
    </row>
    <row r="5" spans="1:8" ht="24.75">
      <c r="A5" s="111" t="s">
        <v>432</v>
      </c>
      <c r="B5" s="111" t="s">
        <v>868</v>
      </c>
      <c r="C5" s="112" t="s">
        <v>433</v>
      </c>
      <c r="D5" s="112" t="s">
        <v>434</v>
      </c>
      <c r="E5" s="112" t="s">
        <v>433</v>
      </c>
      <c r="F5" s="112" t="s">
        <v>434</v>
      </c>
      <c r="G5" s="112" t="s">
        <v>433</v>
      </c>
      <c r="H5" s="112" t="s">
        <v>434</v>
      </c>
    </row>
    <row r="6" spans="1:8" ht="15.75">
      <c r="A6" s="111" t="s">
        <v>435</v>
      </c>
      <c r="B6" s="111" t="s">
        <v>436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435</v>
      </c>
      <c r="B7" s="111" t="s">
        <v>437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303" t="s">
        <v>476</v>
      </c>
      <c r="B15" s="1304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302">
        <v>2009</v>
      </c>
      <c r="D17" s="1302"/>
      <c r="E17" s="1302" t="s">
        <v>100</v>
      </c>
      <c r="F17" s="1302"/>
      <c r="G17" s="1302" t="s">
        <v>99</v>
      </c>
      <c r="H17" s="1302"/>
    </row>
    <row r="18" spans="1:8" ht="24.75">
      <c r="A18" s="111" t="s">
        <v>438</v>
      </c>
      <c r="B18" s="111" t="s">
        <v>868</v>
      </c>
      <c r="C18" s="112" t="s">
        <v>439</v>
      </c>
      <c r="D18" s="112" t="s">
        <v>434</v>
      </c>
      <c r="E18" s="112" t="s">
        <v>439</v>
      </c>
      <c r="F18" s="112" t="s">
        <v>434</v>
      </c>
      <c r="G18" s="112" t="s">
        <v>439</v>
      </c>
      <c r="H18" s="112" t="s">
        <v>434</v>
      </c>
    </row>
    <row r="19" spans="1:8" ht="15.75">
      <c r="A19" s="111" t="s">
        <v>440</v>
      </c>
      <c r="B19" s="111" t="s">
        <v>441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442</v>
      </c>
      <c r="B20" s="111" t="s">
        <v>441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443</v>
      </c>
      <c r="B21" s="111" t="s">
        <v>444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445</v>
      </c>
      <c r="B22" s="111" t="s">
        <v>446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447</v>
      </c>
      <c r="B23" s="111" t="s">
        <v>448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435</v>
      </c>
      <c r="B24" s="111" t="s">
        <v>436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435</v>
      </c>
      <c r="B25" s="111" t="s">
        <v>449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303" t="s">
        <v>476</v>
      </c>
      <c r="B28" s="1304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869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U35"/>
  <sheetViews>
    <sheetView zoomScale="55" zoomScaleNormal="55" zoomScalePageLayoutView="0" workbookViewId="0" topLeftCell="A1">
      <selection activeCell="F4" sqref="F4"/>
    </sheetView>
  </sheetViews>
  <sheetFormatPr defaultColWidth="11.57421875" defaultRowHeight="12.75"/>
  <cols>
    <col min="1" max="1" width="10.28125" style="276" customWidth="1"/>
    <col min="2" max="2" width="19.8515625" style="276" hidden="1" customWidth="1"/>
    <col min="3" max="3" width="26.28125" style="276" customWidth="1"/>
    <col min="4" max="4" width="13.28125" style="276" customWidth="1"/>
    <col min="5" max="5" width="10.57421875" style="276" customWidth="1"/>
    <col min="6" max="6" width="13.8515625" style="276" customWidth="1"/>
    <col min="7" max="8" width="15.7109375" style="276" customWidth="1"/>
    <col min="9" max="9" width="16.7109375" style="276" customWidth="1"/>
    <col min="10" max="10" width="16.28125" style="276" customWidth="1"/>
    <col min="11" max="11" width="14.28125" style="276" customWidth="1"/>
    <col min="12" max="12" width="14.140625" style="276" bestFit="1" customWidth="1"/>
    <col min="13" max="13" width="14.7109375" style="276" bestFit="1" customWidth="1"/>
    <col min="14" max="14" width="17.00390625" style="276" customWidth="1"/>
    <col min="15" max="15" width="16.57421875" style="276" customWidth="1"/>
    <col min="16" max="16" width="0" style="276" hidden="1" customWidth="1"/>
    <col min="17" max="17" width="17.140625" style="277" hidden="1" customWidth="1"/>
    <col min="18" max="18" width="17.421875" style="277" hidden="1" customWidth="1"/>
    <col min="19" max="19" width="0.9921875" style="277" hidden="1" customWidth="1"/>
    <col min="20" max="16384" width="11.57421875" style="276" customWidth="1"/>
  </cols>
  <sheetData>
    <row r="1" ht="15">
      <c r="F1" s="803" t="s">
        <v>829</v>
      </c>
    </row>
    <row r="2" ht="14.25">
      <c r="F2" s="804" t="s">
        <v>830</v>
      </c>
    </row>
    <row r="4" spans="1:7" ht="15">
      <c r="A4" s="802" t="s">
        <v>678</v>
      </c>
      <c r="F4" s="807">
        <v>42339</v>
      </c>
      <c r="G4" s="814"/>
    </row>
    <row r="5" spans="1:7" ht="15">
      <c r="A5" s="802" t="s">
        <v>828</v>
      </c>
      <c r="F5" s="806" t="s">
        <v>831</v>
      </c>
      <c r="G5" s="815"/>
    </row>
    <row r="6" spans="1:14" ht="13.5" thickBot="1">
      <c r="A6" s="314"/>
      <c r="N6" s="315"/>
    </row>
    <row r="7" spans="1:19" s="292" customFormat="1" ht="36" customHeight="1" thickBot="1">
      <c r="A7" s="1264" t="s">
        <v>856</v>
      </c>
      <c r="B7" s="1265"/>
      <c r="C7" s="1265"/>
      <c r="D7" s="1265"/>
      <c r="E7" s="1265"/>
      <c r="F7" s="1265"/>
      <c r="G7" s="1265"/>
      <c r="H7" s="1265"/>
      <c r="I7" s="1265"/>
      <c r="J7" s="1265"/>
      <c r="K7" s="1265"/>
      <c r="L7" s="1265"/>
      <c r="M7" s="1266"/>
      <c r="N7" s="1254">
        <f>CPYG!D7</f>
        <v>2016</v>
      </c>
      <c r="O7" s="1255"/>
      <c r="Q7" s="294"/>
      <c r="R7" s="294"/>
      <c r="S7" s="294"/>
    </row>
    <row r="8" spans="1:15" ht="34.5" customHeight="1" thickBot="1">
      <c r="A8" s="1252" t="str">
        <f>CPYG!A8</f>
        <v>TRANSPORTES INTERURBANOS DE TENERIFE, S.A.U.</v>
      </c>
      <c r="B8" s="1263"/>
      <c r="C8" s="1263"/>
      <c r="D8" s="1263"/>
      <c r="E8" s="1263"/>
      <c r="F8" s="1263"/>
      <c r="G8" s="1263"/>
      <c r="H8" s="1263"/>
      <c r="I8" s="1263"/>
      <c r="J8" s="1263"/>
      <c r="K8" s="1263"/>
      <c r="L8" s="1263"/>
      <c r="M8" s="1253"/>
      <c r="N8" s="1252" t="s">
        <v>527</v>
      </c>
      <c r="O8" s="1253"/>
    </row>
    <row r="9" spans="1:15" ht="24.75" customHeight="1">
      <c r="A9" s="1305" t="s">
        <v>523</v>
      </c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306"/>
    </row>
    <row r="10" spans="1:15" ht="40.5" customHeight="1">
      <c r="A10" s="1307" t="s">
        <v>221</v>
      </c>
      <c r="B10" s="279"/>
      <c r="C10" s="1259" t="s">
        <v>222</v>
      </c>
      <c r="D10" s="1288" t="s">
        <v>223</v>
      </c>
      <c r="E10" s="1289"/>
      <c r="F10" s="1259" t="s">
        <v>224</v>
      </c>
      <c r="G10" s="1272" t="s">
        <v>771</v>
      </c>
      <c r="H10" s="1272" t="s">
        <v>772</v>
      </c>
      <c r="I10" s="1260" t="s">
        <v>80</v>
      </c>
      <c r="J10" s="1268"/>
      <c r="K10" s="1262"/>
      <c r="L10" s="1260" t="s">
        <v>67</v>
      </c>
      <c r="M10" s="1268"/>
      <c r="N10" s="1268"/>
      <c r="O10" s="1261"/>
    </row>
    <row r="11" spans="1:19" ht="73.5" customHeight="1">
      <c r="A11" s="1305"/>
      <c r="B11" s="279"/>
      <c r="C11" s="1259"/>
      <c r="D11" s="1290"/>
      <c r="E11" s="1291"/>
      <c r="F11" s="1259"/>
      <c r="G11" s="1273"/>
      <c r="H11" s="1273"/>
      <c r="I11" s="284" t="s">
        <v>857</v>
      </c>
      <c r="J11" s="284" t="s">
        <v>78</v>
      </c>
      <c r="K11" s="278" t="s">
        <v>524</v>
      </c>
      <c r="L11" s="284" t="s">
        <v>79</v>
      </c>
      <c r="M11" s="279" t="s">
        <v>74</v>
      </c>
      <c r="N11" s="278" t="s">
        <v>76</v>
      </c>
      <c r="O11" s="285" t="s">
        <v>524</v>
      </c>
      <c r="Q11" s="286" t="s">
        <v>471</v>
      </c>
      <c r="R11" s="277" t="s">
        <v>870</v>
      </c>
      <c r="S11" s="277" t="s">
        <v>871</v>
      </c>
    </row>
    <row r="12" spans="1:21" s="292" customFormat="1" ht="30" customHeight="1">
      <c r="A12" s="832">
        <v>2015</v>
      </c>
      <c r="B12" s="287"/>
      <c r="C12" s="1004" t="s">
        <v>307</v>
      </c>
      <c r="D12" s="1284" t="s">
        <v>308</v>
      </c>
      <c r="E12" s="1285"/>
      <c r="F12" s="282"/>
      <c r="G12" s="288"/>
      <c r="H12" s="288"/>
      <c r="I12" s="289">
        <v>5348000</v>
      </c>
      <c r="J12" s="289">
        <f>+PASIVO!C56</f>
        <v>4179261.88</v>
      </c>
      <c r="K12" s="685">
        <v>42547</v>
      </c>
      <c r="L12" s="289">
        <f>+I12</f>
        <v>5348000</v>
      </c>
      <c r="M12" s="289">
        <f>+L12-N12</f>
        <v>2082323.3900000001</v>
      </c>
      <c r="N12" s="704">
        <f>+PASIVO!D56</f>
        <v>3265676.61</v>
      </c>
      <c r="O12" s="991">
        <v>42912</v>
      </c>
      <c r="Q12" s="293"/>
      <c r="R12" s="294"/>
      <c r="S12" s="294"/>
      <c r="U12" s="843"/>
    </row>
    <row r="13" spans="1:19" s="292" customFormat="1" ht="19.5" customHeight="1">
      <c r="A13" s="295"/>
      <c r="B13" s="287"/>
      <c r="C13" s="287"/>
      <c r="D13" s="1284"/>
      <c r="E13" s="1285"/>
      <c r="F13" s="282"/>
      <c r="G13" s="288"/>
      <c r="H13" s="288"/>
      <c r="I13" s="289"/>
      <c r="J13" s="289"/>
      <c r="K13" s="685"/>
      <c r="L13" s="289"/>
      <c r="M13" s="289"/>
      <c r="N13" s="704"/>
      <c r="O13" s="291"/>
      <c r="Q13" s="293"/>
      <c r="R13" s="294"/>
      <c r="S13" s="294"/>
    </row>
    <row r="14" spans="1:19" s="292" customFormat="1" ht="19.5" customHeight="1">
      <c r="A14" s="295"/>
      <c r="B14" s="287"/>
      <c r="C14" s="287"/>
      <c r="D14" s="1284"/>
      <c r="E14" s="1285"/>
      <c r="F14" s="282"/>
      <c r="G14" s="288"/>
      <c r="H14" s="288"/>
      <c r="I14" s="289"/>
      <c r="J14" s="289"/>
      <c r="K14" s="605"/>
      <c r="L14" s="289"/>
      <c r="M14" s="289"/>
      <c r="N14" s="290"/>
      <c r="O14" s="291"/>
      <c r="P14" s="292">
        <f aca="true" t="shared" si="0" ref="P14:P21">+P13+1</f>
        <v>1</v>
      </c>
      <c r="Q14" s="293">
        <f aca="true" t="shared" si="1" ref="Q14:Q21">+S14-R14</f>
        <v>-439663.17</v>
      </c>
      <c r="R14" s="294">
        <v>439663.17</v>
      </c>
      <c r="S14" s="294">
        <f aca="true" t="shared" si="2" ref="S14:S21">+R13</f>
        <v>0</v>
      </c>
    </row>
    <row r="15" spans="1:19" s="292" customFormat="1" ht="19.5" customHeight="1">
      <c r="A15" s="295"/>
      <c r="B15" s="287"/>
      <c r="C15" s="287"/>
      <c r="D15" s="1284"/>
      <c r="E15" s="1285"/>
      <c r="F15" s="282"/>
      <c r="G15" s="288"/>
      <c r="H15" s="288"/>
      <c r="I15" s="289"/>
      <c r="J15" s="289"/>
      <c r="K15" s="605"/>
      <c r="L15" s="289"/>
      <c r="M15" s="289"/>
      <c r="N15" s="290"/>
      <c r="O15" s="291"/>
      <c r="P15" s="292">
        <f t="shared" si="0"/>
        <v>2</v>
      </c>
      <c r="Q15" s="293">
        <f t="shared" si="1"/>
        <v>56170.159999999974</v>
      </c>
      <c r="R15" s="294">
        <v>383493.01</v>
      </c>
      <c r="S15" s="294">
        <f t="shared" si="2"/>
        <v>439663.17</v>
      </c>
    </row>
    <row r="16" spans="1:19" s="292" customFormat="1" ht="19.5" customHeight="1">
      <c r="A16" s="295"/>
      <c r="B16" s="287"/>
      <c r="C16" s="287"/>
      <c r="D16" s="1284"/>
      <c r="E16" s="1285"/>
      <c r="F16" s="282"/>
      <c r="G16" s="288"/>
      <c r="H16" s="288"/>
      <c r="I16" s="289"/>
      <c r="J16" s="289"/>
      <c r="K16" s="605"/>
      <c r="L16" s="289"/>
      <c r="M16" s="289"/>
      <c r="N16" s="290"/>
      <c r="O16" s="291"/>
      <c r="P16" s="292">
        <f t="shared" si="0"/>
        <v>3</v>
      </c>
      <c r="Q16" s="293">
        <f t="shared" si="1"/>
        <v>59330.42999999999</v>
      </c>
      <c r="R16" s="294">
        <v>324162.58</v>
      </c>
      <c r="S16" s="294">
        <f t="shared" si="2"/>
        <v>383493.01</v>
      </c>
    </row>
    <row r="17" spans="1:19" s="292" customFormat="1" ht="19.5" customHeight="1">
      <c r="A17" s="295"/>
      <c r="B17" s="287"/>
      <c r="C17" s="287"/>
      <c r="D17" s="1284"/>
      <c r="E17" s="1285"/>
      <c r="F17" s="282"/>
      <c r="G17" s="288"/>
      <c r="H17" s="288"/>
      <c r="I17" s="289"/>
      <c r="J17" s="289"/>
      <c r="K17" s="605"/>
      <c r="L17" s="289"/>
      <c r="M17" s="289"/>
      <c r="N17" s="290"/>
      <c r="O17" s="291"/>
      <c r="P17" s="292">
        <f t="shared" si="0"/>
        <v>4</v>
      </c>
      <c r="Q17" s="293">
        <f t="shared" si="1"/>
        <v>62668.49000000002</v>
      </c>
      <c r="R17" s="294">
        <v>261494.09</v>
      </c>
      <c r="S17" s="294">
        <f t="shared" si="2"/>
        <v>324162.58</v>
      </c>
    </row>
    <row r="18" spans="1:19" s="292" customFormat="1" ht="19.5" customHeight="1">
      <c r="A18" s="295"/>
      <c r="B18" s="287"/>
      <c r="C18" s="287"/>
      <c r="D18" s="1284"/>
      <c r="E18" s="1285"/>
      <c r="F18" s="282"/>
      <c r="G18" s="282"/>
      <c r="H18" s="282"/>
      <c r="I18" s="296"/>
      <c r="J18" s="296"/>
      <c r="K18" s="605"/>
      <c r="L18" s="296"/>
      <c r="M18" s="296"/>
      <c r="N18" s="297"/>
      <c r="O18" s="291"/>
      <c r="P18" s="292">
        <f t="shared" si="0"/>
        <v>5</v>
      </c>
      <c r="Q18" s="293">
        <f t="shared" si="1"/>
        <v>66194.34</v>
      </c>
      <c r="R18" s="294">
        <v>195299.75</v>
      </c>
      <c r="S18" s="294">
        <f t="shared" si="2"/>
        <v>261494.09</v>
      </c>
    </row>
    <row r="19" spans="1:19" s="292" customFormat="1" ht="19.5" customHeight="1">
      <c r="A19" s="295"/>
      <c r="B19" s="287"/>
      <c r="C19" s="287"/>
      <c r="D19" s="1284"/>
      <c r="E19" s="1285"/>
      <c r="F19" s="282"/>
      <c r="G19" s="282"/>
      <c r="H19" s="282"/>
      <c r="I19" s="296"/>
      <c r="J19" s="296"/>
      <c r="K19" s="605"/>
      <c r="L19" s="296"/>
      <c r="M19" s="296"/>
      <c r="N19" s="297"/>
      <c r="O19" s="291"/>
      <c r="P19" s="292">
        <f t="shared" si="0"/>
        <v>6</v>
      </c>
      <c r="Q19" s="293">
        <f t="shared" si="1"/>
        <v>69918.59</v>
      </c>
      <c r="R19" s="294">
        <v>125381.16</v>
      </c>
      <c r="S19" s="294">
        <f t="shared" si="2"/>
        <v>195299.75</v>
      </c>
    </row>
    <row r="20" spans="1:19" s="292" customFormat="1" ht="19.5" customHeight="1">
      <c r="A20" s="295"/>
      <c r="B20" s="287"/>
      <c r="C20" s="287"/>
      <c r="D20" s="1284"/>
      <c r="E20" s="1285"/>
      <c r="F20" s="282"/>
      <c r="G20" s="282"/>
      <c r="H20" s="282"/>
      <c r="I20" s="296"/>
      <c r="J20" s="296"/>
      <c r="K20" s="605"/>
      <c r="L20" s="296"/>
      <c r="M20" s="296"/>
      <c r="N20" s="297"/>
      <c r="O20" s="291"/>
      <c r="P20" s="292">
        <f t="shared" si="0"/>
        <v>7</v>
      </c>
      <c r="Q20" s="293">
        <f t="shared" si="1"/>
        <v>73852.37</v>
      </c>
      <c r="R20" s="294">
        <v>51528.79</v>
      </c>
      <c r="S20" s="294">
        <f t="shared" si="2"/>
        <v>125381.16</v>
      </c>
    </row>
    <row r="21" spans="1:19" s="292" customFormat="1" ht="19.5" customHeight="1" thickBot="1">
      <c r="A21" s="298"/>
      <c r="B21" s="287"/>
      <c r="C21" s="299"/>
      <c r="D21" s="1286"/>
      <c r="E21" s="1287"/>
      <c r="F21" s="300"/>
      <c r="G21" s="300"/>
      <c r="H21" s="300"/>
      <c r="I21" s="301"/>
      <c r="J21" s="301"/>
      <c r="K21" s="606"/>
      <c r="L21" s="301"/>
      <c r="M21" s="301"/>
      <c r="N21" s="302"/>
      <c r="O21" s="303"/>
      <c r="P21" s="292">
        <f t="shared" si="0"/>
        <v>8</v>
      </c>
      <c r="Q21" s="293">
        <f t="shared" si="1"/>
        <v>51528.79</v>
      </c>
      <c r="R21" s="294">
        <v>0</v>
      </c>
      <c r="S21" s="294">
        <f t="shared" si="2"/>
        <v>51528.79</v>
      </c>
    </row>
    <row r="22" spans="1:19" s="292" customFormat="1" ht="19.5" customHeight="1" thickBot="1">
      <c r="A22" s="304" t="s">
        <v>476</v>
      </c>
      <c r="B22" s="305"/>
      <c r="C22" s="306"/>
      <c r="D22" s="1282"/>
      <c r="E22" s="1283"/>
      <c r="F22" s="307"/>
      <c r="G22" s="307"/>
      <c r="H22" s="307"/>
      <c r="I22" s="798">
        <f aca="true" t="shared" si="3" ref="I22:N22">SUM(I12:I21)</f>
        <v>5348000</v>
      </c>
      <c r="J22" s="798">
        <f t="shared" si="3"/>
        <v>4179261.88</v>
      </c>
      <c r="K22" s="547"/>
      <c r="L22" s="798">
        <f t="shared" si="3"/>
        <v>5348000</v>
      </c>
      <c r="M22" s="798">
        <f t="shared" si="3"/>
        <v>2082323.3900000001</v>
      </c>
      <c r="N22" s="798">
        <f t="shared" si="3"/>
        <v>3265676.61</v>
      </c>
      <c r="O22" s="308"/>
      <c r="Q22" s="294"/>
      <c r="R22" s="294"/>
      <c r="S22" s="294"/>
    </row>
    <row r="23" spans="1:15" ht="12.75">
      <c r="A23" s="309"/>
      <c r="B23" s="310"/>
      <c r="C23" s="310"/>
      <c r="D23" s="311"/>
      <c r="E23" s="309"/>
      <c r="F23" s="309"/>
      <c r="G23" s="309"/>
      <c r="H23" s="309"/>
      <c r="I23" s="309"/>
      <c r="J23" s="309"/>
      <c r="K23" s="309"/>
      <c r="L23" s="309"/>
      <c r="M23" s="309"/>
      <c r="N23" s="312"/>
      <c r="O23" s="313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  <mergeCell ref="D17:E17"/>
    <mergeCell ref="D22:E22"/>
    <mergeCell ref="D18:E18"/>
    <mergeCell ref="D19:E19"/>
    <mergeCell ref="D20:E20"/>
    <mergeCell ref="D21:E21"/>
    <mergeCell ref="D15:E15"/>
    <mergeCell ref="H10:H11"/>
    <mergeCell ref="D13:E13"/>
    <mergeCell ref="D12:E12"/>
    <mergeCell ref="A7:M7"/>
    <mergeCell ref="N7:O7"/>
    <mergeCell ref="A8:M8"/>
    <mergeCell ref="N8:O8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805"/>
      <c r="B1" s="805"/>
      <c r="C1" s="805"/>
      <c r="D1" s="808" t="s">
        <v>829</v>
      </c>
      <c r="E1" s="805"/>
      <c r="F1" s="805"/>
      <c r="G1" s="805"/>
      <c r="H1" s="805"/>
    </row>
    <row r="2" spans="1:8" ht="12.75">
      <c r="A2" s="805"/>
      <c r="B2" s="805"/>
      <c r="C2" s="805"/>
      <c r="D2" s="809" t="s">
        <v>830</v>
      </c>
      <c r="E2" s="805"/>
      <c r="F2" s="805"/>
      <c r="G2" s="805"/>
      <c r="H2" s="805"/>
    </row>
    <row r="3" spans="1:8" ht="12.75">
      <c r="A3" s="805"/>
      <c r="B3" s="809"/>
      <c r="C3" s="805"/>
      <c r="D3" s="805"/>
      <c r="E3" s="805"/>
      <c r="F3" s="805"/>
      <c r="G3" s="805"/>
      <c r="H3" s="805"/>
    </row>
    <row r="4" spans="1:9" ht="12.75">
      <c r="A4" s="805" t="s">
        <v>678</v>
      </c>
      <c r="B4" s="805"/>
      <c r="C4" s="805"/>
      <c r="D4" s="805"/>
      <c r="E4" s="805"/>
      <c r="F4" s="805"/>
      <c r="G4" s="810">
        <v>42339</v>
      </c>
      <c r="H4" s="805"/>
      <c r="I4" t="s">
        <v>228</v>
      </c>
    </row>
    <row r="5" spans="1:8" ht="12.75">
      <c r="A5" s="805" t="s">
        <v>828</v>
      </c>
      <c r="B5" s="805"/>
      <c r="C5" s="805"/>
      <c r="D5" s="805"/>
      <c r="E5" s="805"/>
      <c r="F5" s="805"/>
      <c r="G5" s="811" t="s">
        <v>831</v>
      </c>
      <c r="H5" s="805"/>
    </row>
    <row r="6" ht="12" customHeight="1" thickBot="1"/>
    <row r="7" ht="13.5" hidden="1" thickBot="1"/>
    <row r="8" spans="1:8" ht="56.25" customHeight="1">
      <c r="A8" s="1046" t="s">
        <v>463</v>
      </c>
      <c r="B8" s="1047"/>
      <c r="C8" s="1047"/>
      <c r="D8" s="1047"/>
      <c r="E8" s="1047"/>
      <c r="F8" s="1047"/>
      <c r="G8" s="1047"/>
      <c r="H8" s="812">
        <v>2016</v>
      </c>
    </row>
    <row r="9" spans="1:8" s="757" customFormat="1" ht="27.75" customHeight="1">
      <c r="A9" s="1048" t="str">
        <f>CPYG!A8</f>
        <v>TRANSPORTES INTERURBANOS DE TENERIFE, S.A.U.</v>
      </c>
      <c r="B9" s="1049"/>
      <c r="C9" s="1049"/>
      <c r="D9" s="1049"/>
      <c r="E9" s="1049"/>
      <c r="F9" s="1049"/>
      <c r="G9" s="1049"/>
      <c r="H9" s="1022"/>
    </row>
    <row r="10" spans="1:8" ht="12.75">
      <c r="A10" s="758"/>
      <c r="B10" s="759"/>
      <c r="C10" s="759"/>
      <c r="D10" s="759"/>
      <c r="E10" s="759"/>
      <c r="F10" s="759"/>
      <c r="G10" s="759"/>
      <c r="H10" s="760"/>
    </row>
    <row r="11" spans="1:8" ht="15.75">
      <c r="A11" s="761" t="s">
        <v>679</v>
      </c>
      <c r="B11" s="762"/>
      <c r="C11" s="762"/>
      <c r="D11" s="759"/>
      <c r="E11" s="759"/>
      <c r="F11" s="759"/>
      <c r="G11" s="759"/>
      <c r="H11" s="760"/>
    </row>
    <row r="12" spans="1:8" ht="12.75">
      <c r="A12" s="758"/>
      <c r="B12" s="759"/>
      <c r="C12" s="759"/>
      <c r="D12" s="759"/>
      <c r="E12" s="759"/>
      <c r="F12" s="759"/>
      <c r="G12" s="759"/>
      <c r="H12" s="760"/>
    </row>
    <row r="13" spans="1:8" ht="12.75">
      <c r="A13" s="763" t="s">
        <v>4</v>
      </c>
      <c r="B13" s="762"/>
      <c r="C13" s="762"/>
      <c r="D13" s="759"/>
      <c r="E13" s="759"/>
      <c r="F13" s="759"/>
      <c r="G13" s="759"/>
      <c r="H13" s="799">
        <v>9</v>
      </c>
    </row>
    <row r="14" spans="1:8" ht="12.75">
      <c r="A14" s="758"/>
      <c r="B14" s="759"/>
      <c r="C14" s="759"/>
      <c r="D14" s="759"/>
      <c r="E14" s="759"/>
      <c r="F14" s="759"/>
      <c r="G14" s="759"/>
      <c r="H14" s="760"/>
    </row>
    <row r="15" spans="1:8" ht="12.75">
      <c r="A15" s="758"/>
      <c r="B15" s="759" t="s">
        <v>5</v>
      </c>
      <c r="C15" s="759"/>
      <c r="D15" s="759"/>
      <c r="E15" s="759"/>
      <c r="F15" s="759"/>
      <c r="G15" s="759"/>
      <c r="H15" s="799">
        <v>9</v>
      </c>
    </row>
    <row r="16" spans="1:8" ht="12.75">
      <c r="A16" s="758"/>
      <c r="B16" s="764" t="s">
        <v>6</v>
      </c>
      <c r="C16" s="759" t="s">
        <v>7</v>
      </c>
      <c r="D16" s="759"/>
      <c r="E16" s="759"/>
      <c r="F16" s="759"/>
      <c r="G16" s="759"/>
      <c r="H16" s="833">
        <v>7</v>
      </c>
    </row>
    <row r="17" spans="1:8" ht="12.75">
      <c r="A17" s="758"/>
      <c r="B17" s="764" t="s">
        <v>8</v>
      </c>
      <c r="C17" s="759" t="s">
        <v>9</v>
      </c>
      <c r="D17" s="759"/>
      <c r="E17" s="759"/>
      <c r="F17" s="759"/>
      <c r="G17" s="759"/>
      <c r="H17" s="833">
        <v>2</v>
      </c>
    </row>
    <row r="18" spans="1:8" ht="7.5" customHeight="1">
      <c r="A18" s="758"/>
      <c r="B18" s="759"/>
      <c r="C18" s="759"/>
      <c r="D18" s="759"/>
      <c r="E18" s="759"/>
      <c r="F18" s="759"/>
      <c r="G18" s="759"/>
      <c r="H18" s="760"/>
    </row>
    <row r="19" spans="1:8" ht="12.75">
      <c r="A19" s="758"/>
      <c r="B19" s="759" t="s">
        <v>10</v>
      </c>
      <c r="C19" s="759"/>
      <c r="D19" s="759"/>
      <c r="E19" s="759"/>
      <c r="F19" s="759"/>
      <c r="G19" s="759"/>
      <c r="H19" s="799"/>
    </row>
    <row r="20" spans="1:8" ht="13.5" thickBot="1">
      <c r="A20" s="765"/>
      <c r="B20" s="766"/>
      <c r="C20" s="766"/>
      <c r="D20" s="766"/>
      <c r="E20" s="766"/>
      <c r="F20" s="766"/>
      <c r="G20" s="766"/>
      <c r="H20" s="767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59"/>
  <sheetViews>
    <sheetView zoomScale="70" zoomScaleNormal="70" zoomScalePageLayoutView="0" workbookViewId="0" topLeftCell="A1">
      <selection activeCell="E4" sqref="E4"/>
    </sheetView>
  </sheetViews>
  <sheetFormatPr defaultColWidth="11.57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20.7109375" style="133" customWidth="1"/>
    <col min="8" max="8" width="17.00390625" style="133" customWidth="1"/>
    <col min="9" max="16384" width="11.57421875" style="133" customWidth="1"/>
  </cols>
  <sheetData>
    <row r="1" spans="2:8" ht="15">
      <c r="B1" s="276"/>
      <c r="C1" s="276"/>
      <c r="D1" s="276"/>
      <c r="E1" s="803" t="s">
        <v>829</v>
      </c>
      <c r="F1" s="276"/>
      <c r="H1" s="276"/>
    </row>
    <row r="2" spans="2:8" ht="14.25">
      <c r="B2" s="276"/>
      <c r="C2" s="276"/>
      <c r="D2" s="276"/>
      <c r="E2" s="804" t="s">
        <v>830</v>
      </c>
      <c r="F2" s="276"/>
      <c r="H2" s="276"/>
    </row>
    <row r="3" spans="2:8" ht="12.75">
      <c r="B3" s="276"/>
      <c r="C3" s="276"/>
      <c r="D3" s="276"/>
      <c r="E3" s="276"/>
      <c r="F3" s="276"/>
      <c r="G3" s="276"/>
      <c r="H3" s="276"/>
    </row>
    <row r="4" spans="2:8" ht="15">
      <c r="B4" s="802" t="s">
        <v>678</v>
      </c>
      <c r="C4" s="276"/>
      <c r="D4" s="276"/>
      <c r="E4" s="807">
        <v>42339</v>
      </c>
      <c r="F4" s="276"/>
      <c r="H4" s="814"/>
    </row>
    <row r="5" spans="2:8" ht="15">
      <c r="B5" s="802" t="s">
        <v>828</v>
      </c>
      <c r="C5" s="276"/>
      <c r="D5" s="276"/>
      <c r="E5" s="806" t="s">
        <v>831</v>
      </c>
      <c r="F5" s="276"/>
      <c r="H5" s="815"/>
    </row>
    <row r="6" ht="13.5" thickBot="1"/>
    <row r="7" spans="1:8" ht="14.25">
      <c r="A7" s="1339" t="s">
        <v>646</v>
      </c>
      <c r="B7" s="1340"/>
      <c r="C7" s="1340"/>
      <c r="D7" s="1340"/>
      <c r="E7" s="1340"/>
      <c r="F7" s="1340"/>
      <c r="G7" s="1340"/>
      <c r="H7" s="1337">
        <v>2016</v>
      </c>
    </row>
    <row r="8" spans="1:8" ht="24.75" customHeight="1" thickBot="1">
      <c r="A8" s="1341" t="s">
        <v>712</v>
      </c>
      <c r="B8" s="1342"/>
      <c r="C8" s="1342"/>
      <c r="D8" s="1342"/>
      <c r="E8" s="1342"/>
      <c r="F8" s="1342"/>
      <c r="G8" s="1342"/>
      <c r="H8" s="1338"/>
    </row>
    <row r="9" spans="1:8" ht="33" customHeight="1" thickBot="1">
      <c r="A9" s="1343" t="str">
        <f>CPYG!A8</f>
        <v>TRANSPORTES INTERURBANOS DE TENERIFE, S.A.U.</v>
      </c>
      <c r="B9" s="1344"/>
      <c r="C9" s="1344"/>
      <c r="D9" s="1344"/>
      <c r="E9" s="1344"/>
      <c r="F9" s="1344"/>
      <c r="G9" s="1345"/>
      <c r="H9" s="316" t="s">
        <v>526</v>
      </c>
    </row>
    <row r="10" spans="1:8" ht="12.75">
      <c r="A10" s="229"/>
      <c r="B10" s="158"/>
      <c r="C10" s="158"/>
      <c r="D10" s="158"/>
      <c r="E10" s="158"/>
      <c r="F10" s="158"/>
      <c r="G10" s="158"/>
      <c r="H10" s="230"/>
    </row>
    <row r="11" spans="1:8" ht="12.75">
      <c r="A11" s="229"/>
      <c r="B11" s="1346" t="s">
        <v>713</v>
      </c>
      <c r="C11" s="1346"/>
      <c r="D11" s="1346"/>
      <c r="E11" s="1346"/>
      <c r="F11" s="1346"/>
      <c r="G11" s="1346"/>
      <c r="H11" s="1347"/>
    </row>
    <row r="12" spans="1:8" ht="12.75">
      <c r="A12" s="229"/>
      <c r="B12" s="158"/>
      <c r="C12" s="158"/>
      <c r="D12" s="158"/>
      <c r="E12" s="158"/>
      <c r="F12" s="158"/>
      <c r="G12" s="158"/>
      <c r="H12" s="230"/>
    </row>
    <row r="13" spans="1:8" ht="12.75">
      <c r="A13" s="1220" t="s">
        <v>714</v>
      </c>
      <c r="B13" s="1221"/>
      <c r="C13" s="158"/>
      <c r="D13" s="158"/>
      <c r="E13" s="158"/>
      <c r="F13" s="158"/>
      <c r="G13" s="158"/>
      <c r="H13" s="230"/>
    </row>
    <row r="14" spans="1:8" ht="12.75">
      <c r="A14" s="229"/>
      <c r="B14" s="158"/>
      <c r="C14" s="158"/>
      <c r="D14" s="158"/>
      <c r="E14" s="158"/>
      <c r="F14" s="158"/>
      <c r="G14" s="158"/>
      <c r="H14" s="230"/>
    </row>
    <row r="15" spans="1:8" ht="12.75">
      <c r="A15" s="317" t="s">
        <v>758</v>
      </c>
      <c r="B15" s="318" t="s">
        <v>715</v>
      </c>
      <c r="C15" s="318"/>
      <c r="D15" s="318"/>
      <c r="E15" s="158"/>
      <c r="F15" s="158"/>
      <c r="G15" s="158"/>
      <c r="H15" s="230"/>
    </row>
    <row r="16" spans="1:8" ht="12.75">
      <c r="A16" s="317"/>
      <c r="B16" s="318" t="s">
        <v>716</v>
      </c>
      <c r="C16" s="318"/>
      <c r="D16" s="318"/>
      <c r="E16" s="158"/>
      <c r="F16" s="158"/>
      <c r="G16" s="158"/>
      <c r="H16" s="230"/>
    </row>
    <row r="17" spans="1:8" ht="12.75">
      <c r="A17" s="317"/>
      <c r="B17" s="318" t="s">
        <v>719</v>
      </c>
      <c r="C17" s="318"/>
      <c r="D17" s="318"/>
      <c r="E17" s="158"/>
      <c r="F17" s="158"/>
      <c r="G17" s="158"/>
      <c r="H17" s="230"/>
    </row>
    <row r="18" spans="1:8" ht="12.75">
      <c r="A18" s="317"/>
      <c r="B18" s="318" t="s">
        <v>720</v>
      </c>
      <c r="C18" s="318"/>
      <c r="D18" s="318"/>
      <c r="E18" s="158"/>
      <c r="F18" s="158"/>
      <c r="G18" s="158"/>
      <c r="H18" s="230"/>
    </row>
    <row r="19" spans="1:8" ht="12.75">
      <c r="A19" s="317"/>
      <c r="B19" s="318" t="s">
        <v>721</v>
      </c>
      <c r="C19" s="318"/>
      <c r="D19" s="318"/>
      <c r="E19" s="158"/>
      <c r="F19" s="158"/>
      <c r="G19" s="158"/>
      <c r="H19" s="230"/>
    </row>
    <row r="20" spans="1:8" ht="12.75">
      <c r="A20" s="229"/>
      <c r="B20" s="158"/>
      <c r="C20" s="158"/>
      <c r="D20" s="158"/>
      <c r="E20" s="158"/>
      <c r="F20" s="158"/>
      <c r="G20" s="158"/>
      <c r="H20" s="230"/>
    </row>
    <row r="21" spans="1:8" ht="12.75">
      <c r="A21" s="1220" t="s">
        <v>722</v>
      </c>
      <c r="B21" s="1221"/>
      <c r="C21" s="1221"/>
      <c r="D21" s="1221"/>
      <c r="E21" s="158"/>
      <c r="F21" s="158"/>
      <c r="G21" s="158"/>
      <c r="H21" s="230"/>
    </row>
    <row r="22" spans="1:8" ht="12.75">
      <c r="A22" s="229"/>
      <c r="B22" s="158"/>
      <c r="C22" s="158"/>
      <c r="D22" s="158"/>
      <c r="E22" s="158"/>
      <c r="F22" s="158"/>
      <c r="G22" s="158"/>
      <c r="H22" s="230"/>
    </row>
    <row r="23" spans="1:8" ht="12.75">
      <c r="A23" s="1348" t="s">
        <v>723</v>
      </c>
      <c r="B23" s="1349"/>
      <c r="C23" s="1349"/>
      <c r="D23" s="1349"/>
      <c r="E23" s="1350"/>
      <c r="F23" s="158"/>
      <c r="G23" s="158"/>
      <c r="H23" s="230"/>
    </row>
    <row r="24" spans="1:8" ht="12.75">
      <c r="A24" s="229"/>
      <c r="B24" s="158"/>
      <c r="C24" s="158"/>
      <c r="D24" s="158"/>
      <c r="E24" s="158"/>
      <c r="F24" s="158"/>
      <c r="G24" s="158"/>
      <c r="H24" s="230"/>
    </row>
    <row r="25" spans="1:8" ht="12.75">
      <c r="A25" s="229"/>
      <c r="B25" s="158"/>
      <c r="C25" s="158"/>
      <c r="D25" s="158"/>
      <c r="E25" s="158"/>
      <c r="F25" s="1336" t="s">
        <v>724</v>
      </c>
      <c r="G25" s="1336"/>
      <c r="H25" s="801">
        <f>C41</f>
        <v>1157</v>
      </c>
    </row>
    <row r="26" spans="1:11" ht="12.75">
      <c r="A26" s="229"/>
      <c r="B26" s="158"/>
      <c r="C26" s="158"/>
      <c r="D26" s="158"/>
      <c r="E26" s="158"/>
      <c r="F26" s="1336" t="s">
        <v>725</v>
      </c>
      <c r="G26" s="1336"/>
      <c r="H26" s="801">
        <f>H41+H49</f>
        <v>54556647.66</v>
      </c>
      <c r="K26" s="169"/>
    </row>
    <row r="27" spans="1:8" ht="12.75">
      <c r="A27" s="229"/>
      <c r="B27" s="158"/>
      <c r="C27" s="158"/>
      <c r="D27" s="158"/>
      <c r="E27" s="158"/>
      <c r="F27" s="158"/>
      <c r="G27" s="158"/>
      <c r="H27" s="230"/>
    </row>
    <row r="28" spans="1:8" ht="12.75">
      <c r="A28" s="229"/>
      <c r="B28" s="158"/>
      <c r="C28" s="158"/>
      <c r="D28" s="158"/>
      <c r="E28" s="158"/>
      <c r="F28" s="158"/>
      <c r="G28" s="158"/>
      <c r="H28" s="230"/>
    </row>
    <row r="29" spans="1:8" ht="12.75">
      <c r="A29" s="229"/>
      <c r="B29" s="158"/>
      <c r="C29" s="158"/>
      <c r="D29" s="158"/>
      <c r="E29" s="158"/>
      <c r="F29" s="158"/>
      <c r="G29" s="158"/>
      <c r="H29" s="686"/>
    </row>
    <row r="30" spans="1:8" ht="12.75">
      <c r="A30" s="1220" t="s">
        <v>726</v>
      </c>
      <c r="B30" s="1221"/>
      <c r="C30" s="1221"/>
      <c r="D30" s="158"/>
      <c r="E30" s="158"/>
      <c r="F30" s="158"/>
      <c r="G30" s="158"/>
      <c r="H30" s="230"/>
    </row>
    <row r="31" spans="1:8" ht="13.5" thickBot="1">
      <c r="A31" s="229"/>
      <c r="B31" s="158"/>
      <c r="C31" s="158"/>
      <c r="D31" s="158"/>
      <c r="E31" s="158"/>
      <c r="F31" s="158"/>
      <c r="G31" s="158"/>
      <c r="H31" s="230"/>
    </row>
    <row r="32" spans="1:8" ht="13.5" thickBot="1">
      <c r="A32" s="1317" t="s">
        <v>727</v>
      </c>
      <c r="B32" s="1318"/>
      <c r="C32" s="1315" t="s">
        <v>728</v>
      </c>
      <c r="D32" s="1315" t="s">
        <v>729</v>
      </c>
      <c r="E32" s="1315"/>
      <c r="F32" s="1315"/>
      <c r="G32" s="1315"/>
      <c r="H32" s="1315"/>
    </row>
    <row r="33" spans="1:8" ht="13.5" thickBot="1">
      <c r="A33" s="1319"/>
      <c r="B33" s="1320"/>
      <c r="C33" s="1315"/>
      <c r="D33" s="1315" t="s">
        <v>730</v>
      </c>
      <c r="E33" s="1315" t="s">
        <v>731</v>
      </c>
      <c r="F33" s="1315" t="s">
        <v>732</v>
      </c>
      <c r="G33" s="1315" t="s">
        <v>733</v>
      </c>
      <c r="H33" s="1315" t="s">
        <v>735</v>
      </c>
    </row>
    <row r="34" spans="1:8" ht="35.25" customHeight="1" thickBot="1">
      <c r="A34" s="1321"/>
      <c r="B34" s="1322"/>
      <c r="C34" s="1315"/>
      <c r="D34" s="1315"/>
      <c r="E34" s="1315"/>
      <c r="F34" s="1315"/>
      <c r="G34" s="1315"/>
      <c r="H34" s="1315"/>
    </row>
    <row r="35" spans="1:8" ht="15" customHeight="1">
      <c r="A35" s="1308" t="s">
        <v>736</v>
      </c>
      <c r="B35" s="1316"/>
      <c r="C35" s="320"/>
      <c r="D35" s="320"/>
      <c r="E35" s="320"/>
      <c r="F35" s="320"/>
      <c r="G35" s="320"/>
      <c r="H35" s="321">
        <f aca="true" t="shared" si="0" ref="H35:H40">D35+E35+F35+G35</f>
        <v>0</v>
      </c>
    </row>
    <row r="36" spans="1:8" ht="15" customHeight="1">
      <c r="A36" s="1308" t="s">
        <v>737</v>
      </c>
      <c r="B36" s="1316"/>
      <c r="C36" s="322">
        <v>1</v>
      </c>
      <c r="D36" s="322">
        <v>79305</v>
      </c>
      <c r="E36" s="322">
        <v>8505.88</v>
      </c>
      <c r="F36" s="322">
        <v>0</v>
      </c>
      <c r="G36" s="322">
        <v>0</v>
      </c>
      <c r="H36" s="323">
        <f t="shared" si="0"/>
        <v>87810.88</v>
      </c>
    </row>
    <row r="37" spans="1:8" ht="15" customHeight="1">
      <c r="A37" s="1308" t="s">
        <v>738</v>
      </c>
      <c r="B37" s="1316"/>
      <c r="C37" s="322">
        <v>3</v>
      </c>
      <c r="D37" s="322">
        <v>182324.88</v>
      </c>
      <c r="E37" s="322">
        <v>19601.58</v>
      </c>
      <c r="F37" s="322">
        <v>0</v>
      </c>
      <c r="G37" s="322">
        <v>0</v>
      </c>
      <c r="H37" s="323">
        <f t="shared" si="0"/>
        <v>201926.46000000002</v>
      </c>
    </row>
    <row r="38" spans="1:8" ht="15" customHeight="1">
      <c r="A38" s="1308" t="s">
        <v>739</v>
      </c>
      <c r="B38" s="1316"/>
      <c r="C38" s="322">
        <v>1101</v>
      </c>
      <c r="D38" s="322">
        <v>35597806.63</v>
      </c>
      <c r="E38" s="322">
        <v>2780566.94</v>
      </c>
      <c r="F38" s="322">
        <v>0</v>
      </c>
      <c r="G38" s="322">
        <v>180000</v>
      </c>
      <c r="H38" s="323">
        <v>38523328.73</v>
      </c>
    </row>
    <row r="39" spans="1:8" ht="15" customHeight="1">
      <c r="A39" s="1308" t="s">
        <v>740</v>
      </c>
      <c r="B39" s="1316"/>
      <c r="C39" s="322">
        <v>52</v>
      </c>
      <c r="D39" s="322">
        <v>1681276.97</v>
      </c>
      <c r="E39" s="322">
        <v>131325.6</v>
      </c>
      <c r="F39" s="322">
        <v>0</v>
      </c>
      <c r="G39" s="322">
        <v>0</v>
      </c>
      <c r="H39" s="323">
        <v>1810947.41</v>
      </c>
    </row>
    <row r="40" spans="1:8" ht="15" customHeight="1">
      <c r="A40" s="1308" t="s">
        <v>275</v>
      </c>
      <c r="B40" s="1316"/>
      <c r="C40" s="322"/>
      <c r="D40" s="322"/>
      <c r="E40" s="322"/>
      <c r="F40" s="322"/>
      <c r="G40" s="322"/>
      <c r="H40" s="323">
        <f t="shared" si="0"/>
        <v>0</v>
      </c>
    </row>
    <row r="41" spans="1:8" ht="15" customHeight="1" thickBot="1">
      <c r="A41" s="1310" t="s">
        <v>932</v>
      </c>
      <c r="B41" s="1332"/>
      <c r="C41" s="324">
        <f aca="true" t="shared" si="1" ref="C41:H41">C35+C36+C37+C38+C39+C40</f>
        <v>1157</v>
      </c>
      <c r="D41" s="324">
        <f t="shared" si="1"/>
        <v>37540713.480000004</v>
      </c>
      <c r="E41" s="324">
        <f t="shared" si="1"/>
        <v>2940000</v>
      </c>
      <c r="F41" s="324">
        <f t="shared" si="1"/>
        <v>0</v>
      </c>
      <c r="G41" s="324">
        <f t="shared" si="1"/>
        <v>180000</v>
      </c>
      <c r="H41" s="325">
        <f t="shared" si="1"/>
        <v>40624013.48</v>
      </c>
    </row>
    <row r="42" spans="1:8" ht="12.75">
      <c r="A42" s="229"/>
      <c r="B42" s="158"/>
      <c r="C42" s="158"/>
      <c r="D42" s="158"/>
      <c r="E42" s="158"/>
      <c r="F42" s="158"/>
      <c r="G42" s="158"/>
      <c r="H42" s="230"/>
    </row>
    <row r="43" spans="1:8" ht="12.75">
      <c r="A43" s="229"/>
      <c r="B43" s="158"/>
      <c r="C43" s="158"/>
      <c r="D43" s="158"/>
      <c r="E43" s="158"/>
      <c r="F43" s="158"/>
      <c r="G43" s="158"/>
      <c r="H43" s="230"/>
    </row>
    <row r="44" spans="1:8" ht="12.75">
      <c r="A44" s="1220" t="s">
        <v>741</v>
      </c>
      <c r="B44" s="1221"/>
      <c r="C44" s="1221"/>
      <c r="D44" s="158"/>
      <c r="E44" s="158"/>
      <c r="F44" s="158"/>
      <c r="G44" s="158"/>
      <c r="H44" s="230"/>
    </row>
    <row r="45" spans="1:8" ht="13.5" thickBot="1">
      <c r="A45" s="229"/>
      <c r="B45" s="158"/>
      <c r="C45" s="158"/>
      <c r="D45" s="158"/>
      <c r="E45" s="158"/>
      <c r="F45" s="158"/>
      <c r="G45" s="158"/>
      <c r="H45" s="230"/>
    </row>
    <row r="46" spans="1:8" ht="15" customHeight="1" thickBot="1">
      <c r="A46" s="1333" t="s">
        <v>868</v>
      </c>
      <c r="B46" s="1334"/>
      <c r="C46" s="1334"/>
      <c r="D46" s="1335"/>
      <c r="E46" s="1312" t="s">
        <v>452</v>
      </c>
      <c r="F46" s="1313"/>
      <c r="G46" s="1313"/>
      <c r="H46" s="1314"/>
    </row>
    <row r="47" spans="1:8" ht="15" customHeight="1">
      <c r="A47" s="1308" t="s">
        <v>759</v>
      </c>
      <c r="B47" s="1309"/>
      <c r="C47" s="319"/>
      <c r="D47" s="158"/>
      <c r="E47" s="158"/>
      <c r="F47" s="158"/>
      <c r="G47" s="158"/>
      <c r="H47" s="326">
        <f>-CPYG!D51</f>
        <v>557000</v>
      </c>
    </row>
    <row r="48" spans="1:8" ht="15" customHeight="1">
      <c r="A48" s="1308" t="s">
        <v>742</v>
      </c>
      <c r="B48" s="1309"/>
      <c r="C48" s="319"/>
      <c r="D48" s="158"/>
      <c r="E48" s="158"/>
      <c r="F48" s="158"/>
      <c r="G48" s="158"/>
      <c r="H48" s="327">
        <f>-CPYG!D49</f>
        <v>13375634.18</v>
      </c>
    </row>
    <row r="49" spans="1:8" ht="15" customHeight="1" thickBot="1">
      <c r="A49" s="1310" t="s">
        <v>743</v>
      </c>
      <c r="B49" s="1311"/>
      <c r="C49" s="328"/>
      <c r="D49" s="329"/>
      <c r="E49" s="329"/>
      <c r="F49" s="329"/>
      <c r="G49" s="329"/>
      <c r="H49" s="330">
        <f>H47+H48</f>
        <v>13932634.18</v>
      </c>
    </row>
    <row r="50" spans="1:8" ht="12.75">
      <c r="A50" s="229"/>
      <c r="B50" s="158"/>
      <c r="C50" s="158"/>
      <c r="D50" s="158"/>
      <c r="E50" s="158"/>
      <c r="F50" s="158"/>
      <c r="G50" s="158"/>
      <c r="H50" s="686"/>
    </row>
    <row r="51" spans="1:8" ht="12.75">
      <c r="A51" s="229"/>
      <c r="B51" s="158"/>
      <c r="C51" s="158"/>
      <c r="D51" s="158"/>
      <c r="E51" s="158"/>
      <c r="F51" s="158"/>
      <c r="G51" s="158"/>
      <c r="H51" s="230"/>
    </row>
    <row r="52" spans="1:8" ht="12.75">
      <c r="A52" s="229"/>
      <c r="B52" s="331" t="s">
        <v>744</v>
      </c>
      <c r="C52" s="158"/>
      <c r="D52" s="158"/>
      <c r="E52" s="158"/>
      <c r="F52" s="158"/>
      <c r="G52" s="158"/>
      <c r="H52" s="230"/>
    </row>
    <row r="53" spans="1:8" ht="12.75">
      <c r="A53" s="229"/>
      <c r="B53" s="158"/>
      <c r="C53" s="158"/>
      <c r="D53" s="158"/>
      <c r="E53" s="158"/>
      <c r="F53" s="158"/>
      <c r="G53" s="158"/>
      <c r="H53" s="230"/>
    </row>
    <row r="54" spans="1:8" ht="12.75" customHeight="1">
      <c r="A54" s="1323"/>
      <c r="B54" s="1324"/>
      <c r="C54" s="1324"/>
      <c r="D54" s="1324"/>
      <c r="E54" s="1324"/>
      <c r="F54" s="1324"/>
      <c r="G54" s="1324"/>
      <c r="H54" s="1325"/>
    </row>
    <row r="55" spans="1:8" ht="12.75">
      <c r="A55" s="1326"/>
      <c r="B55" s="1327"/>
      <c r="C55" s="1327"/>
      <c r="D55" s="1327"/>
      <c r="E55" s="1327"/>
      <c r="F55" s="1327"/>
      <c r="G55" s="1327"/>
      <c r="H55" s="1328"/>
    </row>
    <row r="56" spans="1:8" ht="12.75">
      <c r="A56" s="1326"/>
      <c r="B56" s="1327"/>
      <c r="C56" s="1327"/>
      <c r="D56" s="1327"/>
      <c r="E56" s="1327"/>
      <c r="F56" s="1327"/>
      <c r="G56" s="1327"/>
      <c r="H56" s="1328"/>
    </row>
    <row r="57" spans="1:8" ht="12.75">
      <c r="A57" s="1326"/>
      <c r="B57" s="1327"/>
      <c r="C57" s="1327"/>
      <c r="D57" s="1327"/>
      <c r="E57" s="1327"/>
      <c r="F57" s="1327"/>
      <c r="G57" s="1327"/>
      <c r="H57" s="1328"/>
    </row>
    <row r="58" spans="1:8" ht="12.75">
      <c r="A58" s="1329"/>
      <c r="B58" s="1330"/>
      <c r="C58" s="1330"/>
      <c r="D58" s="1330"/>
      <c r="E58" s="1330"/>
      <c r="F58" s="1330"/>
      <c r="G58" s="1330"/>
      <c r="H58" s="1331"/>
    </row>
    <row r="59" spans="1:8" ht="13.5" thickBot="1">
      <c r="A59" s="332"/>
      <c r="B59" s="329"/>
      <c r="C59" s="329"/>
      <c r="D59" s="329"/>
      <c r="E59" s="329"/>
      <c r="F59" s="329"/>
      <c r="G59" s="329"/>
      <c r="H59" s="333"/>
    </row>
  </sheetData>
  <sheetProtection/>
  <mergeCells count="33">
    <mergeCell ref="F26:G26"/>
    <mergeCell ref="H7:H8"/>
    <mergeCell ref="A7:G7"/>
    <mergeCell ref="A8:G8"/>
    <mergeCell ref="A9:G9"/>
    <mergeCell ref="B11:H11"/>
    <mergeCell ref="F25:G25"/>
    <mergeCell ref="A13:B13"/>
    <mergeCell ref="A21:D21"/>
    <mergeCell ref="A23:E23"/>
    <mergeCell ref="A30:C30"/>
    <mergeCell ref="C32:C34"/>
    <mergeCell ref="D33:D34"/>
    <mergeCell ref="F33:F34"/>
    <mergeCell ref="A54:H58"/>
    <mergeCell ref="A35:B35"/>
    <mergeCell ref="A36:B36"/>
    <mergeCell ref="A37:B37"/>
    <mergeCell ref="A38:B38"/>
    <mergeCell ref="A40:B40"/>
    <mergeCell ref="A41:B41"/>
    <mergeCell ref="A47:B47"/>
    <mergeCell ref="A44:C44"/>
    <mergeCell ref="A46:D46"/>
    <mergeCell ref="A48:B48"/>
    <mergeCell ref="A49:B49"/>
    <mergeCell ref="E46:H46"/>
    <mergeCell ref="E33:E34"/>
    <mergeCell ref="A39:B39"/>
    <mergeCell ref="A32:B34"/>
    <mergeCell ref="D32:H32"/>
    <mergeCell ref="G33:G34"/>
    <mergeCell ref="H33:H3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8"/>
  <sheetViews>
    <sheetView zoomScale="80" zoomScaleNormal="80" zoomScalePageLayoutView="0" workbookViewId="0" topLeftCell="A1">
      <selection activeCell="B18" sqref="B18"/>
    </sheetView>
  </sheetViews>
  <sheetFormatPr defaultColWidth="11.57421875" defaultRowHeight="12.75"/>
  <cols>
    <col min="1" max="1" width="75.00390625" style="209" customWidth="1"/>
    <col min="2" max="2" width="15.7109375" style="209" customWidth="1"/>
    <col min="3" max="3" width="66.85156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76"/>
      <c r="B1" s="803" t="s">
        <v>829</v>
      </c>
      <c r="C1" s="276"/>
      <c r="D1" s="276"/>
      <c r="E1" s="276"/>
      <c r="G1" s="276"/>
    </row>
    <row r="2" spans="1:7" ht="14.25">
      <c r="A2" s="276"/>
      <c r="B2" s="804" t="s">
        <v>830</v>
      </c>
      <c r="C2" s="276"/>
      <c r="D2" s="276"/>
      <c r="E2" s="276"/>
      <c r="G2" s="276"/>
    </row>
    <row r="3" spans="1:7" ht="12.75">
      <c r="A3" s="276"/>
      <c r="B3" s="276"/>
      <c r="C3" s="276"/>
      <c r="D3" s="276"/>
      <c r="E3" s="276"/>
      <c r="F3" s="276"/>
      <c r="G3" s="276"/>
    </row>
    <row r="4" spans="1:7" ht="15">
      <c r="A4" s="802" t="s">
        <v>678</v>
      </c>
      <c r="B4" s="807">
        <v>42339</v>
      </c>
      <c r="C4" s="276"/>
      <c r="D4" s="276"/>
      <c r="E4" s="276"/>
      <c r="G4" s="814"/>
    </row>
    <row r="5" spans="1:7" ht="15">
      <c r="A5" s="802" t="s">
        <v>828</v>
      </c>
      <c r="B5" s="806" t="s">
        <v>831</v>
      </c>
      <c r="C5" s="276"/>
      <c r="D5" s="276"/>
      <c r="E5" s="276"/>
      <c r="G5" s="815"/>
    </row>
    <row r="6" ht="13.5" thickBot="1"/>
    <row r="7" spans="1:4" ht="49.5" customHeight="1" thickTop="1">
      <c r="A7" s="1359" t="s">
        <v>859</v>
      </c>
      <c r="B7" s="1360"/>
      <c r="C7" s="1361"/>
      <c r="D7" s="334">
        <f>CPYG!D7</f>
        <v>2016</v>
      </c>
    </row>
    <row r="8" spans="1:4" ht="42.75" customHeight="1">
      <c r="A8" s="1362" t="str">
        <f>CPYG!A8</f>
        <v>TRANSPORTES INTERURBANOS DE TENERIFE, S.A.U.</v>
      </c>
      <c r="B8" s="1363"/>
      <c r="C8" s="1364"/>
      <c r="D8" s="335" t="s">
        <v>533</v>
      </c>
    </row>
    <row r="9" spans="1:6" s="133" customFormat="1" ht="24.75" customHeight="1">
      <c r="A9" s="1365" t="s">
        <v>202</v>
      </c>
      <c r="B9" s="1366"/>
      <c r="C9" s="1366"/>
      <c r="D9" s="1367"/>
      <c r="F9" s="133">
        <v>700</v>
      </c>
    </row>
    <row r="10" spans="1:6" s="133" customFormat="1" ht="16.5" customHeight="1">
      <c r="A10" s="1368" t="s">
        <v>454</v>
      </c>
      <c r="B10" s="1369"/>
      <c r="C10" s="1370" t="s">
        <v>456</v>
      </c>
      <c r="D10" s="1371"/>
      <c r="F10" s="133">
        <v>705</v>
      </c>
    </row>
    <row r="11" spans="1:4" s="133" customFormat="1" ht="19.5" customHeight="1">
      <c r="A11" s="337" t="s">
        <v>455</v>
      </c>
      <c r="B11" s="338" t="s">
        <v>452</v>
      </c>
      <c r="C11" s="338" t="s">
        <v>455</v>
      </c>
      <c r="D11" s="339" t="s">
        <v>452</v>
      </c>
    </row>
    <row r="12" spans="1:4" s="133" customFormat="1" ht="19.5" customHeight="1">
      <c r="A12" s="340" t="s">
        <v>478</v>
      </c>
      <c r="B12" s="341"/>
      <c r="C12" s="342" t="s">
        <v>478</v>
      </c>
      <c r="D12" s="343"/>
    </row>
    <row r="13" spans="1:4" s="133" customFormat="1" ht="19.5" customHeight="1">
      <c r="A13" s="344" t="s">
        <v>479</v>
      </c>
      <c r="B13" s="345"/>
      <c r="C13" s="346" t="s">
        <v>479</v>
      </c>
      <c r="D13" s="347"/>
    </row>
    <row r="14" spans="1:4" s="133" customFormat="1" ht="19.5" customHeight="1">
      <c r="A14" s="344" t="s">
        <v>480</v>
      </c>
      <c r="B14" s="345"/>
      <c r="C14" s="346" t="s">
        <v>480</v>
      </c>
      <c r="D14" s="347"/>
    </row>
    <row r="15" spans="1:4" s="133" customFormat="1" ht="19.5" customHeight="1">
      <c r="A15" s="344" t="s">
        <v>481</v>
      </c>
      <c r="B15" s="345"/>
      <c r="C15" s="346" t="s">
        <v>481</v>
      </c>
      <c r="D15" s="347"/>
    </row>
    <row r="16" spans="1:4" s="133" customFormat="1" ht="19.5" customHeight="1">
      <c r="A16" s="344" t="s">
        <v>482</v>
      </c>
      <c r="B16" s="345"/>
      <c r="C16" s="346" t="s">
        <v>482</v>
      </c>
      <c r="D16" s="347"/>
    </row>
    <row r="17" spans="1:4" s="133" customFormat="1" ht="19.5" customHeight="1">
      <c r="A17" s="344" t="s">
        <v>858</v>
      </c>
      <c r="B17" s="345"/>
      <c r="C17" s="346" t="s">
        <v>858</v>
      </c>
      <c r="D17" s="347"/>
    </row>
    <row r="18" spans="1:4" s="228" customFormat="1" ht="19.5" customHeight="1">
      <c r="A18" s="348" t="s">
        <v>203</v>
      </c>
      <c r="B18" s="349"/>
      <c r="C18" s="346" t="s">
        <v>203</v>
      </c>
      <c r="D18" s="350"/>
    </row>
    <row r="19" spans="1:4" s="133" customFormat="1" ht="19.5" customHeight="1">
      <c r="A19" s="344" t="s">
        <v>513</v>
      </c>
      <c r="B19" s="345"/>
      <c r="C19" s="346" t="s">
        <v>513</v>
      </c>
      <c r="D19" s="347"/>
    </row>
    <row r="20" spans="1:6" s="133" customFormat="1" ht="19.5" customHeight="1">
      <c r="A20" s="344" t="s">
        <v>483</v>
      </c>
      <c r="B20" s="351"/>
      <c r="C20" s="346" t="s">
        <v>483</v>
      </c>
      <c r="D20" s="352"/>
      <c r="F20" s="169"/>
    </row>
    <row r="21" spans="1:4" s="133" customFormat="1" ht="19.5" customHeight="1">
      <c r="A21" s="344" t="s">
        <v>484</v>
      </c>
      <c r="B21" s="351"/>
      <c r="C21" s="346" t="s">
        <v>484</v>
      </c>
      <c r="D21" s="352"/>
    </row>
    <row r="22" spans="1:4" s="133" customFormat="1" ht="19.5" customHeight="1">
      <c r="A22" s="344" t="s">
        <v>485</v>
      </c>
      <c r="B22" s="351"/>
      <c r="C22" s="346" t="s">
        <v>485</v>
      </c>
      <c r="D22" s="352"/>
    </row>
    <row r="23" spans="1:4" s="133" customFormat="1" ht="19.5" customHeight="1">
      <c r="A23" s="344" t="s">
        <v>487</v>
      </c>
      <c r="B23" s="351"/>
      <c r="C23" s="346" t="s">
        <v>487</v>
      </c>
      <c r="D23" s="347"/>
    </row>
    <row r="24" spans="1:4" s="133" customFormat="1" ht="19.5" customHeight="1">
      <c r="A24" s="344" t="s">
        <v>486</v>
      </c>
      <c r="B24" s="345"/>
      <c r="C24" s="346" t="s">
        <v>486</v>
      </c>
      <c r="D24" s="347"/>
    </row>
    <row r="25" spans="1:4" s="133" customFormat="1" ht="19.5" customHeight="1">
      <c r="A25" s="344" t="s">
        <v>204</v>
      </c>
      <c r="B25" s="345"/>
      <c r="C25" s="346" t="s">
        <v>205</v>
      </c>
      <c r="D25" s="347"/>
    </row>
    <row r="26" spans="1:4" s="228" customFormat="1" ht="19.5" customHeight="1">
      <c r="A26" s="348" t="s">
        <v>488</v>
      </c>
      <c r="B26" s="349"/>
      <c r="C26" s="346" t="s">
        <v>488</v>
      </c>
      <c r="D26" s="350"/>
    </row>
    <row r="27" spans="1:4" s="133" customFormat="1" ht="19.5" customHeight="1">
      <c r="A27" s="344" t="s">
        <v>206</v>
      </c>
      <c r="B27" s="345"/>
      <c r="C27" s="346" t="s">
        <v>206</v>
      </c>
      <c r="D27" s="347"/>
    </row>
    <row r="28" spans="1:4" s="133" customFormat="1" ht="19.5" customHeight="1">
      <c r="A28" s="344" t="s">
        <v>490</v>
      </c>
      <c r="B28" s="345"/>
      <c r="C28" s="346" t="s">
        <v>490</v>
      </c>
      <c r="D28" s="347"/>
    </row>
    <row r="29" spans="1:4" s="133" customFormat="1" ht="19.5" customHeight="1">
      <c r="A29" s="344" t="s">
        <v>207</v>
      </c>
      <c r="B29" s="345"/>
      <c r="C29" s="346" t="s">
        <v>207</v>
      </c>
      <c r="D29" s="347"/>
    </row>
    <row r="30" spans="1:4" s="133" customFormat="1" ht="19.5" customHeight="1">
      <c r="A30" s="344" t="s">
        <v>208</v>
      </c>
      <c r="B30" s="345"/>
      <c r="C30" s="346" t="s">
        <v>208</v>
      </c>
      <c r="D30" s="347"/>
    </row>
    <row r="31" spans="1:4" s="133" customFormat="1" ht="19.5" customHeight="1">
      <c r="A31" s="344" t="s">
        <v>489</v>
      </c>
      <c r="B31" s="345"/>
      <c r="C31" s="346" t="s">
        <v>489</v>
      </c>
      <c r="D31" s="347"/>
    </row>
    <row r="32" spans="1:4" s="133" customFormat="1" ht="19.5" customHeight="1">
      <c r="A32" s="344" t="s">
        <v>209</v>
      </c>
      <c r="B32" s="345"/>
      <c r="C32" s="346" t="s">
        <v>209</v>
      </c>
      <c r="D32" s="347"/>
    </row>
    <row r="33" spans="1:4" s="133" customFormat="1" ht="19.5" customHeight="1">
      <c r="A33" s="344" t="s">
        <v>210</v>
      </c>
      <c r="B33" s="345"/>
      <c r="C33" s="346" t="s">
        <v>210</v>
      </c>
      <c r="D33" s="347"/>
    </row>
    <row r="34" spans="1:4" s="133" customFormat="1" ht="19.5" customHeight="1">
      <c r="A34" s="344" t="s">
        <v>211</v>
      </c>
      <c r="B34" s="345"/>
      <c r="C34" s="346" t="s">
        <v>211</v>
      </c>
      <c r="D34" s="347"/>
    </row>
    <row r="35" spans="1:4" s="133" customFormat="1" ht="19.5" customHeight="1">
      <c r="A35" s="344" t="s">
        <v>212</v>
      </c>
      <c r="B35" s="345"/>
      <c r="C35" s="346" t="s">
        <v>212</v>
      </c>
      <c r="D35" s="347"/>
    </row>
    <row r="36" spans="1:4" s="133" customFormat="1" ht="29.25" customHeight="1">
      <c r="A36" s="353" t="s">
        <v>819</v>
      </c>
      <c r="B36" s="345"/>
      <c r="C36" s="346" t="s">
        <v>819</v>
      </c>
      <c r="D36" s="347"/>
    </row>
    <row r="37" spans="1:4" s="133" customFormat="1" ht="29.25" customHeight="1">
      <c r="A37" s="353" t="s">
        <v>514</v>
      </c>
      <c r="B37" s="345"/>
      <c r="C37" s="346" t="s">
        <v>514</v>
      </c>
      <c r="D37" s="347"/>
    </row>
    <row r="38" spans="1:4" s="133" customFormat="1" ht="29.25" customHeight="1">
      <c r="A38" s="353" t="s">
        <v>520</v>
      </c>
      <c r="B38" s="345"/>
      <c r="C38" s="346" t="s">
        <v>520</v>
      </c>
      <c r="D38" s="347"/>
    </row>
    <row r="39" spans="1:4" s="133" customFormat="1" ht="29.25" customHeight="1">
      <c r="A39" s="353" t="s">
        <v>159</v>
      </c>
      <c r="B39" s="345"/>
      <c r="C39" s="346" t="str">
        <f>A39</f>
        <v>FUNDACION TENERIFE RURAL</v>
      </c>
      <c r="D39" s="347"/>
    </row>
    <row r="40" spans="1:4" s="133" customFormat="1" ht="29.25" customHeight="1">
      <c r="A40" s="353" t="s">
        <v>516</v>
      </c>
      <c r="B40" s="345"/>
      <c r="C40" s="346" t="s">
        <v>516</v>
      </c>
      <c r="D40" s="347"/>
    </row>
    <row r="41" spans="1:4" s="133" customFormat="1" ht="22.5" customHeight="1">
      <c r="A41" s="353" t="s">
        <v>515</v>
      </c>
      <c r="B41" s="345"/>
      <c r="C41" s="346" t="s">
        <v>515</v>
      </c>
      <c r="D41" s="347"/>
    </row>
    <row r="42" spans="1:4" s="133" customFormat="1" ht="29.25" customHeight="1">
      <c r="A42" s="353" t="s">
        <v>517</v>
      </c>
      <c r="B42" s="345"/>
      <c r="C42" s="346" t="s">
        <v>517</v>
      </c>
      <c r="D42" s="347"/>
    </row>
    <row r="43" spans="1:4" s="133" customFormat="1" ht="19.5" customHeight="1" thickBot="1">
      <c r="A43" s="354" t="s">
        <v>476</v>
      </c>
      <c r="B43" s="355">
        <f>SUM(B12:B42)</f>
        <v>0</v>
      </c>
      <c r="C43" s="356" t="s">
        <v>476</v>
      </c>
      <c r="D43" s="357">
        <f>SUM(D12:D42)</f>
        <v>0</v>
      </c>
    </row>
    <row r="44" ht="13.5" thickTop="1">
      <c r="B44" s="358"/>
    </row>
    <row r="45" ht="13.5" thickBot="1"/>
    <row r="46" spans="1:4" ht="13.5" thickBot="1">
      <c r="A46" s="1351" t="s">
        <v>518</v>
      </c>
      <c r="B46" s="1352"/>
      <c r="C46" s="1352"/>
      <c r="D46" s="1353"/>
    </row>
    <row r="47" spans="1:4" ht="13.5" thickBot="1">
      <c r="A47" s="1351" t="s">
        <v>202</v>
      </c>
      <c r="B47" s="1352"/>
      <c r="C47" s="1352"/>
      <c r="D47" s="1353"/>
    </row>
    <row r="48" spans="1:4" ht="12.75">
      <c r="A48" s="1355" t="s">
        <v>454</v>
      </c>
      <c r="B48" s="1356"/>
      <c r="C48" s="1357" t="s">
        <v>456</v>
      </c>
      <c r="D48" s="1358"/>
    </row>
    <row r="49" spans="1:4" ht="12.75">
      <c r="A49" s="739" t="s">
        <v>455</v>
      </c>
      <c r="B49" s="338" t="s">
        <v>452</v>
      </c>
      <c r="C49" s="338" t="s">
        <v>455</v>
      </c>
      <c r="D49" s="740" t="s">
        <v>452</v>
      </c>
    </row>
    <row r="50" spans="1:4" s="133" customFormat="1" ht="29.25" customHeight="1">
      <c r="A50" s="741" t="s">
        <v>519</v>
      </c>
      <c r="B50" s="345"/>
      <c r="C50" s="346" t="s">
        <v>519</v>
      </c>
      <c r="D50" s="365"/>
    </row>
    <row r="51" spans="1:4" s="133" customFormat="1" ht="19.5" customHeight="1" thickBot="1">
      <c r="A51" s="368" t="s">
        <v>476</v>
      </c>
      <c r="B51" s="369">
        <f>SUM(B50:B50)</f>
        <v>0</v>
      </c>
      <c r="C51" s="742" t="s">
        <v>476</v>
      </c>
      <c r="D51" s="330">
        <f>SUM(D50:D50)</f>
        <v>0</v>
      </c>
    </row>
    <row r="52" spans="1:2" ht="12.75">
      <c r="A52" s="359"/>
      <c r="B52" s="358"/>
    </row>
    <row r="53" ht="12.75">
      <c r="B53" s="358"/>
    </row>
    <row r="54" spans="1:4" ht="12.75">
      <c r="A54" s="1354"/>
      <c r="B54" s="1354"/>
      <c r="C54" s="1354"/>
      <c r="D54" s="1354"/>
    </row>
    <row r="55" spans="1:4" ht="12.75">
      <c r="A55" s="1354"/>
      <c r="B55" s="1354"/>
      <c r="C55" s="1354"/>
      <c r="D55" s="1354"/>
    </row>
    <row r="56" ht="12.75">
      <c r="B56" s="358"/>
    </row>
    <row r="57" ht="12.75">
      <c r="B57" s="358"/>
    </row>
    <row r="58" ht="12.75">
      <c r="B58" s="358"/>
    </row>
  </sheetData>
  <sheetProtection/>
  <mergeCells count="11">
    <mergeCell ref="A7:C7"/>
    <mergeCell ref="A8:C8"/>
    <mergeCell ref="A9:D9"/>
    <mergeCell ref="A10:B10"/>
    <mergeCell ref="C10:D10"/>
    <mergeCell ref="A46:D46"/>
    <mergeCell ref="A55:D55"/>
    <mergeCell ref="A54:D54"/>
    <mergeCell ref="A47:D47"/>
    <mergeCell ref="A48:B48"/>
    <mergeCell ref="C48:D48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tabSelected="1" zoomScale="55" zoomScaleNormal="55" zoomScalePageLayoutView="0" workbookViewId="0" topLeftCell="A1">
      <selection activeCell="J17" sqref="J17"/>
    </sheetView>
  </sheetViews>
  <sheetFormatPr defaultColWidth="11.57421875" defaultRowHeight="12.75"/>
  <cols>
    <col min="1" max="1" width="17.7109375" style="133" customWidth="1"/>
    <col min="2" max="2" width="56.28125" style="133" customWidth="1"/>
    <col min="3" max="3" width="69.140625" style="133" bestFit="1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5">
      <c r="A1" s="276"/>
      <c r="B1" s="276"/>
      <c r="C1" s="803" t="s">
        <v>829</v>
      </c>
      <c r="D1" s="276"/>
      <c r="E1" s="276"/>
      <c r="G1" s="276"/>
    </row>
    <row r="2" spans="1:7" ht="14.25">
      <c r="A2" s="276"/>
      <c r="B2" s="276"/>
      <c r="C2" s="804" t="s">
        <v>830</v>
      </c>
      <c r="D2" s="276"/>
      <c r="E2" s="276"/>
      <c r="G2" s="276"/>
    </row>
    <row r="3" spans="1:7" ht="12.75">
      <c r="A3" s="276"/>
      <c r="B3" s="276"/>
      <c r="C3" s="276"/>
      <c r="D3" s="276"/>
      <c r="E3" s="276"/>
      <c r="G3" s="276"/>
    </row>
    <row r="4" spans="1:7" ht="15">
      <c r="A4" s="802" t="s">
        <v>678</v>
      </c>
      <c r="B4" s="276"/>
      <c r="C4" s="807">
        <v>42339</v>
      </c>
      <c r="D4" s="276"/>
      <c r="E4" s="276"/>
      <c r="G4" s="814"/>
    </row>
    <row r="5" spans="1:7" ht="15">
      <c r="A5" s="802" t="s">
        <v>828</v>
      </c>
      <c r="B5" s="276"/>
      <c r="C5" s="806" t="s">
        <v>831</v>
      </c>
      <c r="D5" s="276"/>
      <c r="E5" s="276"/>
      <c r="G5" s="815"/>
    </row>
    <row r="6" ht="13.5" thickBot="1"/>
    <row r="7" spans="1:5" ht="49.5" customHeight="1">
      <c r="A7" s="1093" t="s">
        <v>859</v>
      </c>
      <c r="B7" s="1094"/>
      <c r="C7" s="1094"/>
      <c r="D7" s="1094"/>
      <c r="E7" s="231">
        <f>CPYG!D7</f>
        <v>2016</v>
      </c>
    </row>
    <row r="8" spans="1:5" ht="44.25" customHeight="1">
      <c r="A8" s="1372" t="str">
        <f>CPYG!A8</f>
        <v>TRANSPORTES INTERURBANOS DE TENERIFE, S.A.U.</v>
      </c>
      <c r="B8" s="1373"/>
      <c r="C8" s="1373"/>
      <c r="D8" s="1374"/>
      <c r="E8" s="360" t="s">
        <v>532</v>
      </c>
    </row>
    <row r="9" spans="1:5" ht="24.75" customHeight="1">
      <c r="A9" s="1375" t="s">
        <v>213</v>
      </c>
      <c r="B9" s="1376"/>
      <c r="C9" s="1376"/>
      <c r="D9" s="1376"/>
      <c r="E9" s="1377"/>
    </row>
    <row r="10" spans="1:5" ht="30" customHeight="1">
      <c r="A10" s="361" t="s">
        <v>450</v>
      </c>
      <c r="B10" s="336" t="s">
        <v>451</v>
      </c>
      <c r="C10" s="748" t="s">
        <v>718</v>
      </c>
      <c r="D10" s="748" t="s">
        <v>81</v>
      </c>
      <c r="E10" s="362" t="s">
        <v>453</v>
      </c>
    </row>
    <row r="11" spans="1:5" ht="19.5" customHeight="1">
      <c r="A11" s="1003" t="s">
        <v>279</v>
      </c>
      <c r="B11" s="1002" t="s">
        <v>280</v>
      </c>
      <c r="C11" s="825" t="s">
        <v>281</v>
      </c>
      <c r="D11" s="826"/>
      <c r="E11" s="827" t="s">
        <v>282</v>
      </c>
    </row>
    <row r="12" spans="1:5" ht="19.5" customHeight="1">
      <c r="A12" s="1003" t="s">
        <v>279</v>
      </c>
      <c r="B12" s="1001" t="s">
        <v>283</v>
      </c>
      <c r="C12" s="1001" t="s">
        <v>284</v>
      </c>
      <c r="D12" s="829"/>
      <c r="E12" s="830" t="s">
        <v>285</v>
      </c>
    </row>
    <row r="13" spans="1:5" ht="19.5" customHeight="1">
      <c r="A13" s="1003" t="s">
        <v>279</v>
      </c>
      <c r="B13" s="1001" t="s">
        <v>286</v>
      </c>
      <c r="C13" s="825" t="s">
        <v>281</v>
      </c>
      <c r="D13" s="829"/>
      <c r="E13" s="992">
        <v>42054</v>
      </c>
    </row>
    <row r="14" spans="1:5" ht="19.5" customHeight="1">
      <c r="A14" s="1003" t="s">
        <v>279</v>
      </c>
      <c r="B14" s="1001" t="s">
        <v>287</v>
      </c>
      <c r="C14" s="828"/>
      <c r="D14" s="829"/>
      <c r="E14" s="830" t="s">
        <v>285</v>
      </c>
    </row>
    <row r="15" spans="1:5" ht="19.5" customHeight="1">
      <c r="A15" s="1003" t="s">
        <v>279</v>
      </c>
      <c r="B15" s="1002" t="s">
        <v>288</v>
      </c>
      <c r="C15" s="825"/>
      <c r="D15" s="826"/>
      <c r="E15" s="827" t="s">
        <v>289</v>
      </c>
    </row>
    <row r="16" spans="1:5" ht="19.5" customHeight="1">
      <c r="A16" s="831"/>
      <c r="B16" s="825"/>
      <c r="C16" s="825"/>
      <c r="D16" s="826"/>
      <c r="E16" s="827"/>
    </row>
    <row r="17" spans="1:5" ht="19.5" customHeight="1">
      <c r="A17" s="363"/>
      <c r="B17" s="367"/>
      <c r="C17" s="367"/>
      <c r="D17" s="730"/>
      <c r="E17" s="365"/>
    </row>
    <row r="18" spans="1:5" ht="19.5" customHeight="1">
      <c r="A18" s="363"/>
      <c r="B18" s="367"/>
      <c r="C18" s="367"/>
      <c r="D18" s="730"/>
      <c r="E18" s="365"/>
    </row>
    <row r="19" spans="1:5" ht="19.5" customHeight="1">
      <c r="A19" s="363"/>
      <c r="B19" s="367"/>
      <c r="C19" s="367"/>
      <c r="D19" s="730"/>
      <c r="E19" s="365"/>
    </row>
    <row r="20" spans="1:5" ht="19.5" customHeight="1">
      <c r="A20" s="363"/>
      <c r="B20" s="366"/>
      <c r="C20" s="366"/>
      <c r="D20" s="367"/>
      <c r="E20" s="365"/>
    </row>
    <row r="21" spans="1:5" ht="19.5" customHeight="1">
      <c r="A21" s="363"/>
      <c r="B21" s="345"/>
      <c r="C21" s="747"/>
      <c r="D21" s="364"/>
      <c r="E21" s="365"/>
    </row>
    <row r="22" spans="1:5" ht="19.5" customHeight="1">
      <c r="A22" s="363"/>
      <c r="B22" s="345"/>
      <c r="C22" s="747"/>
      <c r="D22" s="364"/>
      <c r="E22" s="365"/>
    </row>
    <row r="23" spans="1:5" ht="19.5" customHeight="1">
      <c r="A23" s="363"/>
      <c r="B23" s="345"/>
      <c r="C23" s="747"/>
      <c r="D23" s="364"/>
      <c r="E23" s="365"/>
    </row>
    <row r="24" spans="1:5" ht="19.5" customHeight="1">
      <c r="A24" s="363"/>
      <c r="B24" s="345"/>
      <c r="C24" s="747"/>
      <c r="D24" s="364"/>
      <c r="E24" s="365"/>
    </row>
    <row r="25" spans="1:5" ht="19.5" customHeight="1">
      <c r="A25" s="363"/>
      <c r="B25" s="345"/>
      <c r="C25" s="747"/>
      <c r="D25" s="364"/>
      <c r="E25" s="365"/>
    </row>
    <row r="26" spans="1:5" ht="19.5" customHeight="1">
      <c r="A26" s="363"/>
      <c r="B26" s="345"/>
      <c r="C26" s="747"/>
      <c r="D26" s="364"/>
      <c r="E26" s="365"/>
    </row>
    <row r="27" spans="1:5" ht="19.5" customHeight="1">
      <c r="A27" s="363"/>
      <c r="B27" s="345"/>
      <c r="C27" s="747"/>
      <c r="D27" s="364"/>
      <c r="E27" s="365"/>
    </row>
    <row r="28" spans="1:5" ht="23.25" customHeight="1" thickBot="1">
      <c r="A28" s="368"/>
      <c r="B28" s="369"/>
      <c r="C28" s="369"/>
      <c r="D28" s="687">
        <f>SUM(D11:D27)</f>
        <v>0</v>
      </c>
      <c r="E28" s="330"/>
    </row>
    <row r="29" spans="2:3" ht="12.75">
      <c r="B29" s="700"/>
      <c r="C29" s="700"/>
    </row>
    <row r="30" spans="2:3" ht="12.75">
      <c r="B30" s="700"/>
      <c r="C30" s="700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700"/>
      <c r="C33" s="700"/>
      <c r="D33" s="169"/>
      <c r="E33" s="169"/>
    </row>
    <row r="34" spans="2:5" ht="12.75">
      <c r="B34" s="700"/>
      <c r="C34" s="700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731"/>
      <c r="C37" s="731"/>
      <c r="D37" s="732"/>
      <c r="E37" s="732"/>
    </row>
    <row r="38" spans="2:5" ht="12.75">
      <c r="B38" s="700"/>
      <c r="C38" s="700"/>
      <c r="D38" s="169"/>
      <c r="E38" s="169"/>
    </row>
    <row r="39" spans="2:3" ht="12.75">
      <c r="B39" s="700"/>
      <c r="C39" s="700"/>
    </row>
    <row r="40" spans="2:5" ht="12.75">
      <c r="B40" s="731"/>
      <c r="C40" s="731"/>
      <c r="D40" s="732"/>
      <c r="E40" s="732"/>
    </row>
    <row r="41" spans="2:5" ht="12.75">
      <c r="B41" s="731"/>
      <c r="C41" s="731"/>
      <c r="D41" s="732"/>
      <c r="E41" s="732"/>
    </row>
    <row r="42" spans="2:3" ht="12.75">
      <c r="B42" s="700"/>
      <c r="C42" s="700"/>
    </row>
    <row r="43" spans="2:3" ht="12.75">
      <c r="B43" s="700"/>
      <c r="C43" s="700"/>
    </row>
    <row r="44" spans="2:3" ht="12.75">
      <c r="B44" s="700"/>
      <c r="C44" s="700"/>
    </row>
    <row r="45" spans="2:3" ht="12.75">
      <c r="B45" s="700"/>
      <c r="C45" s="700"/>
    </row>
    <row r="46" spans="2:3" ht="12.75">
      <c r="B46" s="700"/>
      <c r="C46" s="700"/>
    </row>
    <row r="47" spans="2:3" ht="12.75">
      <c r="B47" s="700"/>
      <c r="C47" s="700"/>
    </row>
    <row r="48" spans="2:3" ht="12.75">
      <c r="B48" s="700"/>
      <c r="C48" s="700"/>
    </row>
    <row r="49" spans="2:3" ht="12.75">
      <c r="B49" s="700"/>
      <c r="C49" s="700"/>
    </row>
    <row r="50" spans="2:3" ht="12.75">
      <c r="B50" s="700"/>
      <c r="C50" s="700"/>
    </row>
    <row r="51" spans="2:3" ht="12.75">
      <c r="B51" s="700"/>
      <c r="C51" s="700"/>
    </row>
    <row r="52" spans="2:3" ht="12.75">
      <c r="B52" s="700"/>
      <c r="C52" s="700"/>
    </row>
    <row r="53" spans="2:3" ht="12.75">
      <c r="B53" s="700"/>
      <c r="C53" s="700"/>
    </row>
    <row r="54" spans="2:3" ht="12.75">
      <c r="B54" s="700"/>
      <c r="C54" s="700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zoomScalePageLayoutView="0" workbookViewId="0" topLeftCell="A46">
      <selection activeCell="E117" sqref="E117"/>
    </sheetView>
  </sheetViews>
  <sheetFormatPr defaultColWidth="11.421875" defaultRowHeight="12.75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68" bestFit="1" customWidth="1"/>
    <col min="9" max="9" width="12.7109375" style="0" bestFit="1" customWidth="1"/>
  </cols>
  <sheetData>
    <row r="1" spans="1:8" ht="12.75" hidden="1">
      <c r="A1" s="805"/>
      <c r="B1" s="805"/>
      <c r="C1" s="805"/>
      <c r="D1" s="808" t="s">
        <v>829</v>
      </c>
      <c r="E1" s="805"/>
      <c r="F1" s="805"/>
      <c r="G1" s="805"/>
      <c r="H1" s="805"/>
    </row>
    <row r="2" spans="1:8" ht="12.75" hidden="1">
      <c r="A2" s="805"/>
      <c r="B2" s="805"/>
      <c r="C2" s="805"/>
      <c r="D2" s="809" t="s">
        <v>830</v>
      </c>
      <c r="E2" s="805"/>
      <c r="F2" s="805"/>
      <c r="G2" s="805"/>
      <c r="H2" s="805"/>
    </row>
    <row r="3" spans="1:8" ht="12.75" hidden="1">
      <c r="A3" s="805"/>
      <c r="B3" s="809"/>
      <c r="C3" s="805"/>
      <c r="D3" s="805"/>
      <c r="E3" s="805"/>
      <c r="F3" s="805"/>
      <c r="G3" s="805"/>
      <c r="H3" s="805"/>
    </row>
    <row r="4" spans="1:8" ht="12.75" hidden="1">
      <c r="A4" s="805" t="s">
        <v>678</v>
      </c>
      <c r="B4" s="805"/>
      <c r="C4" s="805"/>
      <c r="D4" s="805"/>
      <c r="E4" s="805"/>
      <c r="F4" s="805"/>
      <c r="G4" s="810">
        <v>41974</v>
      </c>
      <c r="H4" s="805"/>
    </row>
    <row r="5" spans="1:8" ht="12.75" hidden="1">
      <c r="A5" s="805" t="s">
        <v>828</v>
      </c>
      <c r="B5" s="805"/>
      <c r="C5" s="805"/>
      <c r="D5" s="805"/>
      <c r="E5" s="805"/>
      <c r="F5" s="805"/>
      <c r="G5" s="811" t="s">
        <v>831</v>
      </c>
      <c r="H5" s="805"/>
    </row>
    <row r="6" ht="13.5" hidden="1" thickBot="1"/>
    <row r="7" spans="1:8" ht="51" customHeight="1" hidden="1">
      <c r="A7" s="1046" t="s">
        <v>463</v>
      </c>
      <c r="B7" s="1047"/>
      <c r="C7" s="1047"/>
      <c r="D7" s="1047"/>
      <c r="E7" s="1047"/>
      <c r="F7" s="1047"/>
      <c r="G7" s="1047"/>
      <c r="H7" s="812">
        <f>'ORGANOS DE GOBIERNO'!H8</f>
        <v>2016</v>
      </c>
    </row>
    <row r="8" spans="1:8" ht="24" customHeight="1" hidden="1">
      <c r="A8" s="1048" t="str">
        <f>'ORGANOS DE GOBIERNO'!A9:H9</f>
        <v>TRANSPORTES INTERURBANOS DE TENERIFE, S.A.U.</v>
      </c>
      <c r="B8" s="1049"/>
      <c r="C8" s="1049"/>
      <c r="D8" s="1049"/>
      <c r="E8" s="1049"/>
      <c r="F8" s="1049"/>
      <c r="G8" s="1049"/>
      <c r="H8" s="1022"/>
    </row>
    <row r="9" spans="1:8" ht="12.75" hidden="1">
      <c r="A9" s="758"/>
      <c r="B9" s="759"/>
      <c r="C9" s="759"/>
      <c r="D9" s="759"/>
      <c r="E9" s="759"/>
      <c r="F9" s="759"/>
      <c r="G9" s="759"/>
      <c r="H9" s="769"/>
    </row>
    <row r="10" spans="1:8" ht="15.75" hidden="1">
      <c r="A10" s="761" t="s">
        <v>11</v>
      </c>
      <c r="B10" s="762"/>
      <c r="C10" s="762"/>
      <c r="D10" s="759"/>
      <c r="E10" s="759"/>
      <c r="F10" s="759"/>
      <c r="G10" s="759"/>
      <c r="H10" s="769"/>
    </row>
    <row r="11" spans="1:8" ht="12.75" hidden="1">
      <c r="A11" s="758"/>
      <c r="B11" s="759"/>
      <c r="C11" s="759"/>
      <c r="D11" s="759"/>
      <c r="E11" s="759"/>
      <c r="F11" s="759"/>
      <c r="G11" s="759"/>
      <c r="H11" s="769"/>
    </row>
    <row r="12" spans="1:11" ht="12.75" hidden="1">
      <c r="A12" s="763" t="s">
        <v>12</v>
      </c>
      <c r="B12" s="762" t="s">
        <v>13</v>
      </c>
      <c r="C12" s="762"/>
      <c r="D12" s="759"/>
      <c r="E12" s="759"/>
      <c r="F12" s="759"/>
      <c r="G12" s="759"/>
      <c r="H12" s="800">
        <f>SUM(H14:H16)</f>
        <v>14013789.530000001</v>
      </c>
      <c r="I12" s="768">
        <f>+CPYG!D12</f>
        <v>54674549.7</v>
      </c>
      <c r="K12" s="820">
        <v>70</v>
      </c>
    </row>
    <row r="13" spans="1:11" ht="12.75" hidden="1">
      <c r="A13" s="758"/>
      <c r="B13" s="759"/>
      <c r="C13" s="759"/>
      <c r="D13" s="759"/>
      <c r="E13" s="759"/>
      <c r="F13" s="759"/>
      <c r="G13" s="759"/>
      <c r="H13" s="769"/>
      <c r="I13" s="768">
        <f>+H12+H18</f>
        <v>54674549.7</v>
      </c>
      <c r="K13" s="820"/>
    </row>
    <row r="14" spans="1:11" ht="12.75" hidden="1">
      <c r="A14" s="758"/>
      <c r="B14" s="759" t="s">
        <v>14</v>
      </c>
      <c r="C14" s="759" t="s">
        <v>15</v>
      </c>
      <c r="D14" s="759"/>
      <c r="E14" s="759"/>
      <c r="F14" s="759"/>
      <c r="G14" s="759"/>
      <c r="H14" s="770">
        <f>+CPYG!D15</f>
        <v>12920146.64</v>
      </c>
      <c r="K14" s="820"/>
    </row>
    <row r="15" spans="1:11" ht="12.75" hidden="1">
      <c r="A15" s="758"/>
      <c r="B15" s="759" t="s">
        <v>16</v>
      </c>
      <c r="C15" s="759" t="s">
        <v>17</v>
      </c>
      <c r="D15" s="759"/>
      <c r="E15" s="759"/>
      <c r="F15" s="759"/>
      <c r="G15" s="759"/>
      <c r="H15" s="770">
        <f>+CPYG!D16+CPYG!D22</f>
        <v>1093642.8900000001</v>
      </c>
      <c r="K15" s="820"/>
    </row>
    <row r="16" spans="1:11" ht="12.75" hidden="1">
      <c r="A16" s="758"/>
      <c r="B16" s="759" t="s">
        <v>18</v>
      </c>
      <c r="C16" s="759" t="s">
        <v>19</v>
      </c>
      <c r="D16" s="759"/>
      <c r="E16" s="759"/>
      <c r="F16" s="759"/>
      <c r="G16" s="759"/>
      <c r="H16" s="770">
        <v>0</v>
      </c>
      <c r="K16" s="820"/>
    </row>
    <row r="17" spans="1:11" ht="7.5" customHeight="1" hidden="1">
      <c r="A17" s="758"/>
      <c r="B17" s="759"/>
      <c r="C17" s="759"/>
      <c r="D17" s="759"/>
      <c r="E17" s="759"/>
      <c r="F17" s="759"/>
      <c r="G17" s="759"/>
      <c r="H17" s="769"/>
      <c r="K17" s="820"/>
    </row>
    <row r="18" spans="1:11" ht="12.75" hidden="1">
      <c r="A18" s="763" t="s">
        <v>20</v>
      </c>
      <c r="B18" s="762" t="s">
        <v>21</v>
      </c>
      <c r="C18" s="759"/>
      <c r="D18" s="759"/>
      <c r="E18" s="759"/>
      <c r="F18" s="759"/>
      <c r="G18" s="759"/>
      <c r="H18" s="800">
        <f>+CPYG!D18+CPYG!D24</f>
        <v>40660760.17</v>
      </c>
      <c r="K18" s="820">
        <v>70</v>
      </c>
    </row>
    <row r="19" spans="1:11" ht="12.75" hidden="1">
      <c r="A19" s="763" t="s">
        <v>22</v>
      </c>
      <c r="B19" s="762" t="s">
        <v>23</v>
      </c>
      <c r="C19" s="759"/>
      <c r="D19" s="759"/>
      <c r="E19" s="759"/>
      <c r="F19" s="759"/>
      <c r="G19" s="759"/>
      <c r="H19" s="800">
        <f>SUM(H21:H23)</f>
        <v>28422790.08</v>
      </c>
      <c r="I19" s="768">
        <f>+H19+H25</f>
        <v>30353815.262999997</v>
      </c>
      <c r="K19" s="820">
        <v>740</v>
      </c>
    </row>
    <row r="20" spans="1:11" ht="12.75" hidden="1">
      <c r="A20" s="758"/>
      <c r="B20" s="759"/>
      <c r="C20" s="759"/>
      <c r="D20" s="759"/>
      <c r="E20" s="759"/>
      <c r="F20" s="759"/>
      <c r="G20" s="759"/>
      <c r="H20" s="769"/>
      <c r="I20">
        <f>+CPYG!D34</f>
        <v>30353815.262999997</v>
      </c>
      <c r="K20" s="820"/>
    </row>
    <row r="21" spans="1:11" ht="12.75" hidden="1">
      <c r="A21" s="758"/>
      <c r="B21" s="759" t="s">
        <v>14</v>
      </c>
      <c r="C21" s="759" t="s">
        <v>24</v>
      </c>
      <c r="D21" s="759"/>
      <c r="E21" s="759"/>
      <c r="F21" s="759"/>
      <c r="G21" s="759"/>
      <c r="H21" s="770">
        <f>+CPYG!D43</f>
        <v>13990330.61</v>
      </c>
      <c r="K21" s="820"/>
    </row>
    <row r="22" spans="1:11" ht="12.75" hidden="1">
      <c r="A22" s="758"/>
      <c r="B22" s="759" t="s">
        <v>16</v>
      </c>
      <c r="C22" s="759" t="s">
        <v>25</v>
      </c>
      <c r="D22" s="759"/>
      <c r="E22" s="759"/>
      <c r="F22" s="759"/>
      <c r="G22" s="759"/>
      <c r="H22" s="770">
        <f>+CPYG!D42</f>
        <v>14432459.47</v>
      </c>
      <c r="K22" s="820"/>
    </row>
    <row r="23" spans="1:11" ht="12.75" hidden="1">
      <c r="A23" s="758"/>
      <c r="B23" s="759" t="s">
        <v>18</v>
      </c>
      <c r="C23" s="759" t="s">
        <v>26</v>
      </c>
      <c r="D23" s="759"/>
      <c r="E23" s="759"/>
      <c r="F23" s="759"/>
      <c r="G23" s="759"/>
      <c r="H23" s="770">
        <v>0</v>
      </c>
      <c r="K23" s="820"/>
    </row>
    <row r="24" spans="1:11" ht="12.75" hidden="1">
      <c r="A24" s="758"/>
      <c r="B24" s="759"/>
      <c r="C24" s="759"/>
      <c r="D24" s="759"/>
      <c r="E24" s="759"/>
      <c r="F24" s="759"/>
      <c r="G24" s="759"/>
      <c r="H24" s="769"/>
      <c r="K24" s="820"/>
    </row>
    <row r="25" spans="1:11" ht="12.75" hidden="1">
      <c r="A25" s="763" t="s">
        <v>27</v>
      </c>
      <c r="B25" s="762" t="s">
        <v>28</v>
      </c>
      <c r="C25" s="759"/>
      <c r="D25" s="759"/>
      <c r="E25" s="759"/>
      <c r="F25" s="759"/>
      <c r="G25" s="759"/>
      <c r="H25" s="800">
        <f>+CPYG!D35</f>
        <v>1931025.183</v>
      </c>
      <c r="K25" s="820" t="s">
        <v>309</v>
      </c>
    </row>
    <row r="26" spans="1:11" ht="5.25" customHeight="1" hidden="1">
      <c r="A26" s="758"/>
      <c r="B26" s="759"/>
      <c r="C26" s="759"/>
      <c r="D26" s="759"/>
      <c r="E26" s="759"/>
      <c r="F26" s="759"/>
      <c r="G26" s="759"/>
      <c r="H26" s="769"/>
      <c r="K26" s="820"/>
    </row>
    <row r="27" spans="1:11" ht="21" customHeight="1" hidden="1">
      <c r="A27" s="758"/>
      <c r="B27" s="759"/>
      <c r="C27" s="1378" t="s">
        <v>350</v>
      </c>
      <c r="D27" s="1379"/>
      <c r="E27" s="1379"/>
      <c r="F27" s="1379"/>
      <c r="G27" s="1379"/>
      <c r="H27" s="769"/>
      <c r="K27" s="820"/>
    </row>
    <row r="28" spans="1:11" ht="12.75" hidden="1">
      <c r="A28" s="758"/>
      <c r="B28" s="759"/>
      <c r="C28" s="759"/>
      <c r="D28" s="759"/>
      <c r="E28" s="759"/>
      <c r="F28" s="759"/>
      <c r="G28" s="759"/>
      <c r="H28" s="769"/>
      <c r="K28" s="820"/>
    </row>
    <row r="29" spans="1:11" ht="12.75" hidden="1">
      <c r="A29" s="763" t="s">
        <v>29</v>
      </c>
      <c r="B29" s="759"/>
      <c r="C29" s="759"/>
      <c r="D29" s="759"/>
      <c r="E29" s="759"/>
      <c r="F29" s="759"/>
      <c r="G29" s="759"/>
      <c r="H29" s="800">
        <f>H25+H19+H18+H12</f>
        <v>85028364.963</v>
      </c>
      <c r="K29" s="820"/>
    </row>
    <row r="30" spans="1:11" ht="13.5" hidden="1" thickBot="1">
      <c r="A30" s="765"/>
      <c r="B30" s="766"/>
      <c r="C30" s="766"/>
      <c r="D30" s="766"/>
      <c r="E30" s="766"/>
      <c r="F30" s="766"/>
      <c r="G30" s="766"/>
      <c r="H30" s="771"/>
      <c r="K30" s="820"/>
    </row>
    <row r="31" ht="12.75" hidden="1"/>
    <row r="32" ht="12.75" hidden="1">
      <c r="H32" s="768">
        <f>+CPYG!D13+CPYG!D19+CPYG!D34</f>
        <v>85028364.963</v>
      </c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sheetProtection password="CF7A" sheet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124">
      <selection activeCell="E117" sqref="E117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713" customWidth="1"/>
    <col min="6" max="6" width="13.7109375" style="708" customWidth="1"/>
    <col min="7" max="7" width="8.8515625" style="133" customWidth="1"/>
    <col min="8" max="16384" width="11.57421875" style="133" customWidth="1"/>
  </cols>
  <sheetData>
    <row r="1" ht="12.75" hidden="1"/>
    <row r="2" spans="2:5" ht="12.75" hidden="1">
      <c r="B2" s="1015" t="s">
        <v>48</v>
      </c>
      <c r="C2" s="1015"/>
      <c r="D2" s="1015"/>
      <c r="E2" s="711"/>
    </row>
    <row r="3" spans="2:5" ht="13.5" hidden="1" thickBot="1">
      <c r="B3" s="183"/>
      <c r="C3" s="183"/>
      <c r="D3" s="183"/>
      <c r="E3" s="711"/>
    </row>
    <row r="4" spans="2:5" ht="15.75" hidden="1" thickBot="1">
      <c r="B4" s="1016" t="str">
        <f>CPYG!A8</f>
        <v>TRANSPORTES INTERURBANOS DE TENERIFE, S.A.U.</v>
      </c>
      <c r="C4" s="1017"/>
      <c r="D4" s="1018"/>
      <c r="E4" s="712"/>
    </row>
    <row r="5" spans="2:3" ht="13.5" hidden="1" thickBot="1">
      <c r="B5" s="184"/>
      <c r="C5" s="184"/>
    </row>
    <row r="6" spans="2:5" ht="15.75" hidden="1" thickBot="1">
      <c r="B6" s="1009" t="s">
        <v>804</v>
      </c>
      <c r="C6" s="1017"/>
      <c r="D6" s="1018"/>
      <c r="E6" s="712"/>
    </row>
    <row r="7" spans="2:3" ht="13.5" hidden="1" thickBot="1">
      <c r="B7" s="184"/>
      <c r="C7" s="184"/>
    </row>
    <row r="8" spans="2:5" ht="13.5" customHeight="1" hidden="1">
      <c r="B8" s="1010" t="s">
        <v>101</v>
      </c>
      <c r="C8" s="1011"/>
      <c r="D8" s="1020"/>
      <c r="E8" s="714"/>
    </row>
    <row r="9" spans="2:5" ht="12.75" customHeight="1" hidden="1">
      <c r="B9" s="1385"/>
      <c r="C9" s="1386"/>
      <c r="D9" s="1380"/>
      <c r="E9" s="715"/>
    </row>
    <row r="10" spans="2:5" ht="12.75" hidden="1">
      <c r="B10" s="135"/>
      <c r="C10" s="136"/>
      <c r="D10" s="137"/>
      <c r="E10" s="716"/>
    </row>
    <row r="11" spans="2:8" ht="12.75" hidden="1">
      <c r="B11" s="138" t="s">
        <v>103</v>
      </c>
      <c r="C11" s="139" t="s">
        <v>190</v>
      </c>
      <c r="D11" s="140">
        <v>0</v>
      </c>
      <c r="E11" s="717"/>
      <c r="F11" s="709"/>
      <c r="H11" s="709"/>
    </row>
    <row r="12" spans="2:8" ht="12.75" hidden="1">
      <c r="B12" s="138" t="s">
        <v>104</v>
      </c>
      <c r="C12" s="139" t="s">
        <v>191</v>
      </c>
      <c r="D12" s="140">
        <v>0</v>
      </c>
      <c r="E12" s="717"/>
      <c r="F12" s="709"/>
      <c r="H12" s="709"/>
    </row>
    <row r="13" spans="2:8" ht="12.75" hidden="1">
      <c r="B13" s="138" t="s">
        <v>105</v>
      </c>
      <c r="C13" s="139" t="s">
        <v>192</v>
      </c>
      <c r="D13" s="140">
        <f>3!D13</f>
        <v>56004794.95</v>
      </c>
      <c r="E13" s="717"/>
      <c r="F13" s="709"/>
      <c r="H13" s="709"/>
    </row>
    <row r="14" spans="2:8" ht="12.75" hidden="1">
      <c r="B14" s="138" t="s">
        <v>106</v>
      </c>
      <c r="C14" s="139" t="s">
        <v>193</v>
      </c>
      <c r="D14" s="140">
        <f>3!D14+'Transf. y subv.'!E48</f>
        <v>28422790.08</v>
      </c>
      <c r="E14" s="717"/>
      <c r="F14" s="709"/>
      <c r="H14" s="709"/>
    </row>
    <row r="15" spans="2:8" ht="12.75" hidden="1">
      <c r="B15" s="138" t="s">
        <v>107</v>
      </c>
      <c r="C15" s="139" t="s">
        <v>194</v>
      </c>
      <c r="D15" s="140">
        <f>3!D15</f>
        <v>909279.933</v>
      </c>
      <c r="E15" s="717"/>
      <c r="F15" s="709"/>
      <c r="H15" s="709"/>
    </row>
    <row r="16" spans="2:5" ht="12.75" hidden="1">
      <c r="B16" s="141"/>
      <c r="C16" s="142"/>
      <c r="D16" s="143"/>
      <c r="E16" s="718"/>
    </row>
    <row r="17" spans="2:5" ht="12.75" hidden="1">
      <c r="B17" s="144" t="s">
        <v>108</v>
      </c>
      <c r="C17" s="145"/>
      <c r="D17" s="146">
        <f>SUM(D11:D15)</f>
        <v>85336864.963</v>
      </c>
      <c r="E17" s="719"/>
    </row>
    <row r="18" spans="2:5" ht="12.75" hidden="1">
      <c r="B18" s="147"/>
      <c r="C18" s="148"/>
      <c r="D18" s="149"/>
      <c r="E18" s="718"/>
    </row>
    <row r="19" spans="2:5" ht="12.75" hidden="1">
      <c r="B19" s="141"/>
      <c r="C19" s="142"/>
      <c r="D19" s="143"/>
      <c r="E19" s="718"/>
    </row>
    <row r="20" spans="2:5" ht="12.75" hidden="1">
      <c r="B20" s="138" t="s">
        <v>109</v>
      </c>
      <c r="C20" s="139" t="s">
        <v>195</v>
      </c>
      <c r="D20" s="143">
        <f>-'Inv. NO FIN'!H27</f>
        <v>0</v>
      </c>
      <c r="E20" s="718"/>
    </row>
    <row r="21" spans="2:5" ht="12.75" hidden="1">
      <c r="B21" s="138" t="s">
        <v>110</v>
      </c>
      <c r="C21" s="139" t="s">
        <v>196</v>
      </c>
      <c r="D21" s="143">
        <f>'Transf. y subv.'!E20</f>
        <v>593850</v>
      </c>
      <c r="E21" s="718"/>
    </row>
    <row r="22" spans="2:5" ht="12.75" hidden="1">
      <c r="B22" s="141"/>
      <c r="C22" s="142"/>
      <c r="D22" s="143"/>
      <c r="E22" s="718"/>
    </row>
    <row r="23" spans="2:5" ht="12.75" hidden="1">
      <c r="B23" s="144" t="s">
        <v>111</v>
      </c>
      <c r="C23" s="145"/>
      <c r="D23" s="146">
        <f>SUM(D20:D21)</f>
        <v>593850</v>
      </c>
      <c r="E23" s="719"/>
    </row>
    <row r="24" spans="2:5" ht="12.75" hidden="1">
      <c r="B24" s="147"/>
      <c r="C24" s="148"/>
      <c r="D24" s="149"/>
      <c r="E24" s="718"/>
    </row>
    <row r="25" spans="2:5" ht="12.75" hidden="1">
      <c r="B25" s="141"/>
      <c r="C25" s="142"/>
      <c r="D25" s="143"/>
      <c r="E25" s="718"/>
    </row>
    <row r="26" spans="2:5" ht="12.75" hidden="1">
      <c r="B26" s="138" t="s">
        <v>112</v>
      </c>
      <c r="C26" s="139" t="s">
        <v>197</v>
      </c>
      <c r="D26" s="140">
        <f>-'Inv. FIN'!G19-'Inv. FIN'!G26-'Inv. FIN'!G38-'Inv. FIN'!G45</f>
        <v>0</v>
      </c>
      <c r="E26" s="717"/>
    </row>
    <row r="27" spans="2:5" ht="12.75" hidden="1">
      <c r="B27" s="138" t="s">
        <v>113</v>
      </c>
      <c r="C27" s="139" t="s">
        <v>198</v>
      </c>
      <c r="D27" s="140">
        <f>'Deuda L.P.'!K29</f>
        <v>0</v>
      </c>
      <c r="E27" s="717"/>
    </row>
    <row r="28" spans="2:5" ht="12.75" hidden="1">
      <c r="B28" s="141"/>
      <c r="C28" s="142"/>
      <c r="D28" s="143"/>
      <c r="E28" s="718"/>
    </row>
    <row r="29" spans="2:5" ht="12.75" hidden="1">
      <c r="B29" s="144" t="s">
        <v>114</v>
      </c>
      <c r="C29" s="145"/>
      <c r="D29" s="150">
        <f>SUM(D26:D27)</f>
        <v>0</v>
      </c>
      <c r="E29" s="720"/>
    </row>
    <row r="30" spans="2:5" ht="12.75" hidden="1">
      <c r="B30" s="151"/>
      <c r="C30" s="152"/>
      <c r="D30" s="153"/>
      <c r="E30" s="721"/>
    </row>
    <row r="31" spans="2:5" ht="12.75" hidden="1">
      <c r="B31" s="370"/>
      <c r="C31" s="189"/>
      <c r="D31" s="371"/>
      <c r="E31" s="716"/>
    </row>
    <row r="32" spans="2:5" ht="12.75" hidden="1">
      <c r="B32" s="154"/>
      <c r="C32" s="156" t="s">
        <v>115</v>
      </c>
      <c r="D32" s="157">
        <f>D17+D23+D29</f>
        <v>85930714.963</v>
      </c>
      <c r="E32" s="720"/>
    </row>
    <row r="33" spans="2:5" ht="13.5" hidden="1" thickBot="1">
      <c r="B33" s="164"/>
      <c r="C33" s="198"/>
      <c r="D33" s="166"/>
      <c r="E33" s="716"/>
    </row>
    <row r="34" spans="3:5" ht="12.75" hidden="1">
      <c r="C34" s="158"/>
      <c r="D34" s="133"/>
      <c r="E34" s="228"/>
    </row>
    <row r="35" ht="12.75" hidden="1"/>
    <row r="36" ht="13.5" hidden="1" thickBot="1"/>
    <row r="37" spans="2:5" ht="13.5" customHeight="1" hidden="1">
      <c r="B37" s="1010" t="s">
        <v>101</v>
      </c>
      <c r="C37" s="1383"/>
      <c r="D37" s="1381"/>
      <c r="E37" s="722"/>
    </row>
    <row r="38" spans="2:5" ht="12.75" customHeight="1" hidden="1" thickBot="1">
      <c r="B38" s="1005"/>
      <c r="C38" s="1384"/>
      <c r="D38" s="1382"/>
      <c r="E38" s="723"/>
    </row>
    <row r="39" spans="2:8" ht="12.75" hidden="1">
      <c r="B39" s="151"/>
      <c r="C39" s="159"/>
      <c r="D39" s="153"/>
      <c r="E39" s="721"/>
      <c r="H39" s="158"/>
    </row>
    <row r="40" spans="2:8" ht="12.75" hidden="1">
      <c r="B40" s="138" t="s">
        <v>103</v>
      </c>
      <c r="C40" s="205" t="s">
        <v>117</v>
      </c>
      <c r="D40" s="168">
        <f>3!D45</f>
        <v>54556647.66</v>
      </c>
      <c r="E40" s="707"/>
      <c r="H40" s="709"/>
    </row>
    <row r="41" spans="2:8" ht="12.75" hidden="1">
      <c r="B41" s="138" t="s">
        <v>104</v>
      </c>
      <c r="C41" s="205" t="s">
        <v>118</v>
      </c>
      <c r="D41" s="168">
        <f>3!D46</f>
        <v>30021695.9</v>
      </c>
      <c r="E41" s="707"/>
      <c r="H41" s="709"/>
    </row>
    <row r="42" spans="2:8" ht="12.75" hidden="1">
      <c r="B42" s="138" t="s">
        <v>105</v>
      </c>
      <c r="C42" s="205" t="s">
        <v>469</v>
      </c>
      <c r="D42" s="168">
        <f>3!D47</f>
        <v>313099.8</v>
      </c>
      <c r="E42" s="707"/>
      <c r="H42" s="709"/>
    </row>
    <row r="43" spans="2:8" ht="12.75" hidden="1">
      <c r="B43" s="138" t="s">
        <v>106</v>
      </c>
      <c r="C43" s="205" t="s">
        <v>119</v>
      </c>
      <c r="D43" s="517">
        <f>3!D48</f>
        <v>0</v>
      </c>
      <c r="E43" s="707"/>
      <c r="H43" s="709"/>
    </row>
    <row r="44" spans="2:8" ht="12.75" hidden="1">
      <c r="B44" s="151"/>
      <c r="C44" s="159"/>
      <c r="D44" s="168"/>
      <c r="E44" s="707"/>
      <c r="H44" s="709"/>
    </row>
    <row r="45" spans="2:5" ht="12.75" hidden="1">
      <c r="B45" s="144" t="s">
        <v>120</v>
      </c>
      <c r="C45" s="206"/>
      <c r="D45" s="150">
        <f>SUM(D40:D43)</f>
        <v>84891443.36</v>
      </c>
      <c r="E45" s="720"/>
    </row>
    <row r="46" spans="2:5" ht="12.75" hidden="1">
      <c r="B46" s="147"/>
      <c r="C46" s="207"/>
      <c r="D46" s="170"/>
      <c r="E46" s="721"/>
    </row>
    <row r="47" spans="2:5" ht="12.75" hidden="1">
      <c r="B47" s="151"/>
      <c r="C47" s="159"/>
      <c r="D47" s="153"/>
      <c r="E47" s="721"/>
    </row>
    <row r="48" spans="2:5" ht="12.75" hidden="1">
      <c r="B48" s="138" t="s">
        <v>109</v>
      </c>
      <c r="C48" s="205" t="s">
        <v>122</v>
      </c>
      <c r="D48" s="168">
        <f>'Inv. NO FIN'!C27+'Inv. NO FIN'!E27</f>
        <v>1287824.8</v>
      </c>
      <c r="E48" s="707"/>
    </row>
    <row r="49" spans="2:5" ht="12.75" hidden="1">
      <c r="B49" s="138" t="s">
        <v>110</v>
      </c>
      <c r="C49" s="205" t="s">
        <v>123</v>
      </c>
      <c r="D49" s="168">
        <v>0</v>
      </c>
      <c r="E49" s="707"/>
    </row>
    <row r="50" spans="2:5" ht="12.75" hidden="1">
      <c r="B50" s="151"/>
      <c r="C50" s="159"/>
      <c r="D50" s="153"/>
      <c r="E50" s="721"/>
    </row>
    <row r="51" spans="2:5" ht="12.75" hidden="1">
      <c r="B51" s="144" t="s">
        <v>124</v>
      </c>
      <c r="C51" s="206"/>
      <c r="D51" s="150">
        <f>SUM(D48:D49)</f>
        <v>1287824.8</v>
      </c>
      <c r="E51" s="720"/>
    </row>
    <row r="52" spans="2:5" ht="12.75" hidden="1">
      <c r="B52" s="147"/>
      <c r="C52" s="207"/>
      <c r="D52" s="170"/>
      <c r="E52" s="721"/>
    </row>
    <row r="53" spans="2:5" ht="12.75" hidden="1">
      <c r="B53" s="151"/>
      <c r="C53" s="159"/>
      <c r="D53" s="153"/>
      <c r="E53" s="721"/>
    </row>
    <row r="54" spans="2:5" ht="12.75" hidden="1">
      <c r="B54" s="138" t="s">
        <v>112</v>
      </c>
      <c r="C54" s="205" t="s">
        <v>126</v>
      </c>
      <c r="D54" s="168">
        <f>'Inv. FIN'!E19+'Inv. FIN'!E26+'Inv. FIN'!E38+'Inv. FIN'!E45</f>
        <v>0</v>
      </c>
      <c r="E54" s="707"/>
    </row>
    <row r="55" spans="2:5" ht="12.75" hidden="1">
      <c r="B55" s="138" t="s">
        <v>113</v>
      </c>
      <c r="C55" s="205" t="s">
        <v>127</v>
      </c>
      <c r="D55" s="168">
        <f>'Deuda L.P.'!L29</f>
        <v>50000</v>
      </c>
      <c r="E55" s="707"/>
    </row>
    <row r="56" spans="2:5" ht="12.75" hidden="1">
      <c r="B56" s="151"/>
      <c r="C56" s="159"/>
      <c r="D56" s="153"/>
      <c r="E56" s="721"/>
    </row>
    <row r="57" spans="2:5" ht="12.75" hidden="1">
      <c r="B57" s="144" t="s">
        <v>128</v>
      </c>
      <c r="C57" s="206"/>
      <c r="D57" s="150">
        <f>SUM(D54:D55)</f>
        <v>50000</v>
      </c>
      <c r="E57" s="720"/>
    </row>
    <row r="58" spans="2:5" ht="13.5" hidden="1" thickBot="1">
      <c r="B58" s="171"/>
      <c r="C58" s="208"/>
      <c r="D58" s="173"/>
      <c r="E58" s="720"/>
    </row>
    <row r="59" spans="2:5" ht="13.5" hidden="1" thickTop="1">
      <c r="B59" s="161"/>
      <c r="C59" s="199"/>
      <c r="D59" s="163"/>
      <c r="E59" s="716"/>
    </row>
    <row r="60" spans="2:5" ht="12.75" hidden="1">
      <c r="B60" s="154"/>
      <c r="C60" s="200" t="s">
        <v>521</v>
      </c>
      <c r="D60" s="157">
        <f>D45+D51+D57</f>
        <v>86229268.16</v>
      </c>
      <c r="E60" s="720"/>
    </row>
    <row r="61" spans="2:5" ht="13.5" hidden="1" thickBot="1">
      <c r="B61" s="164"/>
      <c r="C61" s="165"/>
      <c r="D61" s="166"/>
      <c r="E61" s="716"/>
    </row>
    <row r="62" spans="3:5" ht="12.75" hidden="1">
      <c r="C62" s="174"/>
      <c r="D62" s="133"/>
      <c r="E62" s="228"/>
    </row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 password="CF7A" sheet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96">
      <selection activeCell="E117" sqref="E117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1015" t="s">
        <v>48</v>
      </c>
      <c r="C2" s="1015"/>
      <c r="D2" s="1015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1016" t="str">
        <f>CPYG!A8</f>
        <v>TRANSPORTES INTERURBANOS DE TENERIFE, S.A.U.</v>
      </c>
      <c r="C4" s="1017"/>
      <c r="D4" s="1018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1009" t="s">
        <v>804</v>
      </c>
      <c r="C6" s="1017"/>
      <c r="D6" s="1018"/>
    </row>
    <row r="7" ht="15" customHeight="1" hidden="1" thickBot="1"/>
    <row r="8" spans="2:4" ht="12.75" hidden="1">
      <c r="B8" s="1010" t="s">
        <v>101</v>
      </c>
      <c r="C8" s="1011"/>
      <c r="D8" s="1387"/>
    </row>
    <row r="9" spans="2:4" ht="13.5" customHeight="1" hidden="1" thickBot="1">
      <c r="B9" s="1005"/>
      <c r="C9" s="1006"/>
      <c r="D9" s="1388"/>
    </row>
    <row r="10" spans="2:4" ht="12.75" customHeight="1" hidden="1">
      <c r="B10" s="151"/>
      <c r="C10" s="152"/>
      <c r="D10" s="160"/>
    </row>
    <row r="11" spans="2:7" ht="12.75" hidden="1">
      <c r="B11" s="138" t="s">
        <v>103</v>
      </c>
      <c r="C11" s="139" t="s">
        <v>190</v>
      </c>
      <c r="D11" s="518">
        <v>0</v>
      </c>
      <c r="F11" s="169"/>
      <c r="G11" s="169"/>
    </row>
    <row r="12" spans="2:7" ht="12.75" hidden="1">
      <c r="B12" s="138" t="s">
        <v>104</v>
      </c>
      <c r="C12" s="139" t="s">
        <v>191</v>
      </c>
      <c r="D12" s="518">
        <v>0</v>
      </c>
      <c r="F12" s="169"/>
      <c r="G12" s="169"/>
    </row>
    <row r="13" spans="2:7" ht="12.75" hidden="1">
      <c r="B13" s="138" t="s">
        <v>105</v>
      </c>
      <c r="C13" s="139" t="s">
        <v>192</v>
      </c>
      <c r="D13" s="518">
        <f>CPYG!D12+CPYG!D38+CPYG!D36</f>
        <v>56004794.95</v>
      </c>
      <c r="F13" s="169"/>
      <c r="G13" s="169"/>
    </row>
    <row r="14" spans="2:7" ht="12.75" hidden="1">
      <c r="B14" s="138" t="s">
        <v>106</v>
      </c>
      <c r="C14" s="139" t="s">
        <v>193</v>
      </c>
      <c r="D14" s="518">
        <f>CPYG!D39</f>
        <v>28422790.08</v>
      </c>
      <c r="F14" s="169"/>
      <c r="G14" s="169"/>
    </row>
    <row r="15" spans="2:7" ht="12.75" hidden="1">
      <c r="B15" s="138" t="s">
        <v>107</v>
      </c>
      <c r="C15" s="139" t="s">
        <v>194</v>
      </c>
      <c r="D15" s="518">
        <f>CPYG!D37+CPYG!D85+CPYG!D88+CPYG!D104</f>
        <v>909279.933</v>
      </c>
      <c r="F15" s="169"/>
      <c r="G15" s="169"/>
    </row>
    <row r="16" spans="2:7" ht="12.75" hidden="1">
      <c r="B16" s="141"/>
      <c r="C16" s="142"/>
      <c r="D16" s="519"/>
      <c r="F16" s="169"/>
      <c r="G16" s="169"/>
    </row>
    <row r="17" spans="2:6" ht="12.75" hidden="1">
      <c r="B17" s="144" t="s">
        <v>108</v>
      </c>
      <c r="C17" s="145"/>
      <c r="D17" s="520">
        <f>SUM(D11:D15)</f>
        <v>85336864.963</v>
      </c>
      <c r="F17" s="169"/>
    </row>
    <row r="18" spans="2:4" ht="12.75" hidden="1">
      <c r="B18" s="147"/>
      <c r="C18" s="148"/>
      <c r="D18" s="521"/>
    </row>
    <row r="19" spans="2:4" ht="12.75" hidden="1">
      <c r="B19" s="141"/>
      <c r="C19" s="142"/>
      <c r="D19" s="519"/>
    </row>
    <row r="20" spans="2:4" ht="12.75" hidden="1">
      <c r="B20" s="138" t="s">
        <v>109</v>
      </c>
      <c r="C20" s="139" t="s">
        <v>195</v>
      </c>
      <c r="D20" s="519"/>
    </row>
    <row r="21" spans="2:4" ht="12.75" hidden="1">
      <c r="B21" s="138" t="s">
        <v>110</v>
      </c>
      <c r="C21" s="139" t="s">
        <v>196</v>
      </c>
      <c r="D21" s="519"/>
    </row>
    <row r="22" spans="2:4" ht="12.75" hidden="1">
      <c r="B22" s="141"/>
      <c r="C22" s="142"/>
      <c r="D22" s="519"/>
    </row>
    <row r="23" spans="2:4" ht="12.75" hidden="1">
      <c r="B23" s="144" t="s">
        <v>111</v>
      </c>
      <c r="C23" s="145"/>
      <c r="D23" s="520">
        <f>+D20+D21</f>
        <v>0</v>
      </c>
    </row>
    <row r="24" spans="2:4" ht="12.75" hidden="1">
      <c r="B24" s="147"/>
      <c r="C24" s="148"/>
      <c r="D24" s="521"/>
    </row>
    <row r="25" spans="2:4" ht="12.75" hidden="1">
      <c r="B25" s="141"/>
      <c r="C25" s="142"/>
      <c r="D25" s="519"/>
    </row>
    <row r="26" spans="2:4" ht="12.75" hidden="1">
      <c r="B26" s="138" t="s">
        <v>112</v>
      </c>
      <c r="C26" s="139" t="s">
        <v>197</v>
      </c>
      <c r="D26" s="518"/>
    </row>
    <row r="27" spans="2:4" ht="12.75" hidden="1">
      <c r="B27" s="138" t="s">
        <v>113</v>
      </c>
      <c r="C27" s="139" t="s">
        <v>198</v>
      </c>
      <c r="D27" s="518"/>
    </row>
    <row r="28" spans="2:4" ht="12.75" hidden="1">
      <c r="B28" s="141"/>
      <c r="C28" s="142"/>
      <c r="D28" s="519"/>
    </row>
    <row r="29" spans="2:4" ht="13.5" hidden="1" thickBot="1">
      <c r="B29" s="204" t="s">
        <v>114</v>
      </c>
      <c r="C29" s="523"/>
      <c r="D29" s="522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524"/>
    </row>
    <row r="32" spans="2:4" ht="12.75" hidden="1">
      <c r="B32" s="154"/>
      <c r="C32" s="156" t="s">
        <v>115</v>
      </c>
      <c r="D32" s="525">
        <f>+D29+D23+D17</f>
        <v>85336864.963</v>
      </c>
    </row>
    <row r="33" spans="2:4" ht="13.5" hidden="1" thickBot="1">
      <c r="B33" s="164"/>
      <c r="C33" s="198"/>
      <c r="D33" s="526"/>
    </row>
    <row r="34" spans="2:4" ht="12.75" hidden="1">
      <c r="B34" s="201"/>
      <c r="C34" s="529"/>
      <c r="D34" s="527"/>
    </row>
    <row r="35" spans="2:4" ht="12.75" hidden="1">
      <c r="B35" s="195"/>
      <c r="C35" s="196" t="s">
        <v>116</v>
      </c>
      <c r="D35" s="160">
        <f>CPYG!D26+CPYG!D28+CPYG!D71+CPYG!D65+CPYG!D64+CPYG!D96+CPYG!D75+CPYG!D91</f>
        <v>4130070.09</v>
      </c>
    </row>
    <row r="36" spans="2:4" ht="13.5" hidden="1" thickBot="1">
      <c r="B36" s="203"/>
      <c r="C36" s="530"/>
      <c r="D36" s="528"/>
    </row>
    <row r="37" spans="2:4" ht="12.75" hidden="1">
      <c r="B37" s="161"/>
      <c r="C37" s="162"/>
      <c r="D37" s="524"/>
    </row>
    <row r="38" spans="2:4" ht="12.75" hidden="1">
      <c r="B38" s="1385" t="s">
        <v>805</v>
      </c>
      <c r="C38" s="1386"/>
      <c r="D38" s="525">
        <f>D32+D35</f>
        <v>89466935.053</v>
      </c>
    </row>
    <row r="39" spans="2:4" ht="13.5" hidden="1" thickBot="1">
      <c r="B39" s="164"/>
      <c r="C39" s="198"/>
      <c r="D39" s="526"/>
    </row>
    <row r="40" ht="12.75" hidden="1"/>
    <row r="41" ht="13.5" hidden="1" thickBot="1"/>
    <row r="42" spans="2:4" ht="12.75" hidden="1">
      <c r="B42" s="1010" t="s">
        <v>101</v>
      </c>
      <c r="C42" s="1011"/>
      <c r="D42" s="1389"/>
    </row>
    <row r="43" spans="2:4" ht="13.5" customHeight="1" hidden="1" thickBot="1">
      <c r="B43" s="1005"/>
      <c r="C43" s="1006"/>
      <c r="D43" s="1390"/>
    </row>
    <row r="44" spans="2:4" ht="12.75" customHeight="1" hidden="1">
      <c r="B44" s="151"/>
      <c r="C44" s="152"/>
      <c r="D44" s="531"/>
    </row>
    <row r="45" spans="2:4" ht="12.75" hidden="1">
      <c r="B45" s="138" t="s">
        <v>103</v>
      </c>
      <c r="C45" s="167" t="s">
        <v>117</v>
      </c>
      <c r="D45" s="532">
        <f>-CPYG!D46+CPYG!D52</f>
        <v>54556647.66</v>
      </c>
    </row>
    <row r="46" spans="2:4" ht="12.75" hidden="1">
      <c r="B46" s="138" t="s">
        <v>104</v>
      </c>
      <c r="C46" s="167" t="s">
        <v>118</v>
      </c>
      <c r="D46" s="533">
        <f>-CPYG!D29+CPYG!D33-CPYG!D56-CPYG!D57-CPYG!D108-CPYG!D59-D91</f>
        <v>30021695.9</v>
      </c>
    </row>
    <row r="47" spans="2:4" ht="12.75" hidden="1">
      <c r="B47" s="138" t="s">
        <v>105</v>
      </c>
      <c r="C47" s="167" t="s">
        <v>469</v>
      </c>
      <c r="D47" s="533">
        <f>-CPYG!D93-CPYG!D94-CPYG!D105</f>
        <v>313099.8</v>
      </c>
    </row>
    <row r="48" spans="2:4" ht="12.75" hidden="1">
      <c r="B48" s="138" t="s">
        <v>106</v>
      </c>
      <c r="C48" s="167" t="s">
        <v>119</v>
      </c>
      <c r="D48" s="533">
        <f>CPYG!D76</f>
        <v>0</v>
      </c>
    </row>
    <row r="49" spans="2:4" ht="12.75" hidden="1">
      <c r="B49" s="151"/>
      <c r="C49" s="152"/>
      <c r="D49" s="533"/>
    </row>
    <row r="50" spans="2:4" ht="12.75" hidden="1">
      <c r="B50" s="144" t="s">
        <v>120</v>
      </c>
      <c r="C50" s="145"/>
      <c r="D50" s="534">
        <f>SUM(D45:D48)</f>
        <v>84891443.36</v>
      </c>
    </row>
    <row r="51" spans="2:4" ht="12.75" hidden="1">
      <c r="B51" s="147"/>
      <c r="C51" s="148"/>
      <c r="D51" s="535"/>
    </row>
    <row r="52" spans="2:4" ht="12.75" hidden="1">
      <c r="B52" s="151"/>
      <c r="C52" s="152"/>
      <c r="D52" s="531"/>
    </row>
    <row r="53" spans="2:4" ht="12.75" hidden="1">
      <c r="B53" s="138" t="s">
        <v>109</v>
      </c>
      <c r="C53" s="167" t="s">
        <v>122</v>
      </c>
      <c r="D53" s="533"/>
    </row>
    <row r="54" spans="2:4" ht="12.75" hidden="1">
      <c r="B54" s="138" t="s">
        <v>110</v>
      </c>
      <c r="C54" s="167" t="s">
        <v>123</v>
      </c>
      <c r="D54" s="533"/>
    </row>
    <row r="55" spans="2:4" ht="12.75" hidden="1">
      <c r="B55" s="151"/>
      <c r="C55" s="152"/>
      <c r="D55" s="531"/>
    </row>
    <row r="56" spans="2:4" ht="12.75" hidden="1">
      <c r="B56" s="144" t="s">
        <v>124</v>
      </c>
      <c r="C56" s="145"/>
      <c r="D56" s="534">
        <f>+D54+D53</f>
        <v>0</v>
      </c>
    </row>
    <row r="57" spans="2:4" ht="12.75" hidden="1">
      <c r="B57" s="147"/>
      <c r="C57" s="148"/>
      <c r="D57" s="535"/>
    </row>
    <row r="58" spans="2:4" ht="12.75" hidden="1">
      <c r="B58" s="151"/>
      <c r="C58" s="152"/>
      <c r="D58" s="531"/>
    </row>
    <row r="59" spans="2:4" ht="12.75" hidden="1">
      <c r="B59" s="138" t="s">
        <v>112</v>
      </c>
      <c r="C59" s="167" t="s">
        <v>126</v>
      </c>
      <c r="D59" s="533"/>
    </row>
    <row r="60" spans="2:4" ht="12.75" hidden="1">
      <c r="B60" s="138" t="s">
        <v>113</v>
      </c>
      <c r="C60" s="167" t="s">
        <v>127</v>
      </c>
      <c r="D60" s="533"/>
    </row>
    <row r="61" spans="2:4" ht="12.75" hidden="1">
      <c r="B61" s="151"/>
      <c r="C61" s="152"/>
      <c r="D61" s="531"/>
    </row>
    <row r="62" spans="2:4" ht="13.5" hidden="1" thickBot="1">
      <c r="B62" s="204" t="s">
        <v>128</v>
      </c>
      <c r="C62" s="523"/>
      <c r="D62" s="522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524"/>
    </row>
    <row r="65" spans="2:4" ht="12.75" hidden="1">
      <c r="B65" s="154"/>
      <c r="C65" s="156" t="s">
        <v>131</v>
      </c>
      <c r="D65" s="525">
        <f>+D62+D56+D50</f>
        <v>84891443.36</v>
      </c>
    </row>
    <row r="66" spans="2:4" ht="13.5" hidden="1" thickBot="1">
      <c r="B66" s="164"/>
      <c r="C66" s="198"/>
      <c r="D66" s="526"/>
    </row>
    <row r="67" spans="2:4" ht="12.75" hidden="1">
      <c r="B67" s="202"/>
      <c r="C67" s="540"/>
      <c r="D67" s="536"/>
    </row>
    <row r="68" spans="2:4" ht="12.75" hidden="1">
      <c r="B68" s="195"/>
      <c r="C68" s="196" t="s">
        <v>130</v>
      </c>
      <c r="D68" s="537">
        <f>-CPYG!D27-CPYG!D33-CPYG!D67-CPYG!D52-CPYG!D60-CPYG!D58-CPYG!D95-CPYG!D99-CPYG!D100</f>
        <v>4554115.91</v>
      </c>
    </row>
    <row r="69" spans="2:4" ht="14.25" customHeight="1" hidden="1" thickBot="1">
      <c r="B69" s="203"/>
      <c r="C69" s="530"/>
      <c r="D69" s="538"/>
    </row>
    <row r="70" spans="2:4" ht="14.25" customHeight="1" hidden="1">
      <c r="B70" s="154"/>
      <c r="C70" s="541"/>
      <c r="D70" s="539"/>
    </row>
    <row r="71" spans="2:4" ht="12.75" hidden="1">
      <c r="B71" s="1385" t="s">
        <v>806</v>
      </c>
      <c r="C71" s="1386"/>
      <c r="D71" s="525">
        <f>D65+D68</f>
        <v>89445559.27</v>
      </c>
    </row>
    <row r="72" spans="2:4" ht="13.5" hidden="1" thickBot="1">
      <c r="B72" s="164"/>
      <c r="C72" s="198"/>
      <c r="D72" s="526"/>
    </row>
    <row r="73" spans="2:3" ht="12.75" hidden="1">
      <c r="B73" s="158"/>
      <c r="C73" s="158"/>
    </row>
    <row r="74" spans="3:4" ht="12.75" hidden="1">
      <c r="C74" s="185" t="s">
        <v>415</v>
      </c>
      <c r="D74" s="186">
        <f>D38-D71</f>
        <v>21375.78300000727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189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140</v>
      </c>
      <c r="D81" s="133"/>
    </row>
    <row r="82" spans="3:4" ht="12.75" hidden="1">
      <c r="C82" s="181" t="s">
        <v>416</v>
      </c>
      <c r="D82" s="133"/>
    </row>
    <row r="83" spans="3:4" ht="18" customHeight="1" hidden="1">
      <c r="C83" s="181" t="s">
        <v>417</v>
      </c>
      <c r="D83" s="133"/>
    </row>
    <row r="84" spans="3:4" ht="18" customHeight="1" hidden="1">
      <c r="C84" s="181" t="s">
        <v>410</v>
      </c>
      <c r="D84" s="133"/>
    </row>
    <row r="85" spans="3:4" ht="18" customHeight="1" hidden="1">
      <c r="C85" s="181" t="s">
        <v>418</v>
      </c>
      <c r="D85" s="133"/>
    </row>
    <row r="86" spans="3:4" ht="18" customHeight="1" hidden="1">
      <c r="C86" s="181" t="s">
        <v>411</v>
      </c>
      <c r="D86" s="133"/>
    </row>
    <row r="87" spans="3:4" ht="18" customHeight="1" hidden="1">
      <c r="C87" s="132" t="s">
        <v>412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705" t="s">
        <v>92</v>
      </c>
      <c r="D91" s="187">
        <f>SUM(D92:D93)</f>
        <v>-17.54</v>
      </c>
    </row>
    <row r="92" spans="3:5" ht="12.75" hidden="1">
      <c r="C92" s="706" t="s">
        <v>82</v>
      </c>
      <c r="D92" s="187">
        <f>CPYG!D81</f>
        <v>-17.54</v>
      </c>
      <c r="E92" s="133" t="s">
        <v>355</v>
      </c>
    </row>
    <row r="93" spans="3:4" ht="12.75" customHeight="1" hidden="1">
      <c r="C93" s="706" t="s">
        <v>83</v>
      </c>
      <c r="D93" s="188"/>
    </row>
    <row r="94" ht="12.75" hidden="1"/>
    <row r="95" ht="12.75" hidden="1"/>
  </sheetData>
  <sheetProtection password="CF7A" sheet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zoomScalePageLayoutView="0" workbookViewId="0" topLeftCell="A1">
      <selection activeCell="C4" sqref="C4"/>
    </sheetView>
  </sheetViews>
  <sheetFormatPr defaultColWidth="11.57421875" defaultRowHeight="12.75"/>
  <cols>
    <col min="1" max="1" width="51.8515625" style="772" customWidth="1"/>
    <col min="2" max="2" width="18.28125" style="772" customWidth="1"/>
    <col min="3" max="3" width="19.57421875" style="772" customWidth="1"/>
    <col min="4" max="4" width="19.421875" style="772" customWidth="1"/>
    <col min="5" max="5" width="18.421875" style="772" customWidth="1"/>
    <col min="6" max="16384" width="11.57421875" style="772" customWidth="1"/>
  </cols>
  <sheetData>
    <row r="1" spans="1:5" ht="12.75">
      <c r="A1" s="805"/>
      <c r="B1" s="808" t="s">
        <v>829</v>
      </c>
      <c r="C1" s="805"/>
      <c r="D1" s="805"/>
      <c r="E1" s="805"/>
    </row>
    <row r="2" spans="1:5" ht="12.75">
      <c r="A2" s="805"/>
      <c r="B2" s="809" t="s">
        <v>830</v>
      </c>
      <c r="C2" s="805"/>
      <c r="D2" s="805"/>
      <c r="E2" s="805"/>
    </row>
    <row r="3" spans="1:5" ht="12.75">
      <c r="A3" s="805"/>
      <c r="B3" s="805"/>
      <c r="C3" s="805"/>
      <c r="D3" s="805"/>
      <c r="E3" s="805"/>
    </row>
    <row r="4" spans="1:4" ht="12.75">
      <c r="A4" s="805" t="s">
        <v>678</v>
      </c>
      <c r="B4" s="805"/>
      <c r="C4" s="810">
        <v>42339</v>
      </c>
      <c r="D4" s="805"/>
    </row>
    <row r="5" spans="1:4" ht="12.75">
      <c r="A5" s="805" t="s">
        <v>828</v>
      </c>
      <c r="B5" s="805"/>
      <c r="C5" s="811" t="s">
        <v>831</v>
      </c>
      <c r="D5" s="805"/>
    </row>
    <row r="6" ht="13.5" thickBot="1"/>
    <row r="7" spans="1:5" ht="24.75" customHeight="1">
      <c r="A7" s="1023" t="str">
        <f>'ORGANOS DE GOBIERNO'!A9:H9</f>
        <v>TRANSPORTES INTERURBANOS DE TENERIFE, S.A.U.</v>
      </c>
      <c r="B7" s="1021"/>
      <c r="C7" s="1021"/>
      <c r="D7" s="1021"/>
      <c r="E7" s="1019"/>
    </row>
    <row r="8" spans="1:5" ht="24.75" customHeight="1">
      <c r="A8" s="773"/>
      <c r="B8" s="774"/>
      <c r="C8" s="774"/>
      <c r="D8" s="774"/>
      <c r="E8" s="775"/>
    </row>
    <row r="9" spans="1:5" ht="15" customHeight="1">
      <c r="A9" s="776" t="s">
        <v>30</v>
      </c>
      <c r="B9" s="774"/>
      <c r="C9" s="774"/>
      <c r="D9" s="774"/>
      <c r="E9" s="775"/>
    </row>
    <row r="10" spans="1:5" ht="15" customHeight="1">
      <c r="A10" s="777"/>
      <c r="B10" s="778"/>
      <c r="C10" s="774"/>
      <c r="D10" s="774"/>
      <c r="E10" s="775"/>
    </row>
    <row r="11" spans="1:5" ht="28.5" customHeight="1">
      <c r="A11" s="779" t="s">
        <v>31</v>
      </c>
      <c r="B11" s="780" t="s">
        <v>32</v>
      </c>
      <c r="C11" s="781" t="s">
        <v>33</v>
      </c>
      <c r="D11" s="781" t="s">
        <v>34</v>
      </c>
      <c r="E11" s="782" t="s">
        <v>35</v>
      </c>
    </row>
    <row r="12" spans="1:5" ht="15" customHeight="1">
      <c r="A12" s="777" t="s">
        <v>862</v>
      </c>
      <c r="B12" s="783">
        <v>100</v>
      </c>
      <c r="C12" s="834">
        <v>5000</v>
      </c>
      <c r="D12" s="835">
        <v>5409108.94</v>
      </c>
      <c r="E12" s="784"/>
    </row>
    <row r="13" spans="1:5" ht="15" customHeight="1">
      <c r="A13" s="777"/>
      <c r="B13" s="783"/>
      <c r="C13" s="785"/>
      <c r="D13" s="786"/>
      <c r="E13" s="787"/>
    </row>
    <row r="14" spans="1:5" ht="15" customHeight="1">
      <c r="A14" s="777"/>
      <c r="B14" s="783"/>
      <c r="C14" s="785"/>
      <c r="D14" s="786"/>
      <c r="E14" s="787"/>
    </row>
    <row r="15" spans="1:5" ht="15" customHeight="1">
      <c r="A15" s="777"/>
      <c r="B15" s="774"/>
      <c r="C15" s="785"/>
      <c r="D15" s="786"/>
      <c r="E15" s="787"/>
    </row>
    <row r="16" spans="1:5" ht="15" customHeight="1">
      <c r="A16" s="777"/>
      <c r="B16" s="778"/>
      <c r="C16" s="785"/>
      <c r="D16" s="786"/>
      <c r="E16" s="787"/>
    </row>
    <row r="17" spans="1:5" ht="15" customHeight="1">
      <c r="A17" s="788"/>
      <c r="B17" s="774"/>
      <c r="C17" s="785"/>
      <c r="D17" s="786"/>
      <c r="E17" s="787"/>
    </row>
    <row r="18" spans="1:5" ht="15" customHeight="1">
      <c r="A18" s="776" t="s">
        <v>36</v>
      </c>
      <c r="B18" s="774"/>
      <c r="C18" s="774"/>
      <c r="D18" s="786"/>
      <c r="E18" s="787"/>
    </row>
    <row r="19" spans="1:5" ht="15" customHeight="1">
      <c r="A19" s="788"/>
      <c r="B19" s="774"/>
      <c r="C19" s="774"/>
      <c r="D19" s="774"/>
      <c r="E19" s="775"/>
    </row>
    <row r="20" spans="1:5" ht="28.5" customHeight="1">
      <c r="A20" s="779" t="s">
        <v>37</v>
      </c>
      <c r="B20" s="780" t="s">
        <v>32</v>
      </c>
      <c r="C20" s="780" t="s">
        <v>33</v>
      </c>
      <c r="D20" s="780" t="s">
        <v>34</v>
      </c>
      <c r="E20" s="782" t="s">
        <v>38</v>
      </c>
    </row>
    <row r="21" spans="1:5" ht="15" customHeight="1">
      <c r="A21" s="777" t="s">
        <v>294</v>
      </c>
      <c r="B21" s="783">
        <v>40</v>
      </c>
      <c r="C21" s="774"/>
      <c r="D21" s="774"/>
      <c r="E21" s="775"/>
    </row>
    <row r="22" spans="1:5" ht="15" customHeight="1">
      <c r="A22" s="777" t="s">
        <v>295</v>
      </c>
      <c r="B22" s="783">
        <v>40</v>
      </c>
      <c r="C22" s="774"/>
      <c r="D22" s="774"/>
      <c r="E22" s="775"/>
    </row>
    <row r="23" spans="1:5" ht="15" customHeight="1">
      <c r="A23" s="777"/>
      <c r="B23" s="783"/>
      <c r="C23" s="774"/>
      <c r="D23" s="774"/>
      <c r="E23" s="775"/>
    </row>
    <row r="24" spans="1:5" ht="15" customHeight="1">
      <c r="A24" s="777"/>
      <c r="B24" s="783"/>
      <c r="C24" s="774"/>
      <c r="D24" s="774"/>
      <c r="E24" s="775"/>
    </row>
    <row r="25" spans="1:5" ht="15" customHeight="1">
      <c r="A25" s="777"/>
      <c r="B25" s="778"/>
      <c r="C25" s="774"/>
      <c r="D25" s="774"/>
      <c r="E25" s="775"/>
    </row>
    <row r="26" spans="1:5" ht="15" customHeight="1">
      <c r="A26" s="777"/>
      <c r="B26" s="778"/>
      <c r="C26" s="774"/>
      <c r="D26" s="774"/>
      <c r="E26" s="775"/>
    </row>
    <row r="27" spans="1:5" ht="15" customHeight="1">
      <c r="A27" s="788"/>
      <c r="B27" s="774"/>
      <c r="C27" s="774"/>
      <c r="D27" s="774"/>
      <c r="E27" s="775"/>
    </row>
    <row r="28" spans="1:5" ht="15" customHeight="1">
      <c r="A28" s="777"/>
      <c r="B28" s="778"/>
      <c r="C28" s="774"/>
      <c r="D28" s="774"/>
      <c r="E28" s="775"/>
    </row>
    <row r="29" spans="1:5" ht="15" customHeight="1">
      <c r="A29" s="777"/>
      <c r="B29" s="778"/>
      <c r="C29" s="774"/>
      <c r="D29" s="774"/>
      <c r="E29" s="775"/>
    </row>
    <row r="30" spans="1:5" ht="15" customHeight="1">
      <c r="A30" s="776" t="s">
        <v>39</v>
      </c>
      <c r="B30" s="774"/>
      <c r="C30" s="774"/>
      <c r="D30" s="774"/>
      <c r="E30" s="775"/>
    </row>
    <row r="31" spans="1:5" ht="15" customHeight="1">
      <c r="A31" s="776"/>
      <c r="B31" s="774"/>
      <c r="C31" s="774"/>
      <c r="D31" s="774"/>
      <c r="E31" s="775"/>
    </row>
    <row r="32" spans="1:5" ht="29.25" customHeight="1">
      <c r="A32" s="789" t="s">
        <v>40</v>
      </c>
      <c r="B32" s="790" t="s">
        <v>41</v>
      </c>
      <c r="C32" s="791" t="s">
        <v>42</v>
      </c>
      <c r="D32" s="774"/>
      <c r="E32" s="775"/>
    </row>
    <row r="33" spans="1:5" ht="16.5" customHeight="1">
      <c r="A33" s="836" t="s">
        <v>296</v>
      </c>
      <c r="B33" s="792" t="s">
        <v>43</v>
      </c>
      <c r="C33" s="837">
        <v>42279</v>
      </c>
      <c r="D33" s="774"/>
      <c r="E33" s="775"/>
    </row>
    <row r="34" spans="1:5" ht="15" customHeight="1">
      <c r="A34" s="836" t="s">
        <v>297</v>
      </c>
      <c r="B34" s="792" t="s">
        <v>44</v>
      </c>
      <c r="C34" s="837">
        <v>42279</v>
      </c>
      <c r="D34" s="774"/>
      <c r="E34" s="775"/>
    </row>
    <row r="35" spans="1:5" ht="15" customHeight="1">
      <c r="A35" s="866" t="s">
        <v>298</v>
      </c>
      <c r="B35" s="792" t="s">
        <v>45</v>
      </c>
      <c r="C35" s="837">
        <v>42279</v>
      </c>
      <c r="D35" s="774"/>
      <c r="E35" s="775"/>
    </row>
    <row r="36" spans="1:5" ht="15" customHeight="1">
      <c r="A36" s="777" t="s">
        <v>299</v>
      </c>
      <c r="B36" s="792" t="s">
        <v>45</v>
      </c>
      <c r="C36" s="838">
        <v>42279</v>
      </c>
      <c r="D36" s="774"/>
      <c r="E36" s="775"/>
    </row>
    <row r="37" spans="1:5" ht="15" customHeight="1">
      <c r="A37" s="777" t="s">
        <v>300</v>
      </c>
      <c r="B37" s="778" t="s">
        <v>45</v>
      </c>
      <c r="C37" s="837">
        <v>42279</v>
      </c>
      <c r="D37" s="774"/>
      <c r="E37" s="775"/>
    </row>
    <row r="38" spans="1:5" ht="15" customHeight="1">
      <c r="A38" s="777" t="s">
        <v>301</v>
      </c>
      <c r="B38" s="778" t="s">
        <v>45</v>
      </c>
      <c r="C38" s="837">
        <v>42279</v>
      </c>
      <c r="D38" s="774"/>
      <c r="E38" s="775"/>
    </row>
    <row r="39" spans="1:5" ht="15" customHeight="1">
      <c r="A39" s="777" t="s">
        <v>302</v>
      </c>
      <c r="B39" s="778" t="s">
        <v>45</v>
      </c>
      <c r="C39" s="837">
        <v>42279</v>
      </c>
      <c r="D39" s="774"/>
      <c r="E39" s="775"/>
    </row>
    <row r="40" spans="1:5" ht="15" customHeight="1">
      <c r="A40" s="777" t="s">
        <v>303</v>
      </c>
      <c r="B40" s="778" t="s">
        <v>45</v>
      </c>
      <c r="C40" s="837">
        <v>42279</v>
      </c>
      <c r="D40" s="774"/>
      <c r="E40" s="775"/>
    </row>
    <row r="41" spans="1:5" ht="15" customHeight="1">
      <c r="A41" s="777" t="s">
        <v>304</v>
      </c>
      <c r="B41" s="778" t="s">
        <v>45</v>
      </c>
      <c r="C41" s="837">
        <v>42279</v>
      </c>
      <c r="D41" s="774"/>
      <c r="E41" s="775"/>
    </row>
    <row r="42" spans="1:5" ht="15" customHeight="1">
      <c r="A42" s="777" t="s">
        <v>305</v>
      </c>
      <c r="B42" s="778" t="s">
        <v>46</v>
      </c>
      <c r="C42" s="839">
        <v>41547</v>
      </c>
      <c r="D42" s="774"/>
      <c r="E42" s="775"/>
    </row>
    <row r="43" spans="1:5" ht="15" customHeight="1">
      <c r="A43" s="788"/>
      <c r="B43" s="774"/>
      <c r="C43" s="774"/>
      <c r="D43" s="774"/>
      <c r="E43" s="775"/>
    </row>
    <row r="44" spans="1:5" ht="15" customHeight="1">
      <c r="A44" s="793" t="s">
        <v>47</v>
      </c>
      <c r="B44" s="794"/>
      <c r="C44" s="794"/>
      <c r="D44" s="774"/>
      <c r="E44" s="775"/>
    </row>
    <row r="45" spans="1:5" ht="15" customHeight="1">
      <c r="A45" s="788"/>
      <c r="B45" s="774"/>
      <c r="C45" s="774"/>
      <c r="D45" s="774"/>
      <c r="E45" s="775"/>
    </row>
    <row r="46" spans="1:5" ht="15" customHeight="1">
      <c r="A46" s="789" t="s">
        <v>40</v>
      </c>
      <c r="B46" s="792"/>
      <c r="C46" s="774"/>
      <c r="D46" s="774"/>
      <c r="E46" s="775"/>
    </row>
    <row r="47" spans="1:5" ht="15" customHeight="1">
      <c r="A47" s="777" t="s">
        <v>290</v>
      </c>
      <c r="B47" s="774"/>
      <c r="C47" s="774"/>
      <c r="D47" s="774"/>
      <c r="E47" s="775"/>
    </row>
    <row r="48" spans="1:5" ht="13.5" customHeight="1">
      <c r="A48" s="788"/>
      <c r="B48" s="774"/>
      <c r="C48" s="774"/>
      <c r="D48" s="774"/>
      <c r="E48" s="775"/>
    </row>
    <row r="49" spans="1:5" ht="13.5" customHeight="1" thickBot="1">
      <c r="A49" s="795"/>
      <c r="B49" s="796"/>
      <c r="C49" s="796"/>
      <c r="D49" s="796"/>
      <c r="E49" s="797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7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808" t="s">
        <v>829</v>
      </c>
    </row>
    <row r="2" ht="12.75">
      <c r="C2" s="809" t="s">
        <v>830</v>
      </c>
    </row>
    <row r="4" spans="2:4" ht="12.75">
      <c r="B4" s="805" t="s">
        <v>678</v>
      </c>
      <c r="D4" s="810">
        <v>42339</v>
      </c>
    </row>
    <row r="5" spans="2:4" ht="12.75">
      <c r="B5" s="805" t="s">
        <v>828</v>
      </c>
      <c r="D5" s="811" t="s">
        <v>831</v>
      </c>
    </row>
    <row r="7" spans="2:4" ht="12.75">
      <c r="B7" s="1015" t="s">
        <v>48</v>
      </c>
      <c r="C7" s="1015"/>
      <c r="D7" s="1015"/>
    </row>
    <row r="8" spans="2:4" ht="13.5" thickBot="1">
      <c r="B8" s="183"/>
      <c r="C8" s="183"/>
      <c r="D8" s="183"/>
    </row>
    <row r="9" spans="2:4" ht="15.75" thickBot="1">
      <c r="B9" s="1016" t="str">
        <f>CPYG!A8</f>
        <v>TRANSPORTES INTERURBANOS DE TENERIFE, S.A.U.</v>
      </c>
      <c r="C9" s="1017"/>
      <c r="D9" s="1018"/>
    </row>
    <row r="10" spans="2:3" ht="13.5" thickBot="1">
      <c r="B10" s="184"/>
      <c r="C10" s="184"/>
    </row>
    <row r="11" spans="2:4" ht="15.75" thickBot="1">
      <c r="B11" s="1009" t="s">
        <v>804</v>
      </c>
      <c r="C11" s="1017"/>
      <c r="D11" s="1018"/>
    </row>
    <row r="12" spans="2:3" ht="13.5" thickBot="1">
      <c r="B12" s="184"/>
      <c r="C12" s="184"/>
    </row>
    <row r="13" spans="2:4" ht="13.5" customHeight="1">
      <c r="B13" s="1010" t="s">
        <v>101</v>
      </c>
      <c r="C13" s="1011"/>
      <c r="D13" s="1020"/>
    </row>
    <row r="14" spans="2:4" ht="12.75" customHeight="1" thickBot="1">
      <c r="B14" s="1005"/>
      <c r="C14" s="1006"/>
      <c r="D14" s="1012"/>
    </row>
    <row r="15" spans="2:4" ht="12.75">
      <c r="B15" s="151"/>
      <c r="C15" s="152"/>
      <c r="D15" s="197"/>
    </row>
    <row r="16" spans="2:4" ht="12.75">
      <c r="B16" s="138" t="s">
        <v>103</v>
      </c>
      <c r="C16" s="139" t="s">
        <v>190</v>
      </c>
      <c r="D16" s="140">
        <v>0</v>
      </c>
    </row>
    <row r="17" spans="2:4" ht="12.75">
      <c r="B17" s="138" t="s">
        <v>104</v>
      </c>
      <c r="C17" s="139" t="s">
        <v>191</v>
      </c>
      <c r="D17" s="140">
        <v>0</v>
      </c>
    </row>
    <row r="18" spans="2:4" ht="12.75">
      <c r="B18" s="138" t="s">
        <v>105</v>
      </c>
      <c r="C18" s="139" t="s">
        <v>192</v>
      </c>
      <c r="D18" s="140">
        <f>3!D13</f>
        <v>56004794.95</v>
      </c>
    </row>
    <row r="19" spans="2:4" ht="12.75">
      <c r="B19" s="138" t="s">
        <v>106</v>
      </c>
      <c r="C19" s="139" t="s">
        <v>193</v>
      </c>
      <c r="D19" s="140">
        <f>3!D14+'Transf. y subv.'!E48</f>
        <v>28422790.08</v>
      </c>
    </row>
    <row r="20" spans="2:4" ht="12.75">
      <c r="B20" s="138" t="s">
        <v>107</v>
      </c>
      <c r="C20" s="139" t="s">
        <v>194</v>
      </c>
      <c r="D20" s="140">
        <f>3!D15</f>
        <v>909279.933</v>
      </c>
    </row>
    <row r="21" spans="2:4" ht="12.75">
      <c r="B21" s="141"/>
      <c r="C21" s="142"/>
      <c r="D21" s="143"/>
    </row>
    <row r="22" spans="2:4" ht="12.75">
      <c r="B22" s="144" t="s">
        <v>108</v>
      </c>
      <c r="C22" s="145"/>
      <c r="D22" s="146">
        <f>SUM(D16:D20)</f>
        <v>85336864.963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109</v>
      </c>
      <c r="C25" s="139" t="s">
        <v>195</v>
      </c>
      <c r="D25" s="143">
        <f>-'Inv. NO FIN'!H27</f>
        <v>0</v>
      </c>
    </row>
    <row r="26" spans="2:4" ht="12.75">
      <c r="B26" s="138" t="s">
        <v>110</v>
      </c>
      <c r="C26" s="139" t="s">
        <v>196</v>
      </c>
      <c r="D26" s="143">
        <f>'Transf. y subv.'!E20</f>
        <v>593850</v>
      </c>
    </row>
    <row r="27" spans="2:4" ht="12.75">
      <c r="B27" s="141"/>
      <c r="C27" s="142"/>
      <c r="D27" s="143"/>
    </row>
    <row r="28" spans="2:4" ht="12.75">
      <c r="B28" s="144" t="s">
        <v>111</v>
      </c>
      <c r="C28" s="145"/>
      <c r="D28" s="146">
        <f>SUM(D25:D26)</f>
        <v>593850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112</v>
      </c>
      <c r="C31" s="139" t="s">
        <v>197</v>
      </c>
      <c r="D31" s="140">
        <f>-'Inv. FIN'!G19-'Inv. FIN'!G26-'Inv. FIN'!G38-'Inv. FIN'!G45</f>
        <v>0</v>
      </c>
    </row>
    <row r="32" spans="2:4" ht="12.75">
      <c r="B32" s="138" t="s">
        <v>113</v>
      </c>
      <c r="C32" s="139" t="s">
        <v>198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114</v>
      </c>
      <c r="C34" s="145"/>
      <c r="D34" s="150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115</v>
      </c>
      <c r="D37" s="157">
        <f>D22+D28+D34</f>
        <v>85930714.963</v>
      </c>
      <c r="G37" s="710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543</v>
      </c>
      <c r="D39" s="197">
        <f>3!D35</f>
        <v>4130070.09</v>
      </c>
    </row>
    <row r="40" spans="2:4" ht="12.75">
      <c r="B40" s="161"/>
      <c r="C40" s="162"/>
      <c r="D40" s="163"/>
    </row>
    <row r="41" spans="2:4" ht="12.75">
      <c r="B41" s="154"/>
      <c r="C41" s="156" t="s">
        <v>115</v>
      </c>
      <c r="D41" s="157">
        <f>D37+D39</f>
        <v>90060785.053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1010" t="s">
        <v>101</v>
      </c>
      <c r="C44" s="1011"/>
      <c r="D44" s="1013"/>
    </row>
    <row r="45" spans="2:4" ht="12.75" customHeight="1" thickBot="1">
      <c r="B45" s="1005"/>
      <c r="C45" s="1006"/>
      <c r="D45" s="1014"/>
    </row>
    <row r="46" spans="2:4" ht="12.75">
      <c r="B46" s="151"/>
      <c r="C46" s="152"/>
      <c r="D46" s="153"/>
    </row>
    <row r="47" spans="2:4" ht="12.75">
      <c r="B47" s="138" t="s">
        <v>103</v>
      </c>
      <c r="C47" s="167" t="s">
        <v>117</v>
      </c>
      <c r="D47" s="168">
        <f>3!D45</f>
        <v>54556647.66</v>
      </c>
    </row>
    <row r="48" spans="2:4" ht="12.75">
      <c r="B48" s="138" t="s">
        <v>104</v>
      </c>
      <c r="C48" s="167" t="s">
        <v>118</v>
      </c>
      <c r="D48" s="168">
        <f>3!D46</f>
        <v>30021695.9</v>
      </c>
    </row>
    <row r="49" spans="2:4" ht="12.75">
      <c r="B49" s="138" t="s">
        <v>105</v>
      </c>
      <c r="C49" s="167" t="s">
        <v>469</v>
      </c>
      <c r="D49" s="168">
        <f>3!D47</f>
        <v>313099.8</v>
      </c>
    </row>
    <row r="50" spans="2:4" ht="12.75">
      <c r="B50" s="138" t="s">
        <v>106</v>
      </c>
      <c r="C50" s="167" t="s">
        <v>119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120</v>
      </c>
      <c r="C52" s="145"/>
      <c r="D52" s="150">
        <f>SUM(D47:D50)</f>
        <v>84891443.36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109</v>
      </c>
      <c r="C55" s="167" t="s">
        <v>122</v>
      </c>
      <c r="D55" s="168">
        <f>'Inv. NO FIN'!C27+'Inv. NO FIN'!E27</f>
        <v>1287824.8</v>
      </c>
    </row>
    <row r="56" spans="2:4" ht="12.75">
      <c r="B56" s="138" t="s">
        <v>110</v>
      </c>
      <c r="C56" s="167" t="s">
        <v>123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124</v>
      </c>
      <c r="C58" s="145"/>
      <c r="D58" s="150">
        <f>SUM(D55:D56)</f>
        <v>1287824.8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112</v>
      </c>
      <c r="C61" s="167" t="s">
        <v>126</v>
      </c>
      <c r="D61" s="168">
        <f>'Inv. FIN'!E19+'Inv. FIN'!E26+'Inv. FIN'!E38+'Inv. FIN'!E45</f>
        <v>0</v>
      </c>
    </row>
    <row r="62" spans="2:4" ht="12.75">
      <c r="B62" s="138" t="s">
        <v>113</v>
      </c>
      <c r="C62" s="167" t="s">
        <v>127</v>
      </c>
      <c r="D62" s="168">
        <f>'Deuda L.P.'!L29</f>
        <v>50000</v>
      </c>
    </row>
    <row r="63" spans="2:4" ht="12.75">
      <c r="B63" s="151"/>
      <c r="C63" s="152"/>
      <c r="D63" s="153"/>
    </row>
    <row r="64" spans="2:4" ht="12.75">
      <c r="B64" s="144" t="s">
        <v>128</v>
      </c>
      <c r="C64" s="145"/>
      <c r="D64" s="150">
        <f>SUM(D61:D62)</f>
        <v>50000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521</v>
      </c>
      <c r="D67" s="157">
        <f>D52+D58+D64</f>
        <v>86229268.16</v>
      </c>
      <c r="G67" s="710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544</v>
      </c>
      <c r="D69" s="194">
        <f>3!D68</f>
        <v>4554115.91</v>
      </c>
    </row>
    <row r="70" spans="2:4" ht="12.75">
      <c r="B70" s="161"/>
      <c r="C70" s="162"/>
      <c r="D70" s="163"/>
    </row>
    <row r="71" spans="2:4" ht="12.75">
      <c r="B71" s="154"/>
      <c r="C71" s="156" t="s">
        <v>521</v>
      </c>
      <c r="D71" s="157">
        <f>D67+D69</f>
        <v>90783384.07</v>
      </c>
    </row>
    <row r="72" spans="2:4" ht="13.5" thickBot="1">
      <c r="B72" s="164"/>
      <c r="C72" s="165"/>
      <c r="D72" s="166"/>
    </row>
    <row r="74" s="869" customFormat="1" ht="12.75" hidden="1">
      <c r="D74" s="870"/>
    </row>
    <row r="75" spans="2:5" s="869" customFormat="1" ht="17.25" customHeight="1" hidden="1">
      <c r="B75" s="869" t="s">
        <v>547</v>
      </c>
      <c r="C75" s="871" t="s">
        <v>415</v>
      </c>
      <c r="D75" s="872">
        <f>D41-D71</f>
        <v>-722599.0169999897</v>
      </c>
      <c r="E75" s="869" t="s">
        <v>551</v>
      </c>
    </row>
    <row r="76" s="869" customFormat="1" ht="12.75" hidden="1">
      <c r="D76" s="870"/>
    </row>
    <row r="77" spans="2:5" s="869" customFormat="1" ht="17.25" customHeight="1" hidden="1">
      <c r="B77" s="869" t="s">
        <v>548</v>
      </c>
      <c r="C77" s="869" t="s">
        <v>546</v>
      </c>
      <c r="D77" s="873">
        <f>D79+D84+D85+D86+D87</f>
        <v>722599.0125000039</v>
      </c>
      <c r="E77" s="869" t="s">
        <v>820</v>
      </c>
    </row>
    <row r="78" s="869" customFormat="1" ht="12.75" hidden="1">
      <c r="D78" s="870"/>
    </row>
    <row r="79" spans="3:4" s="869" customFormat="1" ht="19.5" customHeight="1" hidden="1">
      <c r="C79" s="869" t="s">
        <v>545</v>
      </c>
      <c r="D79" s="870">
        <f>SUM(D80:D83)</f>
        <v>4554115.91</v>
      </c>
    </row>
    <row r="80" spans="3:4" s="869" customFormat="1" ht="21.75" customHeight="1" hidden="1">
      <c r="C80" s="874" t="s">
        <v>822</v>
      </c>
      <c r="D80" s="870">
        <f>-'Inv. NO FIN'!D27</f>
        <v>0</v>
      </c>
    </row>
    <row r="81" spans="3:4" s="869" customFormat="1" ht="18.75" customHeight="1" hidden="1">
      <c r="C81" s="874" t="s">
        <v>90</v>
      </c>
      <c r="D81" s="870">
        <f>-'Inv. NO FIN'!F27</f>
        <v>4554115.91</v>
      </c>
    </row>
    <row r="82" spans="3:4" s="869" customFormat="1" ht="21" customHeight="1" hidden="1">
      <c r="C82" s="874" t="s">
        <v>794</v>
      </c>
      <c r="D82" s="870">
        <f>-'Inv. NO FIN'!G27</f>
        <v>0</v>
      </c>
    </row>
    <row r="83" spans="3:4" s="869" customFormat="1" ht="25.5" hidden="1">
      <c r="C83" s="874" t="s">
        <v>796</v>
      </c>
      <c r="D83" s="870">
        <f>-'Inv. NO FIN'!I27</f>
        <v>0</v>
      </c>
    </row>
    <row r="84" spans="3:4" s="869" customFormat="1" ht="19.5" customHeight="1" hidden="1">
      <c r="C84" s="869" t="s">
        <v>549</v>
      </c>
      <c r="D84" s="870">
        <f>-'Inv. FIN'!H19-'Inv. FIN'!H26-'Inv. FIN'!H38-'Inv. FIN'!H45</f>
        <v>0</v>
      </c>
    </row>
    <row r="85" spans="3:4" s="869" customFormat="1" ht="30" customHeight="1" hidden="1">
      <c r="C85" s="875" t="s">
        <v>550</v>
      </c>
      <c r="D85" s="870">
        <f>-(ACTIVO!D28-ACTIVO!C28)+ACTIVO!D42-ACTIVO!C42+ACTIVO!D43-ACTIVO!C43+0.01</f>
        <v>811236.7400000005</v>
      </c>
    </row>
    <row r="86" spans="3:5" s="869" customFormat="1" ht="19.5" customHeight="1" hidden="1">
      <c r="C86" s="869" t="s">
        <v>821</v>
      </c>
      <c r="D86" s="870">
        <f>'Transf. y subv.'!E21+'Transf. y subv.'!E22+'Transf. y subv.'!E23</f>
        <v>-3246015.0675</v>
      </c>
      <c r="E86" s="876" t="s">
        <v>553</v>
      </c>
    </row>
    <row r="87" spans="3:4" s="869" customFormat="1" ht="19.5" customHeight="1" hidden="1">
      <c r="C87" s="875" t="s">
        <v>734</v>
      </c>
      <c r="D87" s="870">
        <f>PASIVO!D33-PASIVO!C33+PASIVO!D48-PASIVO!C48+D62</f>
        <v>-1396738.5699999966</v>
      </c>
    </row>
    <row r="88" s="869" customFormat="1" ht="12.75" hidden="1">
      <c r="D88" s="870"/>
    </row>
    <row r="89" spans="3:4" s="869" customFormat="1" ht="12.75" hidden="1">
      <c r="C89" s="869" t="s">
        <v>552</v>
      </c>
      <c r="D89" s="870">
        <f>D75+D77</f>
        <v>-0.004499985836446285</v>
      </c>
    </row>
    <row r="90" s="869" customFormat="1" ht="12.75" hidden="1">
      <c r="D90" s="870"/>
    </row>
    <row r="91" s="869" customFormat="1" ht="12.75" hidden="1">
      <c r="D91" s="870"/>
    </row>
    <row r="92" s="869" customFormat="1" ht="12.75" hidden="1">
      <c r="D92" s="870"/>
    </row>
    <row r="93" s="869" customFormat="1" ht="12.75" hidden="1">
      <c r="D93" s="870"/>
    </row>
    <row r="94" s="869" customFormat="1" ht="12.75" hidden="1">
      <c r="D94" s="870"/>
    </row>
    <row r="95" s="869" customFormat="1" ht="12.75" hidden="1">
      <c r="D95" s="870"/>
    </row>
    <row r="96" s="869" customFormat="1" ht="12.75" hidden="1">
      <c r="D96" s="870"/>
    </row>
    <row r="97" s="869" customFormat="1" ht="12.75" hidden="1">
      <c r="D97" s="870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rgb="FFFFFF00"/>
    <pageSetUpPr fitToPage="1"/>
  </sheetPr>
  <dimension ref="A1:AG273"/>
  <sheetViews>
    <sheetView zoomScale="85" zoomScaleNormal="85" zoomScalePageLayoutView="0" workbookViewId="0" topLeftCell="A1">
      <selection activeCell="B4" sqref="B4"/>
    </sheetView>
  </sheetViews>
  <sheetFormatPr defaultColWidth="11.57421875" defaultRowHeight="12.75"/>
  <cols>
    <col min="1" max="1" width="73.57421875" style="420" customWidth="1"/>
    <col min="2" max="2" width="19.8515625" style="420" customWidth="1"/>
    <col min="3" max="3" width="19.28125" style="420" customWidth="1"/>
    <col min="4" max="4" width="20.7109375" style="420" customWidth="1"/>
    <col min="5" max="5" width="1.57421875" style="420" customWidth="1"/>
    <col min="6" max="6" width="14.57421875" style="419" hidden="1" customWidth="1"/>
    <col min="7" max="7" width="15.28125" style="419" hidden="1" customWidth="1"/>
    <col min="8" max="8" width="11.57421875" style="420" customWidth="1"/>
    <col min="9" max="10" width="0" style="877" hidden="1" customWidth="1"/>
    <col min="11" max="11" width="13.28125" style="877" hidden="1" customWidth="1"/>
    <col min="12" max="12" width="15.140625" style="877" hidden="1" customWidth="1"/>
    <col min="13" max="13" width="42.7109375" style="877" hidden="1" customWidth="1"/>
    <col min="14" max="14" width="16.00390625" style="877" hidden="1" customWidth="1"/>
    <col min="15" max="15" width="21.421875" style="877" hidden="1" customWidth="1"/>
    <col min="16" max="16" width="0" style="877" hidden="1" customWidth="1"/>
    <col min="17" max="17" width="37.8515625" style="877" hidden="1" customWidth="1"/>
    <col min="18" max="18" width="19.8515625" style="878" hidden="1" customWidth="1"/>
    <col min="19" max="19" width="0" style="877" hidden="1" customWidth="1"/>
    <col min="20" max="20" width="36.28125" style="877" hidden="1" customWidth="1"/>
    <col min="21" max="21" width="19.8515625" style="877" hidden="1" customWidth="1"/>
    <col min="22" max="22" width="17.8515625" style="877" hidden="1" customWidth="1"/>
    <col min="23" max="33" width="0" style="877" hidden="1" customWidth="1"/>
    <col min="34" max="16384" width="11.57421875" style="420" customWidth="1"/>
  </cols>
  <sheetData>
    <row r="1" ht="12.75">
      <c r="B1" s="808" t="s">
        <v>829</v>
      </c>
    </row>
    <row r="2" ht="12.75">
      <c r="B2" s="809" t="s">
        <v>830</v>
      </c>
    </row>
    <row r="4" spans="1:2" ht="12.75">
      <c r="A4" s="805" t="s">
        <v>678</v>
      </c>
      <c r="B4" s="810">
        <v>42339</v>
      </c>
    </row>
    <row r="5" spans="1:2" ht="12.75">
      <c r="A5" s="805" t="s">
        <v>828</v>
      </c>
      <c r="B5" s="811" t="s">
        <v>831</v>
      </c>
    </row>
    <row r="7" spans="1:6" ht="49.5" customHeight="1">
      <c r="A7" s="1054" t="s">
        <v>463</v>
      </c>
      <c r="B7" s="1055"/>
      <c r="C7" s="1056"/>
      <c r="D7" s="416">
        <v>2016</v>
      </c>
      <c r="E7" s="417"/>
      <c r="F7" s="418"/>
    </row>
    <row r="8" spans="1:21" ht="25.5" customHeight="1">
      <c r="A8" s="1051" t="s">
        <v>306</v>
      </c>
      <c r="B8" s="1052"/>
      <c r="C8" s="1053"/>
      <c r="D8" s="421" t="s">
        <v>89</v>
      </c>
      <c r="E8" s="422"/>
      <c r="F8" s="423"/>
      <c r="R8" s="878">
        <v>-12847146.64</v>
      </c>
      <c r="S8" s="877">
        <f>+R8*3%</f>
        <v>-385414.3992</v>
      </c>
      <c r="T8" s="877">
        <f>+S8+R8</f>
        <v>-13232561.0392</v>
      </c>
      <c r="U8" s="877">
        <f>+T8+13776000</f>
        <v>543438.9607999995</v>
      </c>
    </row>
    <row r="9" spans="1:24" ht="25.5" customHeight="1">
      <c r="A9" s="1008" t="s">
        <v>833</v>
      </c>
      <c r="B9" s="1050"/>
      <c r="C9" s="1050"/>
      <c r="D9" s="1050"/>
      <c r="E9" s="424"/>
      <c r="F9" s="425"/>
      <c r="R9" s="878">
        <v>-73000</v>
      </c>
      <c r="S9" s="877">
        <f>+R9*3%</f>
        <v>-2190</v>
      </c>
      <c r="T9" s="877">
        <f>+S9+R9</f>
        <v>-75190</v>
      </c>
      <c r="X9" s="881">
        <v>9844</v>
      </c>
    </row>
    <row r="10" spans="1:24" ht="31.5" customHeight="1">
      <c r="A10" s="426" t="s">
        <v>473</v>
      </c>
      <c r="B10" s="427" t="s">
        <v>49</v>
      </c>
      <c r="C10" s="428" t="s">
        <v>51</v>
      </c>
      <c r="D10" s="428" t="s">
        <v>50</v>
      </c>
      <c r="E10" s="429"/>
      <c r="F10" s="430" t="s">
        <v>413</v>
      </c>
      <c r="G10" s="430" t="s">
        <v>414</v>
      </c>
      <c r="R10" s="878">
        <f>+R9+R8</f>
        <v>-12920146.64</v>
      </c>
      <c r="T10" s="877">
        <f>+T9+T8</f>
        <v>-13307751.0392</v>
      </c>
      <c r="X10" s="881">
        <v>13776</v>
      </c>
    </row>
    <row r="11" spans="1:33" s="433" customFormat="1" ht="19.5" customHeight="1">
      <c r="A11" s="431" t="s">
        <v>507</v>
      </c>
      <c r="B11" s="594"/>
      <c r="C11" s="594"/>
      <c r="D11" s="594"/>
      <c r="E11" s="432"/>
      <c r="I11" s="881"/>
      <c r="J11" s="881"/>
      <c r="K11" s="881"/>
      <c r="L11" s="881"/>
      <c r="M11" s="881"/>
      <c r="N11" s="881"/>
      <c r="O11" s="881"/>
      <c r="P11" s="881"/>
      <c r="Q11" s="881"/>
      <c r="R11" s="881"/>
      <c r="S11" s="881"/>
      <c r="T11" s="881"/>
      <c r="U11" s="881"/>
      <c r="V11" s="881"/>
      <c r="W11" s="881"/>
      <c r="X11" s="881"/>
      <c r="Y11" s="881"/>
      <c r="Z11" s="881"/>
      <c r="AA11" s="881"/>
      <c r="AB11" s="881"/>
      <c r="AC11" s="881"/>
      <c r="AD11" s="881"/>
      <c r="AE11" s="881"/>
      <c r="AF11" s="881"/>
      <c r="AG11" s="881"/>
    </row>
    <row r="12" spans="1:33" s="433" customFormat="1" ht="19.5" customHeight="1">
      <c r="A12" s="434" t="s">
        <v>226</v>
      </c>
      <c r="B12" s="551">
        <f>B13+B19</f>
        <v>56324181.79</v>
      </c>
      <c r="C12" s="551">
        <f>C13+C19</f>
        <v>54687976.82</v>
      </c>
      <c r="D12" s="551">
        <f>D13+D19</f>
        <v>54674549.7</v>
      </c>
      <c r="E12" s="435"/>
      <c r="F12" s="436">
        <f>+C12-B12</f>
        <v>-1636204.9699999988</v>
      </c>
      <c r="G12" s="437">
        <f>+D12-C12</f>
        <v>-13427.119999997318</v>
      </c>
      <c r="I12" s="881"/>
      <c r="J12" s="881"/>
      <c r="K12" s="881"/>
      <c r="L12" s="881"/>
      <c r="M12" s="881"/>
      <c r="N12" s="881"/>
      <c r="O12" s="881"/>
      <c r="P12" s="881"/>
      <c r="Q12" s="881"/>
      <c r="R12" s="881"/>
      <c r="S12" s="881"/>
      <c r="T12" s="881"/>
      <c r="U12" s="881"/>
      <c r="V12" s="881"/>
      <c r="W12" s="881"/>
      <c r="X12" s="881"/>
      <c r="Y12" s="881"/>
      <c r="Z12" s="881"/>
      <c r="AA12" s="881"/>
      <c r="AB12" s="881"/>
      <c r="AC12" s="881"/>
      <c r="AD12" s="881"/>
      <c r="AE12" s="881"/>
      <c r="AF12" s="881"/>
      <c r="AG12" s="881"/>
    </row>
    <row r="13" spans="1:33" s="433" customFormat="1" ht="19.5" customHeight="1">
      <c r="A13" s="438" t="s">
        <v>474</v>
      </c>
      <c r="B13" s="552">
        <f>B14+B18</f>
        <v>55406959.66</v>
      </c>
      <c r="C13" s="552">
        <f>C14+C18</f>
        <v>53800989.3</v>
      </c>
      <c r="D13" s="552">
        <f>D14+D18</f>
        <v>53787562.18</v>
      </c>
      <c r="E13" s="439"/>
      <c r="F13" s="440"/>
      <c r="G13" s="441"/>
      <c r="I13" s="881"/>
      <c r="J13" s="881"/>
      <c r="K13" s="881"/>
      <c r="L13" s="881"/>
      <c r="M13" s="881"/>
      <c r="N13" s="881"/>
      <c r="O13" s="881"/>
      <c r="P13" s="881"/>
      <c r="Q13" s="883" t="s">
        <v>872</v>
      </c>
      <c r="R13" s="884">
        <v>-10094005</v>
      </c>
      <c r="S13" s="881"/>
      <c r="T13" s="881">
        <f>+R13</f>
        <v>-10094005</v>
      </c>
      <c r="U13" s="881"/>
      <c r="V13" s="881"/>
      <c r="W13" s="881">
        <v>477</v>
      </c>
      <c r="X13" s="881">
        <v>303</v>
      </c>
      <c r="Y13" s="881"/>
      <c r="Z13" s="881"/>
      <c r="AA13" s="881" t="s">
        <v>888</v>
      </c>
      <c r="AB13" s="884">
        <f>-R8</f>
        <v>12847146.64</v>
      </c>
      <c r="AC13" s="881"/>
      <c r="AD13" s="881"/>
      <c r="AE13" s="881"/>
      <c r="AF13" s="881"/>
      <c r="AG13" s="881"/>
    </row>
    <row r="14" spans="1:33" s="433" customFormat="1" ht="19.5" customHeight="1">
      <c r="A14" s="438" t="s">
        <v>508</v>
      </c>
      <c r="B14" s="552">
        <f>SUM(B15:B17)</f>
        <v>13339191.8</v>
      </c>
      <c r="C14" s="552">
        <f>SUM(C15:C17)</f>
        <v>13221035.97</v>
      </c>
      <c r="D14" s="552">
        <f>SUM(D15:D17)</f>
        <v>13221035.97</v>
      </c>
      <c r="E14" s="439"/>
      <c r="F14" s="440"/>
      <c r="G14" s="441"/>
      <c r="I14" s="881"/>
      <c r="J14" s="881"/>
      <c r="K14" s="881"/>
      <c r="L14" s="881"/>
      <c r="M14" s="881"/>
      <c r="N14" s="881"/>
      <c r="O14" s="881"/>
      <c r="P14" s="881"/>
      <c r="Q14" s="883" t="s">
        <v>872</v>
      </c>
      <c r="R14" s="884"/>
      <c r="S14" s="881"/>
      <c r="T14" s="881">
        <f>+R8</f>
        <v>-12847146.64</v>
      </c>
      <c r="U14" s="881"/>
      <c r="V14" s="881"/>
      <c r="W14" s="881"/>
      <c r="X14" s="881">
        <v>250</v>
      </c>
      <c r="Y14" s="881"/>
      <c r="Z14" s="881"/>
      <c r="AA14" s="881" t="s">
        <v>890</v>
      </c>
      <c r="AB14" s="881">
        <f>-R9</f>
        <v>73000</v>
      </c>
      <c r="AC14" s="881"/>
      <c r="AD14" s="881"/>
      <c r="AE14" s="881"/>
      <c r="AF14" s="881"/>
      <c r="AG14" s="881"/>
    </row>
    <row r="15" spans="1:33" s="433" customFormat="1" ht="19.5" customHeight="1">
      <c r="A15" s="438" t="s">
        <v>227</v>
      </c>
      <c r="B15" s="821">
        <v>13038302.47</v>
      </c>
      <c r="C15" s="549">
        <v>12920146.64</v>
      </c>
      <c r="D15" s="549">
        <v>12920146.64</v>
      </c>
      <c r="E15" s="439"/>
      <c r="F15" s="440"/>
      <c r="G15" s="441"/>
      <c r="I15" s="881">
        <f>O28+O29</f>
        <v>-14796496.97</v>
      </c>
      <c r="J15" s="881"/>
      <c r="K15" s="881">
        <f>+D15*3%</f>
        <v>387604.3992</v>
      </c>
      <c r="L15" s="881">
        <f>+K15+D15</f>
        <v>13307751.0392</v>
      </c>
      <c r="M15" s="881">
        <v>13615950</v>
      </c>
      <c r="N15" s="881"/>
      <c r="O15" s="881"/>
      <c r="P15" s="881"/>
      <c r="Q15" s="883" t="s">
        <v>873</v>
      </c>
      <c r="R15" s="884">
        <v>0</v>
      </c>
      <c r="S15" s="881"/>
      <c r="T15" s="881">
        <f>+S8</f>
        <v>-385414.3992</v>
      </c>
      <c r="U15" s="883"/>
      <c r="V15" s="883"/>
      <c r="W15" s="881"/>
      <c r="X15" s="881">
        <f>+X14+X13+X10+X9</f>
        <v>24173</v>
      </c>
      <c r="Y15" s="881">
        <v>24204</v>
      </c>
      <c r="Z15" s="881"/>
      <c r="AA15" s="881" t="s">
        <v>892</v>
      </c>
      <c r="AB15" s="884">
        <v>543058.53</v>
      </c>
      <c r="AC15" s="881"/>
      <c r="AD15" s="881"/>
      <c r="AE15" s="881"/>
      <c r="AF15" s="881"/>
      <c r="AG15" s="881"/>
    </row>
    <row r="16" spans="1:33" s="433" customFormat="1" ht="19.5" customHeight="1">
      <c r="A16" s="438" t="s">
        <v>229</v>
      </c>
      <c r="B16" s="821">
        <v>300889.33</v>
      </c>
      <c r="C16" s="549">
        <v>300889.33</v>
      </c>
      <c r="D16" s="549">
        <v>300889.33</v>
      </c>
      <c r="E16" s="439"/>
      <c r="F16" s="440"/>
      <c r="G16" s="441"/>
      <c r="I16" s="881"/>
      <c r="J16" s="881"/>
      <c r="K16" s="881"/>
      <c r="L16" s="881"/>
      <c r="M16" s="881"/>
      <c r="N16" s="881"/>
      <c r="O16" s="881"/>
      <c r="P16" s="881"/>
      <c r="Q16" s="883" t="s">
        <v>874</v>
      </c>
      <c r="R16" s="884">
        <v>0</v>
      </c>
      <c r="S16" s="881"/>
      <c r="T16" s="881">
        <f>-AB15</f>
        <v>-543058.53</v>
      </c>
      <c r="U16" s="883"/>
      <c r="V16" s="883"/>
      <c r="W16" s="881"/>
      <c r="X16" s="881"/>
      <c r="Y16" s="881">
        <f>+Y15-X15</f>
        <v>31</v>
      </c>
      <c r="Z16" s="881"/>
      <c r="AA16" s="881" t="s">
        <v>889</v>
      </c>
      <c r="AB16" s="881">
        <f>+AB13*3%</f>
        <v>385414.3992</v>
      </c>
      <c r="AC16" s="881"/>
      <c r="AD16" s="881"/>
      <c r="AE16" s="881"/>
      <c r="AF16" s="881"/>
      <c r="AG16" s="881"/>
    </row>
    <row r="17" spans="1:33" s="433" customFormat="1" ht="19.5" customHeight="1">
      <c r="A17" s="438" t="s">
        <v>230</v>
      </c>
      <c r="B17" s="549">
        <v>0</v>
      </c>
      <c r="C17" s="549">
        <v>0</v>
      </c>
      <c r="D17" s="549">
        <v>0</v>
      </c>
      <c r="E17" s="439"/>
      <c r="F17" s="440"/>
      <c r="G17" s="441"/>
      <c r="H17" s="433" t="s">
        <v>228</v>
      </c>
      <c r="I17" s="881"/>
      <c r="J17" s="881"/>
      <c r="K17" s="881"/>
      <c r="L17" s="881"/>
      <c r="M17" s="881"/>
      <c r="N17" s="881"/>
      <c r="O17" s="881"/>
      <c r="P17" s="881"/>
      <c r="Q17" s="883" t="s">
        <v>875</v>
      </c>
      <c r="R17" s="884">
        <v>0</v>
      </c>
      <c r="S17" s="881"/>
      <c r="T17" s="881">
        <f>-AB18</f>
        <v>-303000</v>
      </c>
      <c r="U17" s="883"/>
      <c r="V17" s="883"/>
      <c r="W17" s="881"/>
      <c r="X17" s="881"/>
      <c r="Y17" s="881"/>
      <c r="Z17" s="881"/>
      <c r="AA17" s="881" t="s">
        <v>891</v>
      </c>
      <c r="AB17" s="881">
        <f>+AB14*3%</f>
        <v>2190</v>
      </c>
      <c r="AC17" s="881"/>
      <c r="AD17" s="881"/>
      <c r="AE17" s="881"/>
      <c r="AF17" s="881"/>
      <c r="AG17" s="881"/>
    </row>
    <row r="18" spans="1:33" s="433" customFormat="1" ht="19.5" customHeight="1">
      <c r="A18" s="438" t="s">
        <v>510</v>
      </c>
      <c r="B18" s="822">
        <f>55406959.66-B16-B15</f>
        <v>42067767.86</v>
      </c>
      <c r="C18" s="549">
        <v>40579953.33</v>
      </c>
      <c r="D18" s="549">
        <v>40566526.21</v>
      </c>
      <c r="E18" s="439"/>
      <c r="F18" s="440"/>
      <c r="G18" s="441"/>
      <c r="I18" s="881"/>
      <c r="J18" s="881"/>
      <c r="K18" s="881"/>
      <c r="L18" s="881"/>
      <c r="M18" s="881"/>
      <c r="N18" s="881"/>
      <c r="O18" s="881"/>
      <c r="P18" s="881"/>
      <c r="Q18" s="883" t="s">
        <v>876</v>
      </c>
      <c r="R18" s="884">
        <v>-14412</v>
      </c>
      <c r="S18" s="881"/>
      <c r="T18" s="883"/>
      <c r="U18" s="883"/>
      <c r="V18" s="883"/>
      <c r="W18" s="881"/>
      <c r="X18" s="881"/>
      <c r="Y18" s="881"/>
      <c r="Z18" s="881"/>
      <c r="AA18" s="881" t="s">
        <v>893</v>
      </c>
      <c r="AB18" s="884">
        <v>303000</v>
      </c>
      <c r="AC18" s="881"/>
      <c r="AD18" s="881"/>
      <c r="AE18" s="881"/>
      <c r="AF18" s="881"/>
      <c r="AG18" s="881"/>
    </row>
    <row r="19" spans="1:33" s="433" customFormat="1" ht="19.5" customHeight="1">
      <c r="A19" s="438" t="s">
        <v>231</v>
      </c>
      <c r="B19" s="552">
        <f>B20+B24</f>
        <v>917222.13</v>
      </c>
      <c r="C19" s="552">
        <f>C20+C24</f>
        <v>886987.52</v>
      </c>
      <c r="D19" s="552">
        <f>D20+D24</f>
        <v>886987.52</v>
      </c>
      <c r="E19" s="439"/>
      <c r="F19" s="440">
        <f aca="true" t="shared" si="0" ref="F19:F24">+C19-B19</f>
        <v>-30234.609999999986</v>
      </c>
      <c r="G19" s="441">
        <f aca="true" t="shared" si="1" ref="G19:G24">-D19-C19</f>
        <v>-1773975.04</v>
      </c>
      <c r="I19" s="881"/>
      <c r="J19" s="881"/>
      <c r="K19" s="881"/>
      <c r="L19" s="881"/>
      <c r="M19" s="881"/>
      <c r="N19" s="881"/>
      <c r="O19" s="881"/>
      <c r="P19" s="881"/>
      <c r="Q19" s="883" t="s">
        <v>877</v>
      </c>
      <c r="R19" s="884">
        <v>0</v>
      </c>
      <c r="S19" s="881"/>
      <c r="T19" s="883"/>
      <c r="U19" s="883"/>
      <c r="V19" s="883"/>
      <c r="W19" s="881"/>
      <c r="X19" s="881"/>
      <c r="Y19" s="881"/>
      <c r="Z19" s="881"/>
      <c r="AA19" s="881" t="s">
        <v>894</v>
      </c>
      <c r="AB19" s="884">
        <v>250000</v>
      </c>
      <c r="AC19" s="881"/>
      <c r="AD19" s="881"/>
      <c r="AE19" s="881"/>
      <c r="AF19" s="881"/>
      <c r="AG19" s="881"/>
    </row>
    <row r="20" spans="1:33" s="433" customFormat="1" ht="19.5" customHeight="1">
      <c r="A20" s="438" t="s">
        <v>511</v>
      </c>
      <c r="B20" s="552">
        <f>SUM(B21:B23)</f>
        <v>894903.95</v>
      </c>
      <c r="C20" s="552">
        <f>SUM(C21:C23)</f>
        <v>792753.56</v>
      </c>
      <c r="D20" s="552">
        <f>SUM(D21:D23)</f>
        <v>792753.56</v>
      </c>
      <c r="E20" s="442"/>
      <c r="F20" s="440">
        <f t="shared" si="0"/>
        <v>-102150.3899999999</v>
      </c>
      <c r="G20" s="441">
        <f t="shared" si="1"/>
        <v>-1585507.12</v>
      </c>
      <c r="I20" s="881"/>
      <c r="J20" s="881"/>
      <c r="K20" s="881"/>
      <c r="L20" s="881"/>
      <c r="M20" s="881"/>
      <c r="N20" s="881"/>
      <c r="O20" s="881"/>
      <c r="P20" s="881"/>
      <c r="Q20" s="883" t="s">
        <v>878</v>
      </c>
      <c r="R20" s="884">
        <v>-1279842</v>
      </c>
      <c r="S20" s="881"/>
      <c r="T20" s="883"/>
      <c r="U20" s="883"/>
      <c r="V20" s="883"/>
      <c r="W20" s="881"/>
      <c r="X20" s="881"/>
      <c r="Y20" s="881"/>
      <c r="Z20" s="881"/>
      <c r="AA20" s="881" t="s">
        <v>895</v>
      </c>
      <c r="AB20" s="884">
        <v>10230000</v>
      </c>
      <c r="AC20" s="881"/>
      <c r="AD20" s="881"/>
      <c r="AE20" s="881"/>
      <c r="AF20" s="881"/>
      <c r="AG20" s="881"/>
    </row>
    <row r="21" spans="1:33" s="433" customFormat="1" ht="19.5" customHeight="1">
      <c r="A21" s="438" t="s">
        <v>232</v>
      </c>
      <c r="B21" s="822">
        <v>34782.08</v>
      </c>
      <c r="C21" s="549">
        <v>0</v>
      </c>
      <c r="D21" s="549">
        <v>0</v>
      </c>
      <c r="E21" s="442"/>
      <c r="F21" s="440">
        <f t="shared" si="0"/>
        <v>-34782.08</v>
      </c>
      <c r="G21" s="441">
        <f t="shared" si="1"/>
        <v>0</v>
      </c>
      <c r="I21" s="881"/>
      <c r="J21" s="881"/>
      <c r="K21" s="881"/>
      <c r="L21" s="881"/>
      <c r="M21" s="881"/>
      <c r="N21" s="881"/>
      <c r="O21" s="881"/>
      <c r="P21" s="881"/>
      <c r="Q21" s="883" t="s">
        <v>879</v>
      </c>
      <c r="R21" s="884">
        <v>-689857.2</v>
      </c>
      <c r="S21" s="881"/>
      <c r="T21" s="883"/>
      <c r="U21" s="883"/>
      <c r="V21" s="883"/>
      <c r="W21" s="881"/>
      <c r="X21" s="881"/>
      <c r="Y21" s="881"/>
      <c r="Z21" s="881"/>
      <c r="AA21" s="881"/>
      <c r="AB21" s="881"/>
      <c r="AC21" s="881"/>
      <c r="AD21" s="881"/>
      <c r="AE21" s="881"/>
      <c r="AF21" s="881"/>
      <c r="AG21" s="881"/>
    </row>
    <row r="22" spans="1:33" s="433" customFormat="1" ht="19.5" customHeight="1">
      <c r="A22" s="438" t="s">
        <v>233</v>
      </c>
      <c r="B22" s="822">
        <v>838929.51</v>
      </c>
      <c r="C22" s="549">
        <v>792753.56</v>
      </c>
      <c r="D22" s="549">
        <v>792753.56</v>
      </c>
      <c r="E22" s="442"/>
      <c r="F22" s="440">
        <f t="shared" si="0"/>
        <v>-46175.94999999995</v>
      </c>
      <c r="G22" s="441">
        <f t="shared" si="1"/>
        <v>-1585507.12</v>
      </c>
      <c r="I22" s="881"/>
      <c r="J22" s="881"/>
      <c r="K22" s="881"/>
      <c r="L22" s="881"/>
      <c r="M22" s="881"/>
      <c r="N22" s="881"/>
      <c r="O22" s="881"/>
      <c r="P22" s="881"/>
      <c r="Q22" s="883" t="s">
        <v>880</v>
      </c>
      <c r="R22" s="884">
        <v>-691578.8</v>
      </c>
      <c r="S22" s="881"/>
      <c r="T22" s="883"/>
      <c r="U22" s="883"/>
      <c r="V22" s="883"/>
      <c r="W22" s="881"/>
      <c r="X22" s="881"/>
      <c r="Y22" s="881"/>
      <c r="Z22" s="881"/>
      <c r="AA22" s="881"/>
      <c r="AB22" s="881">
        <f>+AB19+AB18+AB15+AB13+AB20</f>
        <v>24173205.17</v>
      </c>
      <c r="AC22" s="881">
        <f>+AB22/1000</f>
        <v>24173.20517</v>
      </c>
      <c r="AD22" s="881"/>
      <c r="AE22" s="881"/>
      <c r="AF22" s="881"/>
      <c r="AG22" s="881"/>
    </row>
    <row r="23" spans="1:33" s="433" customFormat="1" ht="19.5" customHeight="1">
      <c r="A23" s="438" t="s">
        <v>234</v>
      </c>
      <c r="B23" s="822">
        <v>21192.36</v>
      </c>
      <c r="C23" s="549">
        <v>0</v>
      </c>
      <c r="D23" s="549"/>
      <c r="E23" s="442"/>
      <c r="F23" s="440">
        <f t="shared" si="0"/>
        <v>-21192.36</v>
      </c>
      <c r="G23" s="441">
        <f t="shared" si="1"/>
        <v>0</v>
      </c>
      <c r="I23" s="881"/>
      <c r="J23" s="881"/>
      <c r="K23" s="881"/>
      <c r="L23" s="881"/>
      <c r="M23" s="881"/>
      <c r="N23" s="881"/>
      <c r="O23" s="881"/>
      <c r="P23" s="881"/>
      <c r="Q23" s="883" t="s">
        <v>881</v>
      </c>
      <c r="R23" s="884">
        <v>-658058.4</v>
      </c>
      <c r="S23" s="881"/>
      <c r="T23" s="883"/>
      <c r="U23" s="883"/>
      <c r="V23" s="883"/>
      <c r="W23" s="881"/>
      <c r="X23" s="881"/>
      <c r="Y23" s="881"/>
      <c r="Z23" s="881"/>
      <c r="AA23" s="881"/>
      <c r="AB23" s="881"/>
      <c r="AC23" s="881">
        <f>+AB30-AC22</f>
        <v>-0.20517000000108965</v>
      </c>
      <c r="AD23" s="881"/>
      <c r="AE23" s="881"/>
      <c r="AF23" s="881"/>
      <c r="AG23" s="881"/>
    </row>
    <row r="24" spans="1:33" s="433" customFormat="1" ht="19.5" customHeight="1">
      <c r="A24" s="438" t="s">
        <v>512</v>
      </c>
      <c r="B24" s="822">
        <f>917222.13-B20</f>
        <v>22318.18000000005</v>
      </c>
      <c r="C24" s="549">
        <v>94233.96</v>
      </c>
      <c r="D24" s="549">
        <v>94233.96</v>
      </c>
      <c r="E24" s="442"/>
      <c r="F24" s="440">
        <f t="shared" si="0"/>
        <v>71915.77999999996</v>
      </c>
      <c r="G24" s="441">
        <f t="shared" si="1"/>
        <v>-188467.92</v>
      </c>
      <c r="I24" s="881"/>
      <c r="J24" s="881"/>
      <c r="K24" s="881"/>
      <c r="L24" s="881"/>
      <c r="M24" s="881"/>
      <c r="N24" s="881"/>
      <c r="O24" s="881"/>
      <c r="P24" s="881"/>
      <c r="Q24" s="883" t="s">
        <v>882</v>
      </c>
      <c r="R24" s="884">
        <v>-452577.21</v>
      </c>
      <c r="S24" s="881"/>
      <c r="T24" s="883"/>
      <c r="U24" s="883"/>
      <c r="V24" s="883"/>
      <c r="W24" s="881"/>
      <c r="X24" s="881"/>
      <c r="Y24" s="881"/>
      <c r="Z24" s="881"/>
      <c r="AA24" s="881"/>
      <c r="AB24" s="881"/>
      <c r="AC24" s="881"/>
      <c r="AD24" s="881"/>
      <c r="AE24" s="881"/>
      <c r="AF24" s="881"/>
      <c r="AG24" s="881"/>
    </row>
    <row r="25" spans="1:33" s="433" customFormat="1" ht="27.75" customHeight="1">
      <c r="A25" s="443" t="s">
        <v>774</v>
      </c>
      <c r="B25" s="551">
        <f>SUM(B26:B27)</f>
        <v>0</v>
      </c>
      <c r="C25" s="551">
        <f>SUM(C26:C27)</f>
        <v>0</v>
      </c>
      <c r="D25" s="551">
        <f>SUM(D26:D27)</f>
        <v>0</v>
      </c>
      <c r="E25" s="444"/>
      <c r="F25" s="445"/>
      <c r="G25" s="441"/>
      <c r="I25" s="881"/>
      <c r="J25" s="881"/>
      <c r="K25" s="881"/>
      <c r="L25" s="881"/>
      <c r="M25" s="881"/>
      <c r="N25" s="881"/>
      <c r="O25" s="881"/>
      <c r="P25" s="881"/>
      <c r="Q25" s="883" t="s">
        <v>882</v>
      </c>
      <c r="R25" s="884"/>
      <c r="S25" s="881"/>
      <c r="T25" s="883"/>
      <c r="U25" s="883"/>
      <c r="V25" s="883"/>
      <c r="W25" s="881"/>
      <c r="X25" s="881"/>
      <c r="Y25" s="881"/>
      <c r="Z25" s="881"/>
      <c r="AA25" s="881"/>
      <c r="AB25" s="881"/>
      <c r="AC25" s="881"/>
      <c r="AD25" s="881"/>
      <c r="AE25" s="881"/>
      <c r="AF25" s="881"/>
      <c r="AG25" s="881"/>
    </row>
    <row r="26" spans="1:33" s="433" customFormat="1" ht="18" customHeight="1">
      <c r="A26" s="438" t="s">
        <v>84</v>
      </c>
      <c r="B26" s="549">
        <v>0</v>
      </c>
      <c r="C26" s="549">
        <v>0</v>
      </c>
      <c r="D26" s="549">
        <v>0</v>
      </c>
      <c r="E26" s="444"/>
      <c r="F26" s="445"/>
      <c r="G26" s="441"/>
      <c r="I26" s="881"/>
      <c r="J26" s="881"/>
      <c r="K26" s="885" t="s">
        <v>356</v>
      </c>
      <c r="L26" s="885" t="s">
        <v>357</v>
      </c>
      <c r="M26" s="885" t="s">
        <v>358</v>
      </c>
      <c r="N26" s="885" t="s">
        <v>359</v>
      </c>
      <c r="O26" s="886"/>
      <c r="P26" s="881"/>
      <c r="Q26" s="883" t="s">
        <v>883</v>
      </c>
      <c r="R26" s="881">
        <v>0</v>
      </c>
      <c r="S26" s="881"/>
      <c r="T26" s="883"/>
      <c r="U26" s="883"/>
      <c r="V26" s="883"/>
      <c r="W26" s="881"/>
      <c r="X26" s="881"/>
      <c r="Y26" s="881"/>
      <c r="Z26" s="881"/>
      <c r="AA26" s="881"/>
      <c r="AB26" s="887">
        <v>9844</v>
      </c>
      <c r="AC26" s="881"/>
      <c r="AD26" s="881"/>
      <c r="AE26" s="881"/>
      <c r="AF26" s="881"/>
      <c r="AG26" s="881"/>
    </row>
    <row r="27" spans="1:33" s="433" customFormat="1" ht="18" customHeight="1">
      <c r="A27" s="438" t="s">
        <v>85</v>
      </c>
      <c r="B27" s="549">
        <v>0</v>
      </c>
      <c r="C27" s="727">
        <v>0</v>
      </c>
      <c r="D27" s="995">
        <v>0</v>
      </c>
      <c r="E27" s="444"/>
      <c r="F27" s="445"/>
      <c r="G27" s="441"/>
      <c r="I27" s="881"/>
      <c r="J27" s="881"/>
      <c r="K27" s="888">
        <v>740</v>
      </c>
      <c r="L27" s="888" t="s">
        <v>360</v>
      </c>
      <c r="M27" s="889" t="s">
        <v>361</v>
      </c>
      <c r="N27" s="888" t="s">
        <v>362</v>
      </c>
      <c r="O27" s="890">
        <v>-10625966.24</v>
      </c>
      <c r="P27" s="881"/>
      <c r="Q27" s="883" t="s">
        <v>884</v>
      </c>
      <c r="R27" s="881">
        <v>-12142954</v>
      </c>
      <c r="S27" s="881"/>
      <c r="T27" s="883"/>
      <c r="U27" s="883"/>
      <c r="V27" s="883"/>
      <c r="W27" s="881"/>
      <c r="X27" s="881"/>
      <c r="Y27" s="881"/>
      <c r="Z27" s="881"/>
      <c r="AA27" s="881"/>
      <c r="AB27" s="887">
        <v>13776</v>
      </c>
      <c r="AC27" s="881"/>
      <c r="AD27" s="881"/>
      <c r="AE27" s="881"/>
      <c r="AF27" s="881"/>
      <c r="AG27" s="881"/>
    </row>
    <row r="28" spans="1:33" s="433" customFormat="1" ht="25.5" customHeight="1">
      <c r="A28" s="443" t="s">
        <v>235</v>
      </c>
      <c r="B28" s="548">
        <v>0</v>
      </c>
      <c r="C28" s="548"/>
      <c r="D28" s="548"/>
      <c r="E28" s="444"/>
      <c r="F28" s="445"/>
      <c r="G28" s="441"/>
      <c r="I28" s="881"/>
      <c r="J28" s="881"/>
      <c r="K28" s="891">
        <v>700</v>
      </c>
      <c r="L28" s="891" t="s">
        <v>360</v>
      </c>
      <c r="M28" s="892" t="s">
        <v>363</v>
      </c>
      <c r="N28" s="891" t="s">
        <v>362</v>
      </c>
      <c r="O28" s="879">
        <v>-13182358.99</v>
      </c>
      <c r="P28" s="881"/>
      <c r="Q28" s="883" t="s">
        <v>885</v>
      </c>
      <c r="R28" s="881">
        <v>-284152.56</v>
      </c>
      <c r="S28" s="881"/>
      <c r="T28" s="883"/>
      <c r="U28" s="883"/>
      <c r="V28" s="883"/>
      <c r="W28" s="881"/>
      <c r="X28" s="881"/>
      <c r="Y28" s="881"/>
      <c r="Z28" s="881"/>
      <c r="AA28" s="881"/>
      <c r="AB28" s="887">
        <v>303</v>
      </c>
      <c r="AC28" s="881"/>
      <c r="AD28" s="881"/>
      <c r="AE28" s="881"/>
      <c r="AF28" s="881"/>
      <c r="AG28" s="881"/>
    </row>
    <row r="29" spans="1:33" s="433" customFormat="1" ht="19.5" customHeight="1">
      <c r="A29" s="446" t="s">
        <v>236</v>
      </c>
      <c r="B29" s="551">
        <f>SUM(B30:B33)</f>
        <v>-16571766.5</v>
      </c>
      <c r="C29" s="551">
        <f>SUM(C30:C33)</f>
        <v>-15572598.69</v>
      </c>
      <c r="D29" s="551">
        <f>SUM(D30:D33)</f>
        <v>-15292734.56</v>
      </c>
      <c r="E29" s="444"/>
      <c r="F29" s="436">
        <f>+C29-B29</f>
        <v>999167.8100000005</v>
      </c>
      <c r="G29" s="437">
        <f>+D29-C29</f>
        <v>279864.12999999896</v>
      </c>
      <c r="I29" s="881"/>
      <c r="J29" s="881"/>
      <c r="K29" s="891">
        <v>700</v>
      </c>
      <c r="L29" s="891" t="s">
        <v>360</v>
      </c>
      <c r="M29" s="892" t="s">
        <v>363</v>
      </c>
      <c r="N29" s="891" t="s">
        <v>362</v>
      </c>
      <c r="O29" s="879">
        <v>-1614137.98</v>
      </c>
      <c r="P29" s="881"/>
      <c r="Q29" s="883" t="s">
        <v>886</v>
      </c>
      <c r="R29" s="881">
        <v>-807804</v>
      </c>
      <c r="S29" s="881"/>
      <c r="T29" s="883"/>
      <c r="U29" s="883"/>
      <c r="V29" s="883"/>
      <c r="W29" s="881"/>
      <c r="X29" s="881"/>
      <c r="Y29" s="881"/>
      <c r="Z29" s="881"/>
      <c r="AA29" s="881"/>
      <c r="AB29" s="887">
        <v>250</v>
      </c>
      <c r="AC29" s="881"/>
      <c r="AD29" s="881"/>
      <c r="AE29" s="881"/>
      <c r="AF29" s="881"/>
      <c r="AG29" s="881"/>
    </row>
    <row r="30" spans="1:33" s="433" customFormat="1" ht="19.5" customHeight="1">
      <c r="A30" s="438" t="s">
        <v>237</v>
      </c>
      <c r="B30" s="821">
        <v>0</v>
      </c>
      <c r="C30" s="549">
        <v>0</v>
      </c>
      <c r="D30" s="549">
        <v>0</v>
      </c>
      <c r="E30" s="442"/>
      <c r="F30" s="447"/>
      <c r="G30" s="441"/>
      <c r="I30" s="881"/>
      <c r="J30" s="881"/>
      <c r="K30" s="888">
        <v>740</v>
      </c>
      <c r="L30" s="888" t="s">
        <v>360</v>
      </c>
      <c r="M30" s="889" t="s">
        <v>361</v>
      </c>
      <c r="N30" s="888" t="s">
        <v>362</v>
      </c>
      <c r="O30" s="890">
        <v>-565967.38</v>
      </c>
      <c r="P30" s="881"/>
      <c r="Q30" s="883"/>
      <c r="R30" s="881"/>
      <c r="S30" s="881"/>
      <c r="T30" s="883"/>
      <c r="U30" s="883"/>
      <c r="V30" s="883"/>
      <c r="W30" s="881"/>
      <c r="X30" s="881"/>
      <c r="Y30" s="881"/>
      <c r="Z30" s="881">
        <f>+T17+T16+T15+T14+T13</f>
        <v>-24172624.5692</v>
      </c>
      <c r="AA30" s="881">
        <f>+Z30/1000</f>
        <v>-24172.6245692</v>
      </c>
      <c r="AB30" s="881">
        <f>+AB29+AB28+AB27+AB26</f>
        <v>24173</v>
      </c>
      <c r="AC30" s="881">
        <f>+AB30-Z30</f>
        <v>24196797.5692</v>
      </c>
      <c r="AD30" s="881"/>
      <c r="AE30" s="881"/>
      <c r="AF30" s="881"/>
      <c r="AG30" s="881"/>
    </row>
    <row r="31" spans="1:33" s="433" customFormat="1" ht="19.5" customHeight="1">
      <c r="A31" s="438" t="s">
        <v>238</v>
      </c>
      <c r="B31" s="821">
        <v>-16468431.12</v>
      </c>
      <c r="C31" s="549">
        <v>-15572598.69</v>
      </c>
      <c r="D31" s="549">
        <v>-15292734.56</v>
      </c>
      <c r="E31" s="442"/>
      <c r="F31" s="447"/>
      <c r="G31" s="441"/>
      <c r="I31" s="881"/>
      <c r="J31" s="881"/>
      <c r="K31" s="891">
        <v>477</v>
      </c>
      <c r="L31" s="891" t="s">
        <v>364</v>
      </c>
      <c r="M31" s="892" t="s">
        <v>365</v>
      </c>
      <c r="N31" s="891" t="s">
        <v>362</v>
      </c>
      <c r="O31" s="879">
        <v>-395470.77</v>
      </c>
      <c r="P31" s="881"/>
      <c r="Q31" s="883" t="s">
        <v>340</v>
      </c>
      <c r="R31" s="881">
        <v>0</v>
      </c>
      <c r="S31" s="881"/>
      <c r="T31" s="883"/>
      <c r="U31" s="883"/>
      <c r="V31" s="883"/>
      <c r="W31" s="881"/>
      <c r="X31" s="881"/>
      <c r="Y31" s="881"/>
      <c r="Z31" s="881"/>
      <c r="AA31" s="881">
        <v>23923</v>
      </c>
      <c r="AB31" s="881"/>
      <c r="AC31" s="881"/>
      <c r="AD31" s="881"/>
      <c r="AE31" s="881"/>
      <c r="AF31" s="881"/>
      <c r="AG31" s="881"/>
    </row>
    <row r="32" spans="1:33" s="433" customFormat="1" ht="19.5" customHeight="1">
      <c r="A32" s="438" t="s">
        <v>239</v>
      </c>
      <c r="B32" s="821">
        <v>0</v>
      </c>
      <c r="C32" s="549">
        <v>0</v>
      </c>
      <c r="D32" s="549">
        <v>0</v>
      </c>
      <c r="E32" s="442"/>
      <c r="F32" s="440">
        <f>+C32-B32</f>
        <v>0</v>
      </c>
      <c r="G32" s="441">
        <f>-D32-C32</f>
        <v>0</v>
      </c>
      <c r="I32" s="881"/>
      <c r="J32" s="881"/>
      <c r="K32" s="891">
        <v>4708</v>
      </c>
      <c r="L32" s="891" t="s">
        <v>364</v>
      </c>
      <c r="M32" s="892" t="s">
        <v>366</v>
      </c>
      <c r="N32" s="891" t="s">
        <v>362</v>
      </c>
      <c r="O32" s="879">
        <v>-1536373.36</v>
      </c>
      <c r="P32" s="881"/>
      <c r="Q32" s="881" t="s">
        <v>887</v>
      </c>
      <c r="R32" s="881">
        <v>-1197548.9100000001</v>
      </c>
      <c r="S32" s="881"/>
      <c r="T32" s="883"/>
      <c r="U32" s="883"/>
      <c r="V32" s="883"/>
      <c r="W32" s="881"/>
      <c r="X32" s="881"/>
      <c r="Y32" s="881"/>
      <c r="Z32" s="881"/>
      <c r="AA32" s="881">
        <v>250</v>
      </c>
      <c r="AB32" s="881"/>
      <c r="AC32" s="881"/>
      <c r="AD32" s="881"/>
      <c r="AE32" s="881"/>
      <c r="AF32" s="881"/>
      <c r="AG32" s="881"/>
    </row>
    <row r="33" spans="1:33" s="433" customFormat="1" ht="19.5" customHeight="1">
      <c r="A33" s="438" t="s">
        <v>240</v>
      </c>
      <c r="B33" s="821">
        <v>-103335.38</v>
      </c>
      <c r="C33" s="549">
        <v>0</v>
      </c>
      <c r="D33" s="549">
        <v>0</v>
      </c>
      <c r="E33" s="442"/>
      <c r="F33" s="447"/>
      <c r="G33" s="441"/>
      <c r="I33" s="881"/>
      <c r="J33" s="881"/>
      <c r="K33" s="891" t="s">
        <v>367</v>
      </c>
      <c r="L33" s="891" t="s">
        <v>364</v>
      </c>
      <c r="M33" s="892" t="s">
        <v>368</v>
      </c>
      <c r="N33" s="891" t="s">
        <v>362</v>
      </c>
      <c r="O33" s="879">
        <v>-593850</v>
      </c>
      <c r="P33" s="881"/>
      <c r="Q33" s="881"/>
      <c r="R33" s="883">
        <f>SUM(R13:R32)</f>
        <v>-28312790.08</v>
      </c>
      <c r="S33" s="881"/>
      <c r="T33" s="883"/>
      <c r="U33" s="883"/>
      <c r="V33" s="883"/>
      <c r="W33" s="881"/>
      <c r="X33" s="881"/>
      <c r="Y33" s="881"/>
      <c r="Z33" s="881"/>
      <c r="AA33" s="881">
        <f>+AA32+AA31</f>
        <v>24173</v>
      </c>
      <c r="AB33" s="881"/>
      <c r="AC33" s="881"/>
      <c r="AD33" s="881"/>
      <c r="AE33" s="881"/>
      <c r="AF33" s="881"/>
      <c r="AG33" s="881"/>
    </row>
    <row r="34" spans="1:33" s="433" customFormat="1" ht="19.5" customHeight="1">
      <c r="A34" s="443" t="s">
        <v>241</v>
      </c>
      <c r="B34" s="551">
        <f>B35+B39</f>
        <v>22094550.02</v>
      </c>
      <c r="C34" s="551">
        <f>C35+C39</f>
        <v>25587682.490000002</v>
      </c>
      <c r="D34" s="551">
        <f>D35+D39</f>
        <v>30353815.262999997</v>
      </c>
      <c r="E34" s="435"/>
      <c r="F34" s="436">
        <f>+C34-B34</f>
        <v>3493132.4700000025</v>
      </c>
      <c r="G34" s="437">
        <f>+D34-C34</f>
        <v>4766132.772999994</v>
      </c>
      <c r="I34" s="881"/>
      <c r="J34" s="881"/>
      <c r="K34" s="891">
        <v>740</v>
      </c>
      <c r="L34" s="891" t="s">
        <v>360</v>
      </c>
      <c r="M34" s="892" t="s">
        <v>361</v>
      </c>
      <c r="N34" s="891" t="s">
        <v>362</v>
      </c>
      <c r="O34" s="890">
        <v>-3333749.64</v>
      </c>
      <c r="P34" s="881"/>
      <c r="Q34" s="881"/>
      <c r="R34" s="883"/>
      <c r="S34" s="881"/>
      <c r="T34" s="881"/>
      <c r="U34" s="881"/>
      <c r="V34" s="881"/>
      <c r="W34" s="881"/>
      <c r="X34" s="881"/>
      <c r="Y34" s="881"/>
      <c r="Z34" s="881"/>
      <c r="AA34" s="881"/>
      <c r="AB34" s="881"/>
      <c r="AC34" s="881"/>
      <c r="AD34" s="881"/>
      <c r="AE34" s="881"/>
      <c r="AF34" s="881"/>
      <c r="AG34" s="881"/>
    </row>
    <row r="35" spans="1:33" s="433" customFormat="1" ht="19.5" customHeight="1">
      <c r="A35" s="438" t="s">
        <v>242</v>
      </c>
      <c r="B35" s="552">
        <f>SUM(B36:B38)</f>
        <v>2150839.98</v>
      </c>
      <c r="C35" s="552">
        <f>SUM(C36:C38)</f>
        <v>1931025.1800000002</v>
      </c>
      <c r="D35" s="552">
        <f>SUM(D36:D38)</f>
        <v>1931025.183</v>
      </c>
      <c r="E35" s="439"/>
      <c r="F35" s="440"/>
      <c r="G35" s="441"/>
      <c r="I35" s="881"/>
      <c r="J35" s="881"/>
      <c r="K35" s="892"/>
      <c r="L35" s="892"/>
      <c r="M35" s="886"/>
      <c r="N35" s="892"/>
      <c r="O35" s="880">
        <v>-31847874.36</v>
      </c>
      <c r="P35" s="881"/>
      <c r="Q35" s="881" t="s">
        <v>915</v>
      </c>
      <c r="R35" s="883"/>
      <c r="S35" s="881"/>
      <c r="T35" s="881" t="s">
        <v>916</v>
      </c>
      <c r="U35" s="893" t="s">
        <v>905</v>
      </c>
      <c r="V35" s="881"/>
      <c r="W35" s="881"/>
      <c r="X35" s="881"/>
      <c r="Y35" s="881"/>
      <c r="Z35" s="881"/>
      <c r="AA35" s="881"/>
      <c r="AB35" s="881"/>
      <c r="AC35" s="881"/>
      <c r="AD35" s="881"/>
      <c r="AE35" s="881"/>
      <c r="AF35" s="881"/>
      <c r="AG35" s="881"/>
    </row>
    <row r="36" spans="1:33" s="433" customFormat="1" ht="19.5" customHeight="1">
      <c r="A36" s="438" t="s">
        <v>86</v>
      </c>
      <c r="B36" s="821">
        <f>2150839.98-B37</f>
        <v>1534025.3199999998</v>
      </c>
      <c r="C36" s="549">
        <f>1037691.35+292553.9</f>
        <v>1330245.25</v>
      </c>
      <c r="D36" s="549">
        <v>1330245.25</v>
      </c>
      <c r="E36" s="439"/>
      <c r="F36" s="440"/>
      <c r="G36" s="441"/>
      <c r="I36" s="881"/>
      <c r="J36" s="881"/>
      <c r="K36" s="892"/>
      <c r="L36" s="892"/>
      <c r="M36" s="886"/>
      <c r="N36" s="892"/>
      <c r="O36" s="894"/>
      <c r="P36" s="893">
        <v>740</v>
      </c>
      <c r="Q36" s="881" t="s">
        <v>872</v>
      </c>
      <c r="R36" s="882">
        <v>10094005</v>
      </c>
      <c r="S36" s="881"/>
      <c r="T36" s="881" t="s">
        <v>312</v>
      </c>
      <c r="U36" s="881">
        <v>1536373.36</v>
      </c>
      <c r="V36" s="895"/>
      <c r="W36" s="881"/>
      <c r="X36" s="881"/>
      <c r="Y36" s="881"/>
      <c r="Z36" s="881"/>
      <c r="AA36" s="881"/>
      <c r="AB36" s="881"/>
      <c r="AC36" s="881"/>
      <c r="AD36" s="881"/>
      <c r="AE36" s="881"/>
      <c r="AF36" s="881"/>
      <c r="AG36" s="881"/>
    </row>
    <row r="37" spans="1:33" s="433" customFormat="1" ht="19.5" customHeight="1">
      <c r="A37" s="438" t="s">
        <v>87</v>
      </c>
      <c r="B37" s="821">
        <v>616814.66</v>
      </c>
      <c r="C37" s="549">
        <v>600779.93</v>
      </c>
      <c r="D37" s="549">
        <v>600779.933</v>
      </c>
      <c r="E37" s="439"/>
      <c r="F37" s="440"/>
      <c r="G37" s="441"/>
      <c r="I37" s="881"/>
      <c r="J37" s="881"/>
      <c r="K37" s="891">
        <v>740</v>
      </c>
      <c r="L37" s="891" t="s">
        <v>360</v>
      </c>
      <c r="M37" s="892" t="s">
        <v>361</v>
      </c>
      <c r="N37" s="891" t="s">
        <v>369</v>
      </c>
      <c r="O37" s="879">
        <v>-10843128.4</v>
      </c>
      <c r="P37" s="893">
        <v>700</v>
      </c>
      <c r="Q37" s="881" t="s">
        <v>892</v>
      </c>
      <c r="R37" s="882">
        <v>543058.53</v>
      </c>
      <c r="S37" s="881"/>
      <c r="T37" s="1057" t="s">
        <v>321</v>
      </c>
      <c r="U37" s="1007">
        <v>10587846</v>
      </c>
      <c r="V37" s="881"/>
      <c r="W37" s="881"/>
      <c r="X37" s="881"/>
      <c r="Y37" s="881"/>
      <c r="Z37" s="881"/>
      <c r="AA37" s="881"/>
      <c r="AB37" s="881"/>
      <c r="AC37" s="881"/>
      <c r="AD37" s="881"/>
      <c r="AE37" s="881"/>
      <c r="AF37" s="881"/>
      <c r="AG37" s="881"/>
    </row>
    <row r="38" spans="1:33" s="433" customFormat="1" ht="19.5" customHeight="1">
      <c r="A38" s="438" t="s">
        <v>88</v>
      </c>
      <c r="B38" s="821">
        <v>0</v>
      </c>
      <c r="C38" s="549"/>
      <c r="D38" s="549"/>
      <c r="E38" s="439"/>
      <c r="F38" s="440"/>
      <c r="G38" s="441"/>
      <c r="I38" s="881"/>
      <c r="J38" s="881"/>
      <c r="K38" s="891">
        <v>740</v>
      </c>
      <c r="L38" s="891" t="s">
        <v>360</v>
      </c>
      <c r="M38" s="892" t="s">
        <v>361</v>
      </c>
      <c r="N38" s="891" t="s">
        <v>369</v>
      </c>
      <c r="O38" s="879">
        <v>-1413657</v>
      </c>
      <c r="P38" s="893">
        <v>76</v>
      </c>
      <c r="Q38" s="881" t="s">
        <v>898</v>
      </c>
      <c r="R38" s="882">
        <v>303900</v>
      </c>
      <c r="S38" s="881"/>
      <c r="T38" s="1057"/>
      <c r="U38" s="1007"/>
      <c r="V38" s="881"/>
      <c r="W38" s="881"/>
      <c r="X38" s="881"/>
      <c r="Y38" s="881"/>
      <c r="Z38" s="881"/>
      <c r="AA38" s="881"/>
      <c r="AB38" s="881"/>
      <c r="AC38" s="881"/>
      <c r="AD38" s="881"/>
      <c r="AE38" s="881"/>
      <c r="AF38" s="881"/>
      <c r="AG38" s="881"/>
    </row>
    <row r="39" spans="1:33" s="433" customFormat="1" ht="19.5" customHeight="1">
      <c r="A39" s="438" t="s">
        <v>243</v>
      </c>
      <c r="B39" s="552">
        <f>SUM(B40:B45)</f>
        <v>19943710.04</v>
      </c>
      <c r="C39" s="552">
        <f>SUM(C40:C45)</f>
        <v>23656657.310000002</v>
      </c>
      <c r="D39" s="552">
        <f>SUM(D40:D45)</f>
        <v>28422790.08</v>
      </c>
      <c r="E39" s="439"/>
      <c r="F39" s="440">
        <f>+C39-B39</f>
        <v>3712947.2700000033</v>
      </c>
      <c r="G39" s="441">
        <f>-D39-C39</f>
        <v>-52079447.39</v>
      </c>
      <c r="I39" s="881"/>
      <c r="J39" s="881"/>
      <c r="K39" s="892"/>
      <c r="L39" s="892"/>
      <c r="M39" s="886"/>
      <c r="N39" s="892"/>
      <c r="O39" s="896">
        <v>-12256785.4</v>
      </c>
      <c r="P39" s="893">
        <v>700</v>
      </c>
      <c r="Q39" s="881" t="s">
        <v>896</v>
      </c>
      <c r="R39" s="882">
        <v>12847146.64</v>
      </c>
      <c r="S39" s="881"/>
      <c r="T39" s="1057"/>
      <c r="U39" s="1007"/>
      <c r="V39" s="881"/>
      <c r="W39" s="881"/>
      <c r="X39" s="881"/>
      <c r="Y39" s="881"/>
      <c r="Z39" s="881"/>
      <c r="AA39" s="881"/>
      <c r="AB39" s="881"/>
      <c r="AC39" s="881"/>
      <c r="AD39" s="881"/>
      <c r="AE39" s="881"/>
      <c r="AF39" s="881"/>
      <c r="AG39" s="881"/>
    </row>
    <row r="40" spans="1:33" s="433" customFormat="1" ht="19.5" customHeight="1">
      <c r="A40" s="438" t="s">
        <v>244</v>
      </c>
      <c r="B40" s="822">
        <v>0</v>
      </c>
      <c r="C40" s="549">
        <v>0</v>
      </c>
      <c r="D40" s="549"/>
      <c r="E40" s="439"/>
      <c r="F40" s="440"/>
      <c r="G40" s="441"/>
      <c r="I40" s="881"/>
      <c r="J40" s="881"/>
      <c r="K40" s="892"/>
      <c r="L40" s="892"/>
      <c r="M40" s="886"/>
      <c r="N40" s="892"/>
      <c r="O40" s="894"/>
      <c r="P40" s="893">
        <v>477</v>
      </c>
      <c r="Q40" s="881" t="s">
        <v>897</v>
      </c>
      <c r="R40" s="882">
        <v>385414.3992</v>
      </c>
      <c r="S40" s="881"/>
      <c r="T40" s="881" t="s">
        <v>316</v>
      </c>
      <c r="U40" s="884">
        <v>13219368.93</v>
      </c>
      <c r="V40" s="881"/>
      <c r="W40" s="881"/>
      <c r="X40" s="881"/>
      <c r="Y40" s="881"/>
      <c r="Z40" s="881"/>
      <c r="AA40" s="881"/>
      <c r="AB40" s="881"/>
      <c r="AC40" s="881"/>
      <c r="AD40" s="881"/>
      <c r="AE40" s="881"/>
      <c r="AF40" s="881"/>
      <c r="AG40" s="881"/>
    </row>
    <row r="41" spans="1:33" s="433" customFormat="1" ht="19.5" customHeight="1">
      <c r="A41" s="438" t="s">
        <v>775</v>
      </c>
      <c r="B41" s="822">
        <v>0</v>
      </c>
      <c r="C41" s="549">
        <v>0</v>
      </c>
      <c r="D41" s="549"/>
      <c r="E41" s="442"/>
      <c r="F41" s="440">
        <f>+C41-B41</f>
        <v>0</v>
      </c>
      <c r="G41" s="441">
        <f>-D41-C41</f>
        <v>0</v>
      </c>
      <c r="I41" s="881"/>
      <c r="J41" s="881"/>
      <c r="K41" s="891">
        <v>740</v>
      </c>
      <c r="L41" s="891" t="s">
        <v>360</v>
      </c>
      <c r="M41" s="892" t="s">
        <v>361</v>
      </c>
      <c r="N41" s="891" t="s">
        <v>370</v>
      </c>
      <c r="O41" s="896">
        <v>-1530321.42</v>
      </c>
      <c r="P41" s="893">
        <v>700</v>
      </c>
      <c r="Q41" s="881" t="s">
        <v>899</v>
      </c>
      <c r="R41" s="882">
        <v>73000</v>
      </c>
      <c r="S41" s="881"/>
      <c r="T41" s="881" t="s">
        <v>317</v>
      </c>
      <c r="U41" s="884">
        <v>396581.07</v>
      </c>
      <c r="V41" s="881"/>
      <c r="W41" s="881"/>
      <c r="X41" s="881"/>
      <c r="Y41" s="881"/>
      <c r="Z41" s="881"/>
      <c r="AA41" s="881"/>
      <c r="AB41" s="881"/>
      <c r="AC41" s="881"/>
      <c r="AD41" s="881"/>
      <c r="AE41" s="881"/>
      <c r="AF41" s="881"/>
      <c r="AG41" s="881"/>
    </row>
    <row r="42" spans="1:33" s="433" customFormat="1" ht="19.5" customHeight="1">
      <c r="A42" s="438" t="s">
        <v>776</v>
      </c>
      <c r="B42" s="822">
        <f>11225276.39+1197548.91</f>
        <v>12422825.3</v>
      </c>
      <c r="C42" s="549">
        <v>12930682.47</v>
      </c>
      <c r="D42" s="549">
        <v>14432459.47</v>
      </c>
      <c r="E42" s="442"/>
      <c r="F42" s="447"/>
      <c r="G42" s="441"/>
      <c r="I42" s="881"/>
      <c r="J42" s="881"/>
      <c r="K42" s="886"/>
      <c r="L42" s="886"/>
      <c r="M42" s="886"/>
      <c r="N42" s="886"/>
      <c r="O42" s="886"/>
      <c r="P42" s="893">
        <v>477</v>
      </c>
      <c r="Q42" s="881" t="s">
        <v>900</v>
      </c>
      <c r="R42" s="882">
        <v>2190</v>
      </c>
      <c r="S42" s="881"/>
      <c r="T42" s="881" t="s">
        <v>322</v>
      </c>
      <c r="U42" s="884">
        <v>593850</v>
      </c>
      <c r="V42" s="881"/>
      <c r="W42" s="881"/>
      <c r="X42" s="881"/>
      <c r="Y42" s="881"/>
      <c r="Z42" s="881"/>
      <c r="AA42" s="881"/>
      <c r="AB42" s="881"/>
      <c r="AC42" s="881"/>
      <c r="AD42" s="881"/>
      <c r="AE42" s="881"/>
      <c r="AF42" s="881"/>
      <c r="AG42" s="881"/>
    </row>
    <row r="43" spans="1:33" s="433" customFormat="1" ht="19.5" customHeight="1">
      <c r="A43" s="438" t="s">
        <v>245</v>
      </c>
      <c r="B43" s="822">
        <v>7520884.74</v>
      </c>
      <c r="C43" s="549">
        <v>10725974.84</v>
      </c>
      <c r="D43" s="549">
        <f>13880330.61+110000</f>
        <v>13990330.61</v>
      </c>
      <c r="E43" s="442"/>
      <c r="F43" s="447"/>
      <c r="G43" s="441"/>
      <c r="I43" s="881"/>
      <c r="J43" s="881"/>
      <c r="K43" s="886"/>
      <c r="L43" s="886"/>
      <c r="M43" s="886"/>
      <c r="N43" s="886"/>
      <c r="O43" s="896">
        <v>-45634981.18</v>
      </c>
      <c r="P43" s="893">
        <v>740</v>
      </c>
      <c r="Q43" s="881" t="s">
        <v>901</v>
      </c>
      <c r="R43" s="882">
        <v>452577.21</v>
      </c>
      <c r="S43" s="881"/>
      <c r="T43" s="881" t="s">
        <v>324</v>
      </c>
      <c r="U43" s="884">
        <v>1279842</v>
      </c>
      <c r="V43" s="881"/>
      <c r="W43" s="881"/>
      <c r="X43" s="881"/>
      <c r="Y43" s="881"/>
      <c r="Z43" s="881"/>
      <c r="AA43" s="881"/>
      <c r="AB43" s="881"/>
      <c r="AC43" s="881"/>
      <c r="AD43" s="881"/>
      <c r="AE43" s="881"/>
      <c r="AF43" s="881"/>
      <c r="AG43" s="881"/>
    </row>
    <row r="44" spans="1:33" s="433" customFormat="1" ht="19.5" customHeight="1">
      <c r="A44" s="438" t="s">
        <v>246</v>
      </c>
      <c r="B44" s="822">
        <v>0</v>
      </c>
      <c r="C44" s="549">
        <v>0</v>
      </c>
      <c r="D44" s="549"/>
      <c r="E44" s="442"/>
      <c r="F44" s="440">
        <f>+C44-B44</f>
        <v>0</v>
      </c>
      <c r="G44" s="441">
        <f>-D44-C44</f>
        <v>0</v>
      </c>
      <c r="I44" s="881"/>
      <c r="J44" s="881"/>
      <c r="K44" s="881"/>
      <c r="L44" s="881"/>
      <c r="M44" s="881"/>
      <c r="N44" s="881"/>
      <c r="O44" s="881"/>
      <c r="P44" s="893"/>
      <c r="Q44" s="881"/>
      <c r="R44" s="881"/>
      <c r="S44" s="881"/>
      <c r="T44" s="881" t="s">
        <v>325</v>
      </c>
      <c r="U44" s="884">
        <v>14413.23</v>
      </c>
      <c r="V44" s="881"/>
      <c r="W44" s="881"/>
      <c r="X44" s="881"/>
      <c r="Y44" s="881"/>
      <c r="Z44" s="881"/>
      <c r="AA44" s="881"/>
      <c r="AB44" s="881"/>
      <c r="AC44" s="881"/>
      <c r="AD44" s="881"/>
      <c r="AE44" s="881"/>
      <c r="AF44" s="881"/>
      <c r="AG44" s="881"/>
    </row>
    <row r="45" spans="1:33" s="433" customFormat="1" ht="19.5" customHeight="1">
      <c r="A45" s="438" t="s">
        <v>247</v>
      </c>
      <c r="B45" s="822">
        <v>0</v>
      </c>
      <c r="C45" s="549">
        <v>0</v>
      </c>
      <c r="D45" s="549"/>
      <c r="E45" s="442"/>
      <c r="F45" s="447"/>
      <c r="G45" s="441"/>
      <c r="I45" s="881"/>
      <c r="J45" s="881"/>
      <c r="K45" s="881"/>
      <c r="L45" s="881"/>
      <c r="M45" s="881"/>
      <c r="N45" s="881"/>
      <c r="O45" s="881"/>
      <c r="P45" s="893" t="s">
        <v>907</v>
      </c>
      <c r="Q45" s="881" t="str">
        <f>+T42</f>
        <v>INVERSIÓN 2016</v>
      </c>
      <c r="R45" s="882">
        <f>+U42</f>
        <v>593850</v>
      </c>
      <c r="S45" s="881"/>
      <c r="T45" s="881" t="s">
        <v>326</v>
      </c>
      <c r="U45" s="884">
        <v>689858</v>
      </c>
      <c r="V45" s="881"/>
      <c r="W45" s="881"/>
      <c r="X45" s="881"/>
      <c r="Y45" s="881"/>
      <c r="Z45" s="881"/>
      <c r="AA45" s="881"/>
      <c r="AB45" s="881"/>
      <c r="AC45" s="881"/>
      <c r="AD45" s="881"/>
      <c r="AE45" s="881"/>
      <c r="AF45" s="881"/>
      <c r="AG45" s="881"/>
    </row>
    <row r="46" spans="1:33" s="433" customFormat="1" ht="19.5" customHeight="1">
      <c r="A46" s="443" t="s">
        <v>248</v>
      </c>
      <c r="B46" s="551">
        <f>SUM(B47:B52)</f>
        <v>-50683238.010000005</v>
      </c>
      <c r="C46" s="551">
        <f>SUM(C47:C52)</f>
        <v>-52146457.949999996</v>
      </c>
      <c r="D46" s="551">
        <f>SUM(D47:D52)</f>
        <v>-54556647.66</v>
      </c>
      <c r="E46" s="444"/>
      <c r="F46" s="436">
        <f>+C46-B46</f>
        <v>-1463219.9399999902</v>
      </c>
      <c r="G46" s="437">
        <f>+D46-C46</f>
        <v>-2410189.710000001</v>
      </c>
      <c r="I46" s="881"/>
      <c r="J46" s="881"/>
      <c r="K46" s="881"/>
      <c r="L46" s="881"/>
      <c r="M46" s="881"/>
      <c r="N46" s="881"/>
      <c r="O46" s="881"/>
      <c r="P46" s="893">
        <v>740</v>
      </c>
      <c r="Q46" s="881" t="s">
        <v>876</v>
      </c>
      <c r="R46" s="882">
        <v>14412</v>
      </c>
      <c r="S46" s="881"/>
      <c r="T46" s="881" t="s">
        <v>327</v>
      </c>
      <c r="U46" s="884">
        <v>691578</v>
      </c>
      <c r="V46" s="881"/>
      <c r="W46" s="881"/>
      <c r="X46" s="881"/>
      <c r="Y46" s="881"/>
      <c r="Z46" s="881"/>
      <c r="AA46" s="881"/>
      <c r="AB46" s="881"/>
      <c r="AC46" s="881"/>
      <c r="AD46" s="881"/>
      <c r="AE46" s="881"/>
      <c r="AF46" s="881"/>
      <c r="AG46" s="881"/>
    </row>
    <row r="47" spans="1:33" s="433" customFormat="1" ht="19.5" customHeight="1">
      <c r="A47" s="438" t="s">
        <v>249</v>
      </c>
      <c r="B47" s="821">
        <v>-38352495.27</v>
      </c>
      <c r="C47" s="549">
        <v>-38480665.11</v>
      </c>
      <c r="D47" s="549">
        <f>-40480713.48+36700</f>
        <v>-40444013.48</v>
      </c>
      <c r="E47" s="442"/>
      <c r="F47" s="440">
        <f>+C47-B47</f>
        <v>-128169.83999999613</v>
      </c>
      <c r="G47" s="441">
        <f>-D47-C47</f>
        <v>78924678.59</v>
      </c>
      <c r="I47" s="881"/>
      <c r="J47" s="881"/>
      <c r="K47" s="881"/>
      <c r="L47" s="881"/>
      <c r="M47" s="881"/>
      <c r="N47" s="881"/>
      <c r="O47" s="881"/>
      <c r="P47" s="893">
        <v>740</v>
      </c>
      <c r="Q47" s="881" t="s">
        <v>878</v>
      </c>
      <c r="R47" s="882">
        <v>1279842</v>
      </c>
      <c r="S47" s="881"/>
      <c r="T47" s="881" t="s">
        <v>328</v>
      </c>
      <c r="U47" s="884">
        <v>658058.41</v>
      </c>
      <c r="V47" s="881"/>
      <c r="W47" s="881"/>
      <c r="X47" s="881"/>
      <c r="Y47" s="881"/>
      <c r="Z47" s="881"/>
      <c r="AA47" s="881"/>
      <c r="AB47" s="881"/>
      <c r="AC47" s="881"/>
      <c r="AD47" s="881"/>
      <c r="AE47" s="881"/>
      <c r="AF47" s="881"/>
      <c r="AG47" s="881"/>
    </row>
    <row r="48" spans="1:33" s="433" customFormat="1" ht="19.5" customHeight="1">
      <c r="A48" s="438" t="s">
        <v>777</v>
      </c>
      <c r="B48" s="821">
        <v>-94145</v>
      </c>
      <c r="C48" s="549">
        <v>-180000</v>
      </c>
      <c r="D48" s="549">
        <v>-180000</v>
      </c>
      <c r="E48" s="442"/>
      <c r="F48" s="440">
        <f>+C48-B48</f>
        <v>-85855</v>
      </c>
      <c r="G48" s="441">
        <f>-D48-C48</f>
        <v>360000</v>
      </c>
      <c r="I48" s="881"/>
      <c r="J48" s="881"/>
      <c r="K48" s="881"/>
      <c r="L48" s="881"/>
      <c r="M48" s="881"/>
      <c r="N48" s="881"/>
      <c r="O48" s="881"/>
      <c r="P48" s="893">
        <v>740</v>
      </c>
      <c r="Q48" s="881" t="s">
        <v>879</v>
      </c>
      <c r="R48" s="882">
        <v>689857.2</v>
      </c>
      <c r="S48" s="881"/>
      <c r="T48" s="881" t="s">
        <v>347</v>
      </c>
      <c r="U48" s="884">
        <v>565967.38</v>
      </c>
      <c r="V48" s="883"/>
      <c r="W48" s="881"/>
      <c r="X48" s="881"/>
      <c r="Y48" s="881"/>
      <c r="Z48" s="881"/>
      <c r="AA48" s="881"/>
      <c r="AB48" s="881"/>
      <c r="AC48" s="881"/>
      <c r="AD48" s="881"/>
      <c r="AE48" s="881"/>
      <c r="AF48" s="881"/>
      <c r="AG48" s="881"/>
    </row>
    <row r="49" spans="1:33" s="433" customFormat="1" ht="19.5" customHeight="1">
      <c r="A49" s="438" t="s">
        <v>778</v>
      </c>
      <c r="B49" s="821">
        <v>-12028499.28</v>
      </c>
      <c r="C49" s="549">
        <v>-12999934.18</v>
      </c>
      <c r="D49" s="549">
        <v>-13375634.18</v>
      </c>
      <c r="E49" s="442"/>
      <c r="F49" s="440">
        <f>+C49-B49</f>
        <v>-971434.9000000004</v>
      </c>
      <c r="G49" s="441">
        <f>-D49-C49</f>
        <v>26375568.36</v>
      </c>
      <c r="I49" s="881"/>
      <c r="J49" s="881"/>
      <c r="K49" s="881"/>
      <c r="L49" s="881"/>
      <c r="M49" s="881"/>
      <c r="N49" s="881"/>
      <c r="O49" s="881"/>
      <c r="P49" s="893">
        <v>740</v>
      </c>
      <c r="Q49" s="881" t="s">
        <v>880</v>
      </c>
      <c r="R49" s="882">
        <v>691578.8</v>
      </c>
      <c r="S49" s="881"/>
      <c r="T49" s="881"/>
      <c r="U49" s="881"/>
      <c r="V49" s="881"/>
      <c r="W49" s="881"/>
      <c r="X49" s="881"/>
      <c r="Y49" s="881"/>
      <c r="Z49" s="881"/>
      <c r="AA49" s="881"/>
      <c r="AB49" s="881"/>
      <c r="AC49" s="881"/>
      <c r="AD49" s="881"/>
      <c r="AE49" s="881"/>
      <c r="AF49" s="881"/>
      <c r="AG49" s="881"/>
    </row>
    <row r="50" spans="1:33" s="433" customFormat="1" ht="19.5" customHeight="1">
      <c r="A50" s="438" t="s">
        <v>779</v>
      </c>
      <c r="B50" s="821">
        <v>0</v>
      </c>
      <c r="C50" s="549">
        <v>0</v>
      </c>
      <c r="D50" s="549">
        <v>0</v>
      </c>
      <c r="E50" s="442"/>
      <c r="F50" s="440">
        <f>+C50-B50</f>
        <v>0</v>
      </c>
      <c r="G50" s="441">
        <f>-D50-C50</f>
        <v>0</v>
      </c>
      <c r="I50" s="881"/>
      <c r="J50" s="881"/>
      <c r="K50" s="881"/>
      <c r="L50" s="881"/>
      <c r="M50" s="881"/>
      <c r="N50" s="881"/>
      <c r="O50" s="881"/>
      <c r="P50" s="893">
        <v>740</v>
      </c>
      <c r="Q50" s="881" t="s">
        <v>881</v>
      </c>
      <c r="R50" s="882">
        <v>658058.4</v>
      </c>
      <c r="S50" s="881"/>
      <c r="T50" s="881"/>
      <c r="U50" s="881"/>
      <c r="V50" s="881"/>
      <c r="W50" s="881"/>
      <c r="X50" s="881"/>
      <c r="Y50" s="881"/>
      <c r="Z50" s="881"/>
      <c r="AA50" s="881"/>
      <c r="AB50" s="881"/>
      <c r="AC50" s="881"/>
      <c r="AD50" s="881"/>
      <c r="AE50" s="881"/>
      <c r="AF50" s="881"/>
      <c r="AG50" s="881"/>
    </row>
    <row r="51" spans="1:33" s="433" customFormat="1" ht="19.5" customHeight="1">
      <c r="A51" s="438" t="s">
        <v>780</v>
      </c>
      <c r="B51" s="821">
        <f>-485858.66-2239.8</f>
        <v>-488098.45999999996</v>
      </c>
      <c r="C51" s="549">
        <v>-485858.66</v>
      </c>
      <c r="D51" s="549">
        <v>-557000</v>
      </c>
      <c r="E51" s="442"/>
      <c r="F51" s="447"/>
      <c r="G51" s="441"/>
      <c r="I51" s="881"/>
      <c r="J51" s="881"/>
      <c r="K51" s="881"/>
      <c r="L51" s="881"/>
      <c r="M51" s="881"/>
      <c r="N51" s="881"/>
      <c r="O51" s="881"/>
      <c r="P51" s="893">
        <v>700</v>
      </c>
      <c r="Q51" s="881" t="s">
        <v>352</v>
      </c>
      <c r="R51" s="882">
        <f>+U51</f>
        <v>489751.98</v>
      </c>
      <c r="S51" s="881"/>
      <c r="T51" s="881" t="s">
        <v>352</v>
      </c>
      <c r="U51" s="884">
        <v>489751.98</v>
      </c>
      <c r="V51" s="881"/>
      <c r="W51" s="881"/>
      <c r="X51" s="881"/>
      <c r="Y51" s="881"/>
      <c r="Z51" s="881"/>
      <c r="AA51" s="881"/>
      <c r="AB51" s="881"/>
      <c r="AC51" s="881"/>
      <c r="AD51" s="881"/>
      <c r="AE51" s="881"/>
      <c r="AF51" s="881"/>
      <c r="AG51" s="881"/>
    </row>
    <row r="52" spans="1:33" s="433" customFormat="1" ht="19.5" customHeight="1">
      <c r="A52" s="438" t="s">
        <v>781</v>
      </c>
      <c r="B52" s="822">
        <v>280000</v>
      </c>
      <c r="C52" s="549">
        <v>0</v>
      </c>
      <c r="D52" s="549">
        <v>0</v>
      </c>
      <c r="E52" s="442"/>
      <c r="F52" s="447"/>
      <c r="G52" s="448"/>
      <c r="I52" s="881"/>
      <c r="J52" s="881"/>
      <c r="K52" s="881"/>
      <c r="L52" s="881"/>
      <c r="M52" s="881"/>
      <c r="N52" s="881"/>
      <c r="O52" s="881"/>
      <c r="P52" s="893">
        <v>700</v>
      </c>
      <c r="Q52" s="881" t="s">
        <v>353</v>
      </c>
      <c r="R52" s="882">
        <f>+U52</f>
        <v>562193</v>
      </c>
      <c r="S52" s="881"/>
      <c r="T52" s="881" t="s">
        <v>353</v>
      </c>
      <c r="U52" s="884">
        <v>562193</v>
      </c>
      <c r="V52" s="881"/>
      <c r="W52" s="881"/>
      <c r="X52" s="881"/>
      <c r="Y52" s="881"/>
      <c r="Z52" s="881"/>
      <c r="AA52" s="881"/>
      <c r="AB52" s="881"/>
      <c r="AC52" s="881"/>
      <c r="AD52" s="881"/>
      <c r="AE52" s="881"/>
      <c r="AF52" s="881"/>
      <c r="AG52" s="881"/>
    </row>
    <row r="53" spans="1:33" s="433" customFormat="1" ht="19.5" customHeight="1">
      <c r="A53" s="438"/>
      <c r="B53" s="822"/>
      <c r="C53" s="549"/>
      <c r="D53" s="549"/>
      <c r="E53" s="442"/>
      <c r="F53" s="447"/>
      <c r="G53" s="448"/>
      <c r="I53" s="881"/>
      <c r="J53" s="881"/>
      <c r="K53" s="881"/>
      <c r="L53" s="881"/>
      <c r="M53" s="881"/>
      <c r="N53" s="881"/>
      <c r="O53" s="881"/>
      <c r="P53" s="893">
        <v>700</v>
      </c>
      <c r="Q53" s="881" t="s">
        <v>354</v>
      </c>
      <c r="R53" s="882">
        <f>+U53</f>
        <v>562193</v>
      </c>
      <c r="S53" s="881"/>
      <c r="T53" s="881" t="s">
        <v>354</v>
      </c>
      <c r="U53" s="884">
        <v>562193</v>
      </c>
      <c r="V53" s="881"/>
      <c r="W53" s="881"/>
      <c r="X53" s="881"/>
      <c r="Y53" s="881"/>
      <c r="Z53" s="881"/>
      <c r="AA53" s="881"/>
      <c r="AB53" s="881"/>
      <c r="AC53" s="881"/>
      <c r="AD53" s="881"/>
      <c r="AE53" s="881"/>
      <c r="AF53" s="881"/>
      <c r="AG53" s="881"/>
    </row>
    <row r="54" spans="1:33" s="433" customFormat="1" ht="19.5" customHeight="1">
      <c r="A54" s="438" t="s">
        <v>707</v>
      </c>
      <c r="B54" s="549"/>
      <c r="C54" s="548"/>
      <c r="D54" s="549"/>
      <c r="E54" s="442"/>
      <c r="F54" s="447"/>
      <c r="G54" s="448"/>
      <c r="I54" s="881"/>
      <c r="J54" s="881"/>
      <c r="K54" s="881"/>
      <c r="L54" s="881"/>
      <c r="M54" s="881"/>
      <c r="N54" s="881"/>
      <c r="O54" s="881"/>
      <c r="P54" s="893">
        <v>740</v>
      </c>
      <c r="Q54" s="881" t="s">
        <v>884</v>
      </c>
      <c r="R54" s="882">
        <v>12142954</v>
      </c>
      <c r="S54" s="881"/>
      <c r="T54" s="881" t="s">
        <v>906</v>
      </c>
      <c r="U54" s="884">
        <v>10843128</v>
      </c>
      <c r="V54" s="881"/>
      <c r="W54" s="881"/>
      <c r="X54" s="881"/>
      <c r="Y54" s="881"/>
      <c r="Z54" s="881"/>
      <c r="AA54" s="881"/>
      <c r="AB54" s="881"/>
      <c r="AC54" s="881"/>
      <c r="AD54" s="881"/>
      <c r="AE54" s="881"/>
      <c r="AF54" s="881"/>
      <c r="AG54" s="881"/>
    </row>
    <row r="55" spans="1:33" s="433" customFormat="1" ht="19.5" customHeight="1">
      <c r="A55" s="434" t="s">
        <v>250</v>
      </c>
      <c r="B55" s="551">
        <f>+B56+B57+B58+B59</f>
        <v>-10375240.92</v>
      </c>
      <c r="C55" s="551">
        <f>+C56+C57+C58+C59</f>
        <v>-12243312.55</v>
      </c>
      <c r="D55" s="551">
        <f>+D56+D57+D58+D59</f>
        <v>-14728943.8</v>
      </c>
      <c r="E55" s="444"/>
      <c r="F55" s="436">
        <f>+C55-B55</f>
        <v>-1868071.6300000008</v>
      </c>
      <c r="G55" s="437">
        <f>+D55-C55</f>
        <v>-2485631.25</v>
      </c>
      <c r="I55" s="881"/>
      <c r="J55" s="881"/>
      <c r="K55" s="881"/>
      <c r="L55" s="881"/>
      <c r="M55" s="881"/>
      <c r="N55" s="881"/>
      <c r="O55" s="881"/>
      <c r="P55" s="893">
        <v>740</v>
      </c>
      <c r="Q55" s="881" t="s">
        <v>885</v>
      </c>
      <c r="R55" s="882">
        <v>284152.56</v>
      </c>
      <c r="S55" s="881"/>
      <c r="T55" s="881" t="s">
        <v>902</v>
      </c>
      <c r="U55" s="881">
        <v>605853</v>
      </c>
      <c r="V55" s="881"/>
      <c r="W55" s="881"/>
      <c r="X55" s="881"/>
      <c r="Y55" s="881"/>
      <c r="Z55" s="881"/>
      <c r="AA55" s="881"/>
      <c r="AB55" s="881"/>
      <c r="AC55" s="881"/>
      <c r="AD55" s="881"/>
      <c r="AE55" s="881"/>
      <c r="AF55" s="881"/>
      <c r="AG55" s="881"/>
    </row>
    <row r="56" spans="1:33" s="433" customFormat="1" ht="19.5" customHeight="1">
      <c r="A56" s="438" t="s">
        <v>782</v>
      </c>
      <c r="B56" s="822">
        <v>-8368413.33</v>
      </c>
      <c r="C56" s="549">
        <v>-11424007.16</v>
      </c>
      <c r="D56" s="549">
        <f>-13577287.58-110000</f>
        <v>-13687287.58</v>
      </c>
      <c r="E56" s="442"/>
      <c r="F56" s="440">
        <f>+C56-B56</f>
        <v>-3055593.83</v>
      </c>
      <c r="G56" s="441">
        <f>-D56-C56</f>
        <v>25111294.740000002</v>
      </c>
      <c r="I56" s="881"/>
      <c r="J56" s="881"/>
      <c r="K56" s="881"/>
      <c r="L56" s="881"/>
      <c r="M56" s="881"/>
      <c r="N56" s="881"/>
      <c r="O56" s="881"/>
      <c r="P56" s="893">
        <v>740</v>
      </c>
      <c r="Q56" s="881" t="s">
        <v>886</v>
      </c>
      <c r="R56" s="882">
        <v>807804</v>
      </c>
      <c r="S56" s="881"/>
      <c r="T56" s="881" t="s">
        <v>903</v>
      </c>
      <c r="U56" s="884">
        <v>807804</v>
      </c>
      <c r="V56" s="881"/>
      <c r="W56" s="881"/>
      <c r="X56" s="881">
        <v>10843128</v>
      </c>
      <c r="Y56" s="881"/>
      <c r="Z56" s="881"/>
      <c r="AA56" s="881"/>
      <c r="AB56" s="881"/>
      <c r="AC56" s="881"/>
      <c r="AD56" s="881"/>
      <c r="AE56" s="881"/>
      <c r="AF56" s="881"/>
      <c r="AG56" s="881"/>
    </row>
    <row r="57" spans="1:33" s="433" customFormat="1" ht="19.5" customHeight="1">
      <c r="A57" s="438" t="s">
        <v>783</v>
      </c>
      <c r="B57" s="822">
        <v>-868451.42</v>
      </c>
      <c r="C57" s="549">
        <v>-867413.22</v>
      </c>
      <c r="D57" s="549">
        <v>-867413.22</v>
      </c>
      <c r="E57" s="442"/>
      <c r="F57" s="440">
        <f>+C57-B57</f>
        <v>1038.2000000000698</v>
      </c>
      <c r="G57" s="441">
        <f>-D57-C57</f>
        <v>1734826.44</v>
      </c>
      <c r="I57" s="881"/>
      <c r="J57" s="881"/>
      <c r="K57" s="881"/>
      <c r="L57" s="881"/>
      <c r="M57" s="881"/>
      <c r="N57" s="881"/>
      <c r="O57" s="881"/>
      <c r="P57" s="893">
        <v>740</v>
      </c>
      <c r="Q57" s="881" t="s">
        <v>904</v>
      </c>
      <c r="R57" s="882">
        <v>1197548.9100000001</v>
      </c>
      <c r="S57" s="881"/>
      <c r="T57" s="881" t="s">
        <v>913</v>
      </c>
      <c r="U57" s="881">
        <v>332772.51</v>
      </c>
      <c r="V57" s="881"/>
      <c r="W57" s="881"/>
      <c r="X57" s="881"/>
      <c r="Y57" s="881"/>
      <c r="Z57" s="881"/>
      <c r="AA57" s="881"/>
      <c r="AB57" s="881"/>
      <c r="AC57" s="881"/>
      <c r="AD57" s="881"/>
      <c r="AE57" s="881"/>
      <c r="AF57" s="881"/>
      <c r="AG57" s="881"/>
    </row>
    <row r="58" spans="1:33" s="433" customFormat="1" ht="19.5" customHeight="1">
      <c r="A58" s="438" t="s">
        <v>251</v>
      </c>
      <c r="B58" s="822">
        <v>-1010516.51</v>
      </c>
      <c r="C58" s="549">
        <v>222350.83</v>
      </c>
      <c r="D58" s="549">
        <v>0</v>
      </c>
      <c r="E58" s="439"/>
      <c r="F58" s="440">
        <f>+C58-B58</f>
        <v>1232867.34</v>
      </c>
      <c r="G58" s="441">
        <f>-D58-C58</f>
        <v>-222350.83</v>
      </c>
      <c r="I58" s="881"/>
      <c r="J58" s="881"/>
      <c r="K58" s="881"/>
      <c r="L58" s="881"/>
      <c r="M58" s="881"/>
      <c r="N58" s="881"/>
      <c r="O58" s="881"/>
      <c r="P58" s="893"/>
      <c r="Q58" s="881"/>
      <c r="R58" s="883"/>
      <c r="S58" s="881"/>
      <c r="T58" s="881" t="s">
        <v>914</v>
      </c>
      <c r="U58" s="881">
        <v>1197548.91</v>
      </c>
      <c r="V58" s="881"/>
      <c r="W58" s="881"/>
      <c r="X58" s="881">
        <v>1413657</v>
      </c>
      <c r="Y58" s="881"/>
      <c r="Z58" s="881"/>
      <c r="AA58" s="881"/>
      <c r="AB58" s="881"/>
      <c r="AC58" s="881"/>
      <c r="AD58" s="881"/>
      <c r="AE58" s="881"/>
      <c r="AF58" s="881"/>
      <c r="AG58" s="881"/>
    </row>
    <row r="59" spans="1:33" s="433" customFormat="1" ht="19.5" customHeight="1">
      <c r="A59" s="438" t="s">
        <v>252</v>
      </c>
      <c r="B59" s="822">
        <v>-127859.66</v>
      </c>
      <c r="C59" s="549">
        <v>-174243</v>
      </c>
      <c r="D59" s="549">
        <v>-174243</v>
      </c>
      <c r="E59" s="449"/>
      <c r="F59" s="450"/>
      <c r="G59" s="441"/>
      <c r="I59" s="881"/>
      <c r="J59" s="881"/>
      <c r="K59" s="881"/>
      <c r="L59" s="881"/>
      <c r="M59" s="881"/>
      <c r="N59" s="881"/>
      <c r="O59" s="881"/>
      <c r="P59" s="893"/>
      <c r="Q59" s="881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</row>
    <row r="60" spans="1:33" s="433" customFormat="1" ht="19.5" customHeight="1">
      <c r="A60" s="434" t="s">
        <v>253</v>
      </c>
      <c r="B60" s="551">
        <f>SUM(B61:B63)</f>
        <v>-6194131.159999999</v>
      </c>
      <c r="C60" s="551">
        <f>SUM(C61:C63)</f>
        <v>-5636917.99</v>
      </c>
      <c r="D60" s="551">
        <f>SUM(D61:D63)</f>
        <v>-4554115.91</v>
      </c>
      <c r="E60" s="444"/>
      <c r="F60" s="436">
        <f>+C60-B60</f>
        <v>557213.169999999</v>
      </c>
      <c r="G60" s="437">
        <f>+D60-C60</f>
        <v>1082802.08</v>
      </c>
      <c r="I60" s="881"/>
      <c r="J60" s="881"/>
      <c r="K60" s="881"/>
      <c r="L60" s="881"/>
      <c r="M60" s="881"/>
      <c r="N60" s="881"/>
      <c r="O60" s="881"/>
      <c r="P60" s="893"/>
      <c r="Q60" s="881"/>
      <c r="R60" s="883"/>
      <c r="S60" s="881"/>
      <c r="T60" s="881"/>
      <c r="U60" s="881"/>
      <c r="V60" s="881"/>
      <c r="W60" s="881"/>
      <c r="X60" s="881"/>
      <c r="Y60" s="881"/>
      <c r="Z60" s="881"/>
      <c r="AA60" s="881"/>
      <c r="AB60" s="881"/>
      <c r="AC60" s="881"/>
      <c r="AD60" s="881"/>
      <c r="AE60" s="881"/>
      <c r="AF60" s="881"/>
      <c r="AG60" s="881"/>
    </row>
    <row r="61" spans="1:33" s="433" customFormat="1" ht="19.5" customHeight="1">
      <c r="A61" s="438" t="s">
        <v>934</v>
      </c>
      <c r="B61" s="821">
        <v>-82382.06</v>
      </c>
      <c r="C61" s="549">
        <v>-36271.23</v>
      </c>
      <c r="D61" s="549">
        <v>-38859.87</v>
      </c>
      <c r="E61" s="444"/>
      <c r="F61" s="436"/>
      <c r="G61" s="437"/>
      <c r="I61" s="881"/>
      <c r="J61" s="881"/>
      <c r="K61" s="881"/>
      <c r="L61" s="881"/>
      <c r="M61" s="881"/>
      <c r="N61" s="881"/>
      <c r="O61" s="881"/>
      <c r="P61" s="893"/>
      <c r="Q61" s="881"/>
      <c r="R61" s="897">
        <f>SUM(R36:R58)</f>
        <v>44675487.6292</v>
      </c>
      <c r="S61" s="881"/>
      <c r="T61" s="881"/>
      <c r="U61" s="897">
        <f>SUM(U36:U58)</f>
        <v>45634980.779999994</v>
      </c>
      <c r="V61" s="881"/>
      <c r="W61" s="881"/>
      <c r="X61" s="881"/>
      <c r="Y61" s="881"/>
      <c r="Z61" s="881"/>
      <c r="AA61" s="881"/>
      <c r="AB61" s="881"/>
      <c r="AC61" s="881"/>
      <c r="AD61" s="881"/>
      <c r="AE61" s="881"/>
      <c r="AF61" s="881"/>
      <c r="AG61" s="881"/>
    </row>
    <row r="62" spans="1:33" s="433" customFormat="1" ht="19.5" customHeight="1">
      <c r="A62" s="438" t="s">
        <v>935</v>
      </c>
      <c r="B62" s="821">
        <v>-6111749.1</v>
      </c>
      <c r="C62" s="549">
        <v>-5600646.76</v>
      </c>
      <c r="D62" s="549">
        <f>-4495165.45+38859.87-58950.46</f>
        <v>-4515256.04</v>
      </c>
      <c r="E62" s="444"/>
      <c r="F62" s="436"/>
      <c r="G62" s="437"/>
      <c r="I62" s="881"/>
      <c r="J62" s="881"/>
      <c r="K62" s="881"/>
      <c r="L62" s="881"/>
      <c r="M62" s="881"/>
      <c r="N62" s="881"/>
      <c r="O62" s="881"/>
      <c r="P62" s="893"/>
      <c r="Q62" s="881"/>
      <c r="R62" s="881"/>
      <c r="S62" s="881"/>
      <c r="T62" s="881"/>
      <c r="U62" s="881">
        <v>-45634981.18</v>
      </c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</row>
    <row r="63" spans="1:33" s="433" customFormat="1" ht="19.5" customHeight="1">
      <c r="A63" s="438" t="s">
        <v>0</v>
      </c>
      <c r="B63" s="821">
        <v>0</v>
      </c>
      <c r="C63" s="549">
        <v>0</v>
      </c>
      <c r="D63" s="549">
        <v>0</v>
      </c>
      <c r="E63" s="444"/>
      <c r="F63" s="436"/>
      <c r="G63" s="437"/>
      <c r="I63" s="881"/>
      <c r="J63" s="881"/>
      <c r="K63" s="881"/>
      <c r="L63" s="881"/>
      <c r="M63" s="881"/>
      <c r="N63" s="881"/>
      <c r="O63" s="881"/>
      <c r="P63" s="881"/>
      <c r="Q63" s="881"/>
      <c r="R63" s="882">
        <f>+R57+R56+R55+R54+R50+R49+R48+R47+R46+R43+R36</f>
        <v>28312790.080000002</v>
      </c>
      <c r="S63" s="881"/>
      <c r="T63" s="881"/>
      <c r="U63" s="881">
        <f>+U62+U61</f>
        <v>-0.4000000059604645</v>
      </c>
      <c r="V63" s="881"/>
      <c r="W63" s="881"/>
      <c r="X63" s="881"/>
      <c r="Y63" s="881"/>
      <c r="Z63" s="881"/>
      <c r="AA63" s="881"/>
      <c r="AB63" s="881"/>
      <c r="AC63" s="881"/>
      <c r="AD63" s="881"/>
      <c r="AE63" s="881"/>
      <c r="AF63" s="881"/>
      <c r="AG63" s="881"/>
    </row>
    <row r="64" spans="1:33" s="433" customFormat="1" ht="25.5" customHeight="1">
      <c r="A64" s="443" t="s">
        <v>254</v>
      </c>
      <c r="B64" s="548">
        <v>5791724.55</v>
      </c>
      <c r="C64" s="548">
        <v>5194541.94</v>
      </c>
      <c r="D64" s="548">
        <v>4130070.09</v>
      </c>
      <c r="E64" s="444"/>
      <c r="F64" s="436">
        <f>+C64-B64</f>
        <v>-597182.6099999994</v>
      </c>
      <c r="G64" s="437">
        <f>+D64-C64</f>
        <v>-1064471.8500000006</v>
      </c>
      <c r="I64" s="881"/>
      <c r="J64" s="881"/>
      <c r="K64" s="881"/>
      <c r="L64" s="881"/>
      <c r="M64" s="881"/>
      <c r="N64" s="881"/>
      <c r="O64" s="881"/>
      <c r="P64" s="881"/>
      <c r="Q64" s="881"/>
      <c r="R64" s="883">
        <f>+D39</f>
        <v>28422790.08</v>
      </c>
      <c r="S64" s="881"/>
      <c r="T64" s="881"/>
      <c r="U64" s="881"/>
      <c r="V64" s="881"/>
      <c r="W64" s="881"/>
      <c r="X64" s="881"/>
      <c r="Y64" s="881"/>
      <c r="Z64" s="881"/>
      <c r="AA64" s="881"/>
      <c r="AB64" s="881"/>
      <c r="AC64" s="881"/>
      <c r="AD64" s="881"/>
      <c r="AE64" s="881"/>
      <c r="AF64" s="881"/>
      <c r="AG64" s="881"/>
    </row>
    <row r="65" spans="1:33" s="433" customFormat="1" ht="24.75" customHeight="1">
      <c r="A65" s="443" t="s">
        <v>255</v>
      </c>
      <c r="B65" s="823">
        <v>0</v>
      </c>
      <c r="C65" s="548">
        <v>0</v>
      </c>
      <c r="D65" s="548">
        <v>0</v>
      </c>
      <c r="E65" s="435"/>
      <c r="F65" s="436"/>
      <c r="G65" s="441"/>
      <c r="I65" s="881"/>
      <c r="J65" s="881"/>
      <c r="K65" s="881"/>
      <c r="L65" s="881"/>
      <c r="M65" s="881"/>
      <c r="N65" s="881"/>
      <c r="O65" s="881"/>
      <c r="P65" s="881"/>
      <c r="Q65" s="881"/>
      <c r="R65" s="881">
        <f>+R64-R63</f>
        <v>109999.99999999627</v>
      </c>
      <c r="S65" s="881"/>
      <c r="T65" s="881"/>
      <c r="U65" s="881"/>
      <c r="V65" s="881"/>
      <c r="W65" s="881"/>
      <c r="X65" s="881"/>
      <c r="Y65" s="881"/>
      <c r="Z65" s="881"/>
      <c r="AA65" s="881"/>
      <c r="AB65" s="881"/>
      <c r="AC65" s="881"/>
      <c r="AD65" s="881"/>
      <c r="AE65" s="881"/>
      <c r="AF65" s="881"/>
      <c r="AG65" s="881"/>
    </row>
    <row r="66" spans="1:33" s="433" customFormat="1" ht="28.5" customHeight="1">
      <c r="A66" s="443" t="s">
        <v>256</v>
      </c>
      <c r="B66" s="551">
        <f>B67+B71</f>
        <v>2092.71</v>
      </c>
      <c r="C66" s="551">
        <f>C67+C71</f>
        <v>0</v>
      </c>
      <c r="D66" s="551">
        <f>D67+D71</f>
        <v>0</v>
      </c>
      <c r="E66" s="444"/>
      <c r="F66" s="436">
        <f>+C66-B66</f>
        <v>-2092.71</v>
      </c>
      <c r="G66" s="437">
        <f>+D66-C66</f>
        <v>0</v>
      </c>
      <c r="I66" s="881"/>
      <c r="J66" s="881"/>
      <c r="K66" s="881"/>
      <c r="L66" s="881"/>
      <c r="M66" s="881"/>
      <c r="N66" s="881"/>
      <c r="O66" s="881"/>
      <c r="P66" s="881"/>
      <c r="Q66" s="881" t="s">
        <v>915</v>
      </c>
      <c r="R66" s="881"/>
      <c r="S66" s="881"/>
      <c r="T66" s="881" t="s">
        <v>916</v>
      </c>
      <c r="U66" s="881"/>
      <c r="V66" s="881"/>
      <c r="W66" s="881"/>
      <c r="X66" s="881"/>
      <c r="Y66" s="881"/>
      <c r="Z66" s="881"/>
      <c r="AA66" s="881"/>
      <c r="AB66" s="881"/>
      <c r="AC66" s="881"/>
      <c r="AD66" s="881"/>
      <c r="AE66" s="881"/>
      <c r="AF66" s="881"/>
      <c r="AG66" s="881"/>
    </row>
    <row r="67" spans="1:33" s="433" customFormat="1" ht="19.5" customHeight="1">
      <c r="A67" s="438" t="s">
        <v>459</v>
      </c>
      <c r="B67" s="552">
        <f>SUM(B68:B70)</f>
        <v>0</v>
      </c>
      <c r="C67" s="552">
        <f>SUM(C68:C70)</f>
        <v>0</v>
      </c>
      <c r="D67" s="552">
        <f>SUM(D68:D70)</f>
        <v>0</v>
      </c>
      <c r="E67" s="439"/>
      <c r="F67" s="440"/>
      <c r="G67" s="441"/>
      <c r="I67" s="881"/>
      <c r="J67" s="881"/>
      <c r="K67" s="881"/>
      <c r="L67" s="881"/>
      <c r="M67" s="881"/>
      <c r="N67" s="881"/>
      <c r="O67" s="881"/>
      <c r="P67" s="881"/>
      <c r="Q67" s="881" t="s">
        <v>908</v>
      </c>
      <c r="R67" s="882">
        <f>+R40+R39+R38+R37+R36</f>
        <v>24173524.5692</v>
      </c>
      <c r="S67" s="881"/>
      <c r="T67" s="881" t="s">
        <v>908</v>
      </c>
      <c r="U67" s="882">
        <f>+U37+U40+U41</f>
        <v>24203796</v>
      </c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</row>
    <row r="68" spans="1:33" s="433" customFormat="1" ht="19.5" customHeight="1">
      <c r="A68" s="438" t="s">
        <v>1</v>
      </c>
      <c r="B68" s="822">
        <v>0</v>
      </c>
      <c r="C68" s="548">
        <v>0</v>
      </c>
      <c r="D68" s="549">
        <v>0</v>
      </c>
      <c r="E68" s="439"/>
      <c r="F68" s="440"/>
      <c r="G68" s="441"/>
      <c r="I68" s="881"/>
      <c r="J68" s="881"/>
      <c r="K68" s="881"/>
      <c r="L68" s="881"/>
      <c r="M68" s="881"/>
      <c r="N68" s="881"/>
      <c r="O68" s="881"/>
      <c r="P68" s="881"/>
      <c r="Q68" s="881"/>
      <c r="R68" s="883"/>
      <c r="S68" s="881"/>
      <c r="T68" s="881" t="str">
        <f>+T36</f>
        <v>POLITICA DE TRANSPORTE 2013</v>
      </c>
      <c r="U68" s="883">
        <f>+U36</f>
        <v>1536373.36</v>
      </c>
      <c r="V68" s="881"/>
      <c r="W68" s="881"/>
      <c r="X68" s="881"/>
      <c r="Y68" s="881"/>
      <c r="Z68" s="881"/>
      <c r="AA68" s="881"/>
      <c r="AB68" s="881"/>
      <c r="AC68" s="881"/>
      <c r="AD68" s="881"/>
      <c r="AE68" s="881"/>
      <c r="AF68" s="881"/>
      <c r="AG68" s="881"/>
    </row>
    <row r="69" spans="1:33" s="433" customFormat="1" ht="19.5" customHeight="1">
      <c r="A69" s="438" t="s">
        <v>2</v>
      </c>
      <c r="B69" s="822">
        <v>0</v>
      </c>
      <c r="C69" s="548">
        <v>0</v>
      </c>
      <c r="D69" s="549">
        <v>0</v>
      </c>
      <c r="E69" s="439"/>
      <c r="F69" s="440"/>
      <c r="G69" s="441"/>
      <c r="I69" s="881"/>
      <c r="J69" s="881"/>
      <c r="K69" s="881"/>
      <c r="L69" s="881"/>
      <c r="M69" s="881"/>
      <c r="N69" s="881"/>
      <c r="O69" s="881"/>
      <c r="P69" s="881"/>
      <c r="Q69" s="881" t="s">
        <v>909</v>
      </c>
      <c r="R69" s="882">
        <f>+R43+R42+R41</f>
        <v>527767.21</v>
      </c>
      <c r="S69" s="881"/>
      <c r="T69" s="881" t="str">
        <f>+Q69</f>
        <v>CONVENIOS</v>
      </c>
      <c r="U69" s="882">
        <f>+U48</f>
        <v>565967.38</v>
      </c>
      <c r="V69" s="881"/>
      <c r="W69" s="881"/>
      <c r="X69" s="881"/>
      <c r="Y69" s="881"/>
      <c r="Z69" s="881"/>
      <c r="AA69" s="881"/>
      <c r="AB69" s="881"/>
      <c r="AC69" s="881"/>
      <c r="AD69" s="881"/>
      <c r="AE69" s="881"/>
      <c r="AF69" s="881"/>
      <c r="AG69" s="881"/>
    </row>
    <row r="70" spans="1:33" s="433" customFormat="1" ht="19.5" customHeight="1">
      <c r="A70" s="438" t="s">
        <v>3</v>
      </c>
      <c r="B70" s="549">
        <v>0</v>
      </c>
      <c r="C70" s="548">
        <v>0</v>
      </c>
      <c r="D70" s="549">
        <v>0</v>
      </c>
      <c r="E70" s="439"/>
      <c r="F70" s="440"/>
      <c r="G70" s="441"/>
      <c r="I70" s="881"/>
      <c r="J70" s="881"/>
      <c r="K70" s="881"/>
      <c r="L70" s="881"/>
      <c r="M70" s="881"/>
      <c r="N70" s="881"/>
      <c r="O70" s="881"/>
      <c r="P70" s="881"/>
      <c r="Q70" s="881" t="str">
        <f>+Q45</f>
        <v>INVERSIÓN 2016</v>
      </c>
      <c r="R70" s="882">
        <f>+R45</f>
        <v>593850</v>
      </c>
      <c r="S70" s="881"/>
      <c r="T70" s="881" t="str">
        <f>+T42</f>
        <v>INVERSIÓN 2016</v>
      </c>
      <c r="U70" s="882">
        <f>+U42</f>
        <v>593850</v>
      </c>
      <c r="V70" s="881"/>
      <c r="W70" s="881"/>
      <c r="X70" s="881"/>
      <c r="Y70" s="881"/>
      <c r="Z70" s="881"/>
      <c r="AA70" s="881"/>
      <c r="AB70" s="881"/>
      <c r="AC70" s="881"/>
      <c r="AD70" s="881"/>
      <c r="AE70" s="881"/>
      <c r="AF70" s="881"/>
      <c r="AG70" s="881"/>
    </row>
    <row r="71" spans="1:33" s="433" customFormat="1" ht="19.5" customHeight="1">
      <c r="A71" s="438" t="s">
        <v>784</v>
      </c>
      <c r="B71" s="552">
        <f>SUM(B72:B74)</f>
        <v>2092.71</v>
      </c>
      <c r="C71" s="552">
        <f>SUM(C72:C74)</f>
        <v>0</v>
      </c>
      <c r="D71" s="552">
        <f>SUM(D72:D74)</f>
        <v>0</v>
      </c>
      <c r="E71" s="442"/>
      <c r="F71" s="440">
        <f>+C71-B71</f>
        <v>-2092.71</v>
      </c>
      <c r="G71" s="441">
        <f>-D71-C71</f>
        <v>0</v>
      </c>
      <c r="I71" s="881"/>
      <c r="J71" s="881"/>
      <c r="K71" s="881"/>
      <c r="L71" s="881"/>
      <c r="M71" s="881"/>
      <c r="N71" s="881"/>
      <c r="O71" s="881"/>
      <c r="P71" s="881"/>
      <c r="Q71" s="881" t="s">
        <v>910</v>
      </c>
      <c r="R71" s="882">
        <f>+R50+R49+R48+R47+R46</f>
        <v>3333748.4000000004</v>
      </c>
      <c r="S71" s="881"/>
      <c r="T71" s="881" t="str">
        <f>+Q71</f>
        <v>ASIST,RENTING, EQUIPO BILL</v>
      </c>
      <c r="U71" s="882">
        <f>+U47+U46+U45+U44+U43</f>
        <v>3333749.64</v>
      </c>
      <c r="V71" s="881"/>
      <c r="W71" s="881"/>
      <c r="X71" s="881"/>
      <c r="Y71" s="881"/>
      <c r="Z71" s="881"/>
      <c r="AA71" s="881"/>
      <c r="AB71" s="881"/>
      <c r="AC71" s="881"/>
      <c r="AD71" s="881"/>
      <c r="AE71" s="881"/>
      <c r="AF71" s="881"/>
      <c r="AG71" s="881"/>
    </row>
    <row r="72" spans="1:33" s="433" customFormat="1" ht="19.5" customHeight="1">
      <c r="A72" s="438" t="s">
        <v>1</v>
      </c>
      <c r="B72" s="549">
        <v>0</v>
      </c>
      <c r="C72" s="549">
        <v>0</v>
      </c>
      <c r="D72" s="549">
        <v>0</v>
      </c>
      <c r="E72" s="442"/>
      <c r="F72" s="440"/>
      <c r="G72" s="441"/>
      <c r="I72" s="881"/>
      <c r="J72" s="881"/>
      <c r="K72" s="881"/>
      <c r="L72" s="881"/>
      <c r="M72" s="881"/>
      <c r="N72" s="881"/>
      <c r="O72" s="881"/>
      <c r="P72" s="881"/>
      <c r="Q72" s="881" t="s">
        <v>912</v>
      </c>
      <c r="R72" s="882">
        <f>+R53+R52+R51</f>
        <v>1614137.98</v>
      </c>
      <c r="S72" s="881"/>
      <c r="T72" s="881" t="str">
        <f>+Q72</f>
        <v>CAMP.FOM + VIA MOVIL</v>
      </c>
      <c r="U72" s="882">
        <f>+U53+U51+U52</f>
        <v>1614137.98</v>
      </c>
      <c r="V72" s="881"/>
      <c r="W72" s="881"/>
      <c r="X72" s="881"/>
      <c r="Y72" s="881"/>
      <c r="Z72" s="881"/>
      <c r="AA72" s="881"/>
      <c r="AB72" s="881"/>
      <c r="AC72" s="881"/>
      <c r="AD72" s="881"/>
      <c r="AE72" s="881"/>
      <c r="AF72" s="881"/>
      <c r="AG72" s="881"/>
    </row>
    <row r="73" spans="1:33" s="433" customFormat="1" ht="19.5" customHeight="1">
      <c r="A73" s="438" t="s">
        <v>2</v>
      </c>
      <c r="B73" s="821">
        <v>2092.71</v>
      </c>
      <c r="C73" s="549">
        <v>0</v>
      </c>
      <c r="D73" s="549">
        <v>0</v>
      </c>
      <c r="E73" s="442"/>
      <c r="F73" s="440"/>
      <c r="G73" s="441"/>
      <c r="I73" s="881"/>
      <c r="J73" s="881"/>
      <c r="K73" s="881"/>
      <c r="L73" s="881"/>
      <c r="M73" s="881"/>
      <c r="N73" s="881"/>
      <c r="O73" s="881"/>
      <c r="P73" s="881"/>
      <c r="Q73" s="881" t="s">
        <v>911</v>
      </c>
      <c r="R73" s="882">
        <f>+R54+R55</f>
        <v>12427106.56</v>
      </c>
      <c r="S73" s="881"/>
      <c r="T73" s="881" t="str">
        <f>+T54</f>
        <v>LIQUIDACIÓN 2016 A CUENTA</v>
      </c>
      <c r="U73" s="882">
        <f>+U54</f>
        <v>10843128</v>
      </c>
      <c r="V73" s="881"/>
      <c r="W73" s="881"/>
      <c r="X73" s="881"/>
      <c r="Y73" s="881"/>
      <c r="Z73" s="881"/>
      <c r="AA73" s="881"/>
      <c r="AB73" s="881"/>
      <c r="AC73" s="881"/>
      <c r="AD73" s="881"/>
      <c r="AE73" s="881"/>
      <c r="AF73" s="881"/>
      <c r="AG73" s="881"/>
    </row>
    <row r="74" spans="1:33" s="433" customFormat="1" ht="19.5" customHeight="1">
      <c r="A74" s="438" t="s">
        <v>3</v>
      </c>
      <c r="B74" s="549">
        <v>0</v>
      </c>
      <c r="C74" s="549">
        <v>0</v>
      </c>
      <c r="D74" s="549">
        <v>0</v>
      </c>
      <c r="E74" s="442"/>
      <c r="F74" s="440"/>
      <c r="G74" s="441"/>
      <c r="I74" s="881"/>
      <c r="J74" s="881"/>
      <c r="K74" s="881"/>
      <c r="L74" s="881"/>
      <c r="M74" s="881"/>
      <c r="N74" s="881"/>
      <c r="O74" s="881"/>
      <c r="P74" s="881"/>
      <c r="Q74" s="881" t="str">
        <f>+Q56</f>
        <v>Renting Flota 1 (19 veh.u)</v>
      </c>
      <c r="R74" s="882">
        <f>+R56</f>
        <v>807804</v>
      </c>
      <c r="S74" s="881"/>
      <c r="T74" s="881" t="str">
        <f>+T56</f>
        <v>RENTING FLOTA 1 (19 VEH.U) 2016</v>
      </c>
      <c r="U74" s="882">
        <f>+U56</f>
        <v>807804</v>
      </c>
      <c r="V74" s="881"/>
      <c r="W74" s="881"/>
      <c r="X74" s="881"/>
      <c r="Y74" s="881"/>
      <c r="Z74" s="881"/>
      <c r="AA74" s="881"/>
      <c r="AB74" s="881"/>
      <c r="AC74" s="881"/>
      <c r="AD74" s="881"/>
      <c r="AE74" s="881"/>
      <c r="AF74" s="881"/>
      <c r="AG74" s="881"/>
    </row>
    <row r="75" spans="1:33" s="433" customFormat="1" ht="27" customHeight="1">
      <c r="A75" s="443" t="s">
        <v>708</v>
      </c>
      <c r="B75" s="549">
        <v>0</v>
      </c>
      <c r="C75" s="549">
        <v>0</v>
      </c>
      <c r="D75" s="549">
        <v>0</v>
      </c>
      <c r="E75" s="442"/>
      <c r="F75" s="440"/>
      <c r="G75" s="441"/>
      <c r="I75" s="881"/>
      <c r="J75" s="881"/>
      <c r="K75" s="881"/>
      <c r="L75" s="881"/>
      <c r="M75" s="881"/>
      <c r="N75" s="881"/>
      <c r="O75" s="881"/>
      <c r="P75" s="881"/>
      <c r="Q75" s="881"/>
      <c r="R75" s="883"/>
      <c r="S75" s="881"/>
      <c r="T75" s="881" t="str">
        <f>+T55</f>
        <v>RENTING FLOTA 1 (19 VEH.U) 2015</v>
      </c>
      <c r="U75" s="883">
        <f>+U55</f>
        <v>605853</v>
      </c>
      <c r="V75" s="881"/>
      <c r="W75" s="881"/>
      <c r="X75" s="881"/>
      <c r="Y75" s="881"/>
      <c r="Z75" s="881"/>
      <c r="AA75" s="881"/>
      <c r="AB75" s="881"/>
      <c r="AC75" s="881"/>
      <c r="AD75" s="881"/>
      <c r="AE75" s="881"/>
      <c r="AF75" s="881"/>
      <c r="AG75" s="881"/>
    </row>
    <row r="76" spans="1:33" s="433" customFormat="1" ht="27" customHeight="1">
      <c r="A76" s="443" t="s">
        <v>555</v>
      </c>
      <c r="B76" s="551">
        <f>SUM(B77:B79)</f>
        <v>0</v>
      </c>
      <c r="C76" s="551">
        <f>SUM(C77:C79)</f>
        <v>0</v>
      </c>
      <c r="D76" s="551">
        <f>SUM(D77:D79)</f>
        <v>0</v>
      </c>
      <c r="E76" s="442"/>
      <c r="F76" s="440"/>
      <c r="G76" s="441"/>
      <c r="I76" s="881"/>
      <c r="J76" s="881"/>
      <c r="K76" s="881"/>
      <c r="L76" s="881"/>
      <c r="M76" s="881"/>
      <c r="N76" s="881"/>
      <c r="O76" s="881"/>
      <c r="P76" s="881"/>
      <c r="Q76" s="881" t="str">
        <f>+Q57</f>
        <v>Urbano Laguna 2016</v>
      </c>
      <c r="R76" s="883">
        <f>+R57</f>
        <v>1197548.9100000001</v>
      </c>
      <c r="S76" s="881"/>
      <c r="T76" s="881" t="str">
        <f>+T57</f>
        <v>DÉFICIT LA LAGUNA 2014</v>
      </c>
      <c r="U76" s="883">
        <f>+U57</f>
        <v>332772.51</v>
      </c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</row>
    <row r="77" spans="1:33" s="433" customFormat="1" ht="19.5" customHeight="1">
      <c r="A77" s="438" t="s">
        <v>556</v>
      </c>
      <c r="B77" s="549">
        <v>0</v>
      </c>
      <c r="C77" s="549">
        <v>0</v>
      </c>
      <c r="D77" s="549">
        <v>0</v>
      </c>
      <c r="E77" s="442"/>
      <c r="F77" s="440"/>
      <c r="G77" s="441"/>
      <c r="I77" s="881"/>
      <c r="J77" s="881"/>
      <c r="K77" s="881"/>
      <c r="L77" s="881"/>
      <c r="M77" s="881"/>
      <c r="N77" s="881"/>
      <c r="O77" s="881"/>
      <c r="P77" s="881"/>
      <c r="Q77" s="881"/>
      <c r="R77" s="883"/>
      <c r="S77" s="881"/>
      <c r="T77" s="881" t="str">
        <f>+T58</f>
        <v>DÉFICIT LA LAGUNA 2015</v>
      </c>
      <c r="U77" s="883">
        <f>+U58</f>
        <v>1197548.91</v>
      </c>
      <c r="V77" s="881"/>
      <c r="W77" s="881"/>
      <c r="X77" s="881"/>
      <c r="Y77" s="881"/>
      <c r="Z77" s="881"/>
      <c r="AA77" s="881"/>
      <c r="AB77" s="881"/>
      <c r="AC77" s="881"/>
      <c r="AD77" s="881"/>
      <c r="AE77" s="881"/>
      <c r="AF77" s="881"/>
      <c r="AG77" s="881"/>
    </row>
    <row r="78" spans="1:33" s="433" customFormat="1" ht="19.5" customHeight="1">
      <c r="A78" s="438" t="s">
        <v>557</v>
      </c>
      <c r="B78" s="549">
        <v>0</v>
      </c>
      <c r="C78" s="549">
        <v>0</v>
      </c>
      <c r="D78" s="549">
        <v>0</v>
      </c>
      <c r="E78" s="442"/>
      <c r="F78" s="440"/>
      <c r="G78" s="441"/>
      <c r="I78" s="881"/>
      <c r="J78" s="881"/>
      <c r="K78" s="881"/>
      <c r="L78" s="881"/>
      <c r="M78" s="881"/>
      <c r="N78" s="881"/>
      <c r="O78" s="881"/>
      <c r="P78" s="881"/>
      <c r="Q78" s="881"/>
      <c r="R78" s="898">
        <f>SUM(R67:R77)</f>
        <v>44675487.6292</v>
      </c>
      <c r="S78" s="881"/>
      <c r="T78" s="881"/>
      <c r="U78" s="898">
        <f>SUM(U67:U77)</f>
        <v>45634980.779999994</v>
      </c>
      <c r="V78" s="881"/>
      <c r="W78" s="881"/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</row>
    <row r="79" spans="1:33" s="433" customFormat="1" ht="19.5" customHeight="1">
      <c r="A79" s="438" t="s">
        <v>558</v>
      </c>
      <c r="B79" s="549">
        <v>0</v>
      </c>
      <c r="C79" s="549">
        <v>0</v>
      </c>
      <c r="D79" s="549">
        <v>0</v>
      </c>
      <c r="E79" s="442"/>
      <c r="F79" s="440"/>
      <c r="G79" s="441"/>
      <c r="I79" s="881"/>
      <c r="J79" s="881"/>
      <c r="K79" s="881"/>
      <c r="L79" s="881"/>
      <c r="M79" s="881"/>
      <c r="N79" s="881"/>
      <c r="O79" s="881"/>
      <c r="P79" s="881"/>
      <c r="Q79" s="881"/>
      <c r="R79" s="883">
        <f>+R78-R61</f>
        <v>0</v>
      </c>
      <c r="S79" s="881"/>
      <c r="T79" s="881"/>
      <c r="U79" s="883"/>
      <c r="V79" s="881"/>
      <c r="W79" s="881"/>
      <c r="X79" s="881"/>
      <c r="Y79" s="881"/>
      <c r="Z79" s="881"/>
      <c r="AA79" s="881"/>
      <c r="AB79" s="881"/>
      <c r="AC79" s="881"/>
      <c r="AD79" s="881"/>
      <c r="AE79" s="881"/>
      <c r="AF79" s="881"/>
      <c r="AG79" s="881"/>
    </row>
    <row r="80" spans="1:33" s="433" customFormat="1" ht="29.25" customHeight="1">
      <c r="A80" s="443" t="s">
        <v>554</v>
      </c>
      <c r="B80" s="551">
        <f>SUM(B81:B82)</f>
        <v>-41975.53</v>
      </c>
      <c r="C80" s="551">
        <f>SUM(C81:C82)</f>
        <v>255818.13</v>
      </c>
      <c r="D80" s="551">
        <f>SUM(D81:D82)</f>
        <v>-17.54</v>
      </c>
      <c r="E80" s="442"/>
      <c r="F80" s="440">
        <f>+C80-B80</f>
        <v>297793.66000000003</v>
      </c>
      <c r="G80" s="441">
        <f>-D80-C80</f>
        <v>-255800.59</v>
      </c>
      <c r="I80" s="881"/>
      <c r="J80" s="881"/>
      <c r="K80" s="881"/>
      <c r="L80" s="881"/>
      <c r="M80" s="881"/>
      <c r="N80" s="881"/>
      <c r="O80" s="881"/>
      <c r="P80" s="881"/>
      <c r="Q80" s="881"/>
      <c r="R80" s="883"/>
      <c r="S80" s="881"/>
      <c r="T80" s="881"/>
      <c r="U80" s="883"/>
      <c r="V80" s="881"/>
      <c r="W80" s="881"/>
      <c r="X80" s="881"/>
      <c r="Y80" s="881"/>
      <c r="Z80" s="881"/>
      <c r="AA80" s="881"/>
      <c r="AB80" s="881"/>
      <c r="AC80" s="881"/>
      <c r="AD80" s="881"/>
      <c r="AE80" s="881"/>
      <c r="AF80" s="881"/>
      <c r="AG80" s="881"/>
    </row>
    <row r="81" spans="1:33" s="433" customFormat="1" ht="21.75" customHeight="1">
      <c r="A81" s="438" t="s">
        <v>82</v>
      </c>
      <c r="B81" s="822">
        <v>-37067.65</v>
      </c>
      <c r="C81" s="549">
        <v>0</v>
      </c>
      <c r="D81" s="549">
        <v>-17.54</v>
      </c>
      <c r="E81" s="442"/>
      <c r="F81" s="440"/>
      <c r="G81" s="441"/>
      <c r="I81" s="881"/>
      <c r="J81" s="881"/>
      <c r="K81" s="881"/>
      <c r="L81" s="881"/>
      <c r="M81" s="881"/>
      <c r="N81" s="881"/>
      <c r="O81" s="881"/>
      <c r="P81" s="881"/>
      <c r="Q81" s="881"/>
      <c r="R81" s="883"/>
      <c r="S81" s="881"/>
      <c r="T81" s="881"/>
      <c r="U81" s="881"/>
      <c r="V81" s="881"/>
      <c r="W81" s="881"/>
      <c r="X81" s="881"/>
      <c r="Y81" s="881"/>
      <c r="Z81" s="881"/>
      <c r="AA81" s="881"/>
      <c r="AB81" s="881"/>
      <c r="AC81" s="881"/>
      <c r="AD81" s="881"/>
      <c r="AE81" s="881"/>
      <c r="AF81" s="881"/>
      <c r="AG81" s="881"/>
    </row>
    <row r="82" spans="1:33" s="433" customFormat="1" ht="21" customHeight="1">
      <c r="A82" s="438" t="s">
        <v>83</v>
      </c>
      <c r="B82" s="822">
        <v>-4907.88</v>
      </c>
      <c r="C82" s="549">
        <v>255818.13</v>
      </c>
      <c r="D82" s="549">
        <v>0</v>
      </c>
      <c r="E82" s="442"/>
      <c r="F82" s="440"/>
      <c r="G82" s="441"/>
      <c r="I82" s="881"/>
      <c r="J82" s="881"/>
      <c r="K82" s="881"/>
      <c r="L82" s="881"/>
      <c r="M82" s="881"/>
      <c r="N82" s="881"/>
      <c r="O82" s="881"/>
      <c r="P82" s="881"/>
      <c r="Q82" s="881"/>
      <c r="R82" s="883"/>
      <c r="S82" s="881"/>
      <c r="T82" s="881"/>
      <c r="U82" s="881"/>
      <c r="V82" s="881"/>
      <c r="W82" s="881"/>
      <c r="X82" s="881"/>
      <c r="Y82" s="881"/>
      <c r="Z82" s="881"/>
      <c r="AA82" s="881"/>
      <c r="AB82" s="881"/>
      <c r="AC82" s="881"/>
      <c r="AD82" s="881"/>
      <c r="AE82" s="881"/>
      <c r="AF82" s="881"/>
      <c r="AG82" s="881"/>
    </row>
    <row r="83" spans="1:33" s="433" customFormat="1" ht="33" customHeight="1">
      <c r="A83" s="443" t="s">
        <v>559</v>
      </c>
      <c r="B83" s="551">
        <f>B12+B25+B28+B29+B34+B46+B55+B60+B64+B65+B66+B80+B75+B76</f>
        <v>346196.94999999774</v>
      </c>
      <c r="C83" s="551">
        <f>C12+C25+C28+C29+C34+C46+C55+C60+C64+C65+C66+C80+C75+C76</f>
        <v>126732.20000000868</v>
      </c>
      <c r="D83" s="551">
        <f>D12+D25+D28+D29+D34+D46+D55+D60+D64+D65+D66+D80+D75+D76</f>
        <v>25975.58299999967</v>
      </c>
      <c r="E83" s="435"/>
      <c r="F83" s="436">
        <f>+C83-B83</f>
        <v>-219464.74999998906</v>
      </c>
      <c r="G83" s="437">
        <f>+D83-C83</f>
        <v>-100756.61700000902</v>
      </c>
      <c r="I83" s="881"/>
      <c r="J83" s="881"/>
      <c r="K83" s="881"/>
      <c r="L83" s="881"/>
      <c r="M83" s="881"/>
      <c r="N83" s="881"/>
      <c r="O83" s="881"/>
      <c r="P83" s="881"/>
      <c r="Q83" s="881"/>
      <c r="R83" s="883"/>
      <c r="S83" s="881"/>
      <c r="T83" s="881"/>
      <c r="U83" s="881"/>
      <c r="V83" s="881"/>
      <c r="W83" s="881"/>
      <c r="X83" s="881"/>
      <c r="Y83" s="881"/>
      <c r="Z83" s="881"/>
      <c r="AA83" s="881"/>
      <c r="AB83" s="881"/>
      <c r="AC83" s="881"/>
      <c r="AD83" s="881"/>
      <c r="AE83" s="881"/>
      <c r="AF83" s="881"/>
      <c r="AG83" s="881"/>
    </row>
    <row r="84" spans="1:33" s="433" customFormat="1" ht="27.75" customHeight="1">
      <c r="A84" s="443" t="s">
        <v>560</v>
      </c>
      <c r="B84" s="551">
        <f>SUM(B85+B88+B91)</f>
        <v>1325162.31</v>
      </c>
      <c r="C84" s="551">
        <f>SUM(C85+C88+C91)</f>
        <v>340000</v>
      </c>
      <c r="D84" s="551">
        <f>SUM(D85+D88+D91)</f>
        <v>308500</v>
      </c>
      <c r="E84" s="435"/>
      <c r="F84" s="436">
        <f>+C84-B84</f>
        <v>-985162.31</v>
      </c>
      <c r="G84" s="437">
        <f>+D84-C84</f>
        <v>-31500</v>
      </c>
      <c r="I84" s="881"/>
      <c r="J84" s="881"/>
      <c r="K84" s="881"/>
      <c r="L84" s="881"/>
      <c r="M84" s="881"/>
      <c r="N84" s="881"/>
      <c r="O84" s="881"/>
      <c r="P84" s="881"/>
      <c r="Q84" s="881"/>
      <c r="R84" s="883"/>
      <c r="S84" s="881"/>
      <c r="T84" s="881"/>
      <c r="U84" s="881"/>
      <c r="V84" s="881"/>
      <c r="W84" s="881"/>
      <c r="X84" s="881"/>
      <c r="Y84" s="881"/>
      <c r="Z84" s="881"/>
      <c r="AA84" s="881"/>
      <c r="AB84" s="881"/>
      <c r="AC84" s="881"/>
      <c r="AD84" s="881"/>
      <c r="AE84" s="881"/>
      <c r="AF84" s="881"/>
      <c r="AG84" s="881"/>
    </row>
    <row r="85" spans="1:33" s="433" customFormat="1" ht="19.5" customHeight="1">
      <c r="A85" s="438" t="s">
        <v>257</v>
      </c>
      <c r="B85" s="552">
        <f>SUM(B86:B87)</f>
        <v>0</v>
      </c>
      <c r="C85" s="552">
        <f>SUM(C86:C87)</f>
        <v>0</v>
      </c>
      <c r="D85" s="552">
        <f>SUM(D86:D87)</f>
        <v>0</v>
      </c>
      <c r="E85" s="442"/>
      <c r="F85" s="447"/>
      <c r="G85" s="441"/>
      <c r="I85" s="881"/>
      <c r="J85" s="881"/>
      <c r="K85" s="881"/>
      <c r="L85" s="881"/>
      <c r="M85" s="881"/>
      <c r="N85" s="881"/>
      <c r="O85" s="881"/>
      <c r="P85" s="881"/>
      <c r="Q85" s="881"/>
      <c r="R85" s="883"/>
      <c r="S85" s="881"/>
      <c r="T85" s="881"/>
      <c r="U85" s="881"/>
      <c r="V85" s="881"/>
      <c r="W85" s="881"/>
      <c r="X85" s="881"/>
      <c r="Y85" s="881"/>
      <c r="Z85" s="881"/>
      <c r="AA85" s="881"/>
      <c r="AB85" s="881"/>
      <c r="AC85" s="881"/>
      <c r="AD85" s="881"/>
      <c r="AE85" s="881"/>
      <c r="AF85" s="881"/>
      <c r="AG85" s="881"/>
    </row>
    <row r="86" spans="1:33" s="433" customFormat="1" ht="19.5" customHeight="1">
      <c r="A86" s="438" t="s">
        <v>258</v>
      </c>
      <c r="B86" s="549">
        <v>0</v>
      </c>
      <c r="C86" s="548"/>
      <c r="D86" s="549"/>
      <c r="E86" s="442"/>
      <c r="F86" s="447"/>
      <c r="G86" s="441"/>
      <c r="I86" s="881"/>
      <c r="J86" s="881"/>
      <c r="K86" s="881"/>
      <c r="L86" s="881"/>
      <c r="M86" s="881"/>
      <c r="N86" s="881"/>
      <c r="O86" s="881"/>
      <c r="P86" s="881"/>
      <c r="Q86" s="881"/>
      <c r="R86" s="883"/>
      <c r="S86" s="881"/>
      <c r="T86" s="881"/>
      <c r="U86" s="881"/>
      <c r="V86" s="881"/>
      <c r="W86" s="881"/>
      <c r="X86" s="881"/>
      <c r="Y86" s="881"/>
      <c r="Z86" s="881"/>
      <c r="AA86" s="881"/>
      <c r="AB86" s="881"/>
      <c r="AC86" s="881"/>
      <c r="AD86" s="881"/>
      <c r="AE86" s="881"/>
      <c r="AF86" s="881"/>
      <c r="AG86" s="881"/>
    </row>
    <row r="87" spans="1:33" s="433" customFormat="1" ht="19.5" customHeight="1">
      <c r="A87" s="438" t="s">
        <v>259</v>
      </c>
      <c r="B87" s="549">
        <v>0</v>
      </c>
      <c r="C87" s="548"/>
      <c r="D87" s="549"/>
      <c r="E87" s="442"/>
      <c r="F87" s="447"/>
      <c r="G87" s="441"/>
      <c r="I87" s="881"/>
      <c r="J87" s="881"/>
      <c r="K87" s="881"/>
      <c r="L87" s="881"/>
      <c r="M87" s="881"/>
      <c r="N87" s="881"/>
      <c r="O87" s="881"/>
      <c r="P87" s="881"/>
      <c r="Q87" s="881"/>
      <c r="R87" s="883"/>
      <c r="S87" s="881"/>
      <c r="T87" s="881"/>
      <c r="U87" s="881"/>
      <c r="V87" s="881"/>
      <c r="W87" s="881"/>
      <c r="X87" s="881"/>
      <c r="Y87" s="881"/>
      <c r="Z87" s="881"/>
      <c r="AA87" s="881"/>
      <c r="AB87" s="881"/>
      <c r="AC87" s="881"/>
      <c r="AD87" s="881"/>
      <c r="AE87" s="881"/>
      <c r="AF87" s="881"/>
      <c r="AG87" s="881"/>
    </row>
    <row r="88" spans="1:33" s="433" customFormat="1" ht="19.5" customHeight="1">
      <c r="A88" s="438" t="s">
        <v>785</v>
      </c>
      <c r="B88" s="552">
        <f>SUM(B89:B90)</f>
        <v>1325162.31</v>
      </c>
      <c r="C88" s="552">
        <f>SUM(C89:C90)</f>
        <v>340000</v>
      </c>
      <c r="D88" s="552">
        <f>SUM(D89:D90)</f>
        <v>308500</v>
      </c>
      <c r="E88" s="442"/>
      <c r="F88" s="440">
        <f>+C88-B88</f>
        <v>-985162.31</v>
      </c>
      <c r="G88" s="441">
        <f>-D88-C88</f>
        <v>-648500</v>
      </c>
      <c r="I88" s="881"/>
      <c r="J88" s="881"/>
      <c r="K88" s="881"/>
      <c r="L88" s="881"/>
      <c r="M88" s="881"/>
      <c r="N88" s="881"/>
      <c r="O88" s="881"/>
      <c r="P88" s="881"/>
      <c r="Q88" s="881"/>
      <c r="R88" s="883"/>
      <c r="S88" s="881"/>
      <c r="T88" s="881"/>
      <c r="U88" s="881"/>
      <c r="V88" s="881"/>
      <c r="W88" s="881"/>
      <c r="X88" s="881"/>
      <c r="Y88" s="881"/>
      <c r="Z88" s="881"/>
      <c r="AA88" s="881"/>
      <c r="AB88" s="881"/>
      <c r="AC88" s="881"/>
      <c r="AD88" s="881"/>
      <c r="AE88" s="881"/>
      <c r="AF88" s="881"/>
      <c r="AG88" s="881"/>
    </row>
    <row r="89" spans="1:33" s="433" customFormat="1" ht="19.5" customHeight="1">
      <c r="A89" s="438" t="s">
        <v>260</v>
      </c>
      <c r="B89" s="822">
        <v>1135419.74</v>
      </c>
      <c r="C89" s="549"/>
      <c r="D89" s="549"/>
      <c r="E89" s="442"/>
      <c r="F89" s="447"/>
      <c r="G89" s="441"/>
      <c r="I89" s="881"/>
      <c r="J89" s="881"/>
      <c r="K89" s="881"/>
      <c r="L89" s="881"/>
      <c r="M89" s="881"/>
      <c r="N89" s="881"/>
      <c r="O89" s="881"/>
      <c r="P89" s="881"/>
      <c r="Q89" s="881"/>
      <c r="R89" s="883"/>
      <c r="S89" s="881"/>
      <c r="T89" s="881"/>
      <c r="U89" s="881"/>
      <c r="V89" s="881"/>
      <c r="W89" s="881"/>
      <c r="X89" s="881"/>
      <c r="Y89" s="881"/>
      <c r="Z89" s="881"/>
      <c r="AA89" s="881"/>
      <c r="AB89" s="881"/>
      <c r="AC89" s="881"/>
      <c r="AD89" s="881"/>
      <c r="AE89" s="881"/>
      <c r="AF89" s="881"/>
      <c r="AG89" s="881"/>
    </row>
    <row r="90" spans="1:33" s="433" customFormat="1" ht="19.5" customHeight="1">
      <c r="A90" s="438" t="s">
        <v>261</v>
      </c>
      <c r="B90" s="822">
        <v>189742.57</v>
      </c>
      <c r="C90" s="549">
        <f>340000</f>
        <v>340000</v>
      </c>
      <c r="D90" s="549">
        <v>308500</v>
      </c>
      <c r="E90" s="451"/>
      <c r="F90" s="440">
        <f>+C90-B90</f>
        <v>150257.43</v>
      </c>
      <c r="G90" s="441">
        <f>-D90-C90</f>
        <v>-648500</v>
      </c>
      <c r="I90" s="881"/>
      <c r="J90" s="881"/>
      <c r="K90" s="881"/>
      <c r="L90" s="881"/>
      <c r="M90" s="881"/>
      <c r="N90" s="881"/>
      <c r="O90" s="881"/>
      <c r="P90" s="881"/>
      <c r="Q90" s="881"/>
      <c r="R90" s="883"/>
      <c r="S90" s="881"/>
      <c r="T90" s="881"/>
      <c r="U90" s="881"/>
      <c r="V90" s="881"/>
      <c r="W90" s="881"/>
      <c r="X90" s="881"/>
      <c r="Y90" s="881"/>
      <c r="Z90" s="881"/>
      <c r="AA90" s="881"/>
      <c r="AB90" s="881"/>
      <c r="AC90" s="881"/>
      <c r="AD90" s="881"/>
      <c r="AE90" s="881"/>
      <c r="AF90" s="881"/>
      <c r="AG90" s="881"/>
    </row>
    <row r="91" spans="1:33" s="433" customFormat="1" ht="19.5" customHeight="1">
      <c r="A91" s="438" t="s">
        <v>709</v>
      </c>
      <c r="B91" s="549">
        <v>0</v>
      </c>
      <c r="C91" s="549"/>
      <c r="D91" s="549"/>
      <c r="E91" s="451"/>
      <c r="F91" s="440"/>
      <c r="G91" s="441"/>
      <c r="I91" s="881"/>
      <c r="J91" s="881"/>
      <c r="K91" s="881"/>
      <c r="L91" s="881"/>
      <c r="M91" s="881"/>
      <c r="N91" s="881"/>
      <c r="O91" s="881"/>
      <c r="P91" s="881"/>
      <c r="Q91" s="881"/>
      <c r="R91" s="883"/>
      <c r="S91" s="881"/>
      <c r="T91" s="881"/>
      <c r="U91" s="881"/>
      <c r="V91" s="881"/>
      <c r="W91" s="881"/>
      <c r="X91" s="881"/>
      <c r="Y91" s="881"/>
      <c r="Z91" s="881"/>
      <c r="AA91" s="881"/>
      <c r="AB91" s="881"/>
      <c r="AC91" s="881"/>
      <c r="AD91" s="881"/>
      <c r="AE91" s="881"/>
      <c r="AF91" s="881"/>
      <c r="AG91" s="881"/>
    </row>
    <row r="92" spans="1:33" s="433" customFormat="1" ht="19.5" customHeight="1">
      <c r="A92" s="443" t="s">
        <v>561</v>
      </c>
      <c r="B92" s="551">
        <f>SUM(B93:B95)</f>
        <v>-1222600.07</v>
      </c>
      <c r="C92" s="551">
        <f>SUM(C93:C95)</f>
        <v>-344599.8</v>
      </c>
      <c r="D92" s="551">
        <f>D93+D94+D95</f>
        <v>-313099.8</v>
      </c>
      <c r="E92" s="444"/>
      <c r="F92" s="436">
        <f>+C92-B92</f>
        <v>878000.27</v>
      </c>
      <c r="G92" s="437">
        <f>+D92-C92</f>
        <v>31500</v>
      </c>
      <c r="I92" s="881"/>
      <c r="J92" s="881"/>
      <c r="K92" s="881"/>
      <c r="L92" s="881"/>
      <c r="M92" s="881"/>
      <c r="N92" s="881"/>
      <c r="O92" s="881"/>
      <c r="P92" s="881"/>
      <c r="Q92" s="881"/>
      <c r="R92" s="883"/>
      <c r="S92" s="881"/>
      <c r="T92" s="881"/>
      <c r="U92" s="881"/>
      <c r="V92" s="881"/>
      <c r="W92" s="881"/>
      <c r="X92" s="881"/>
      <c r="Y92" s="881"/>
      <c r="Z92" s="881"/>
      <c r="AA92" s="881"/>
      <c r="AB92" s="881"/>
      <c r="AC92" s="881"/>
      <c r="AD92" s="881"/>
      <c r="AE92" s="881"/>
      <c r="AF92" s="881"/>
      <c r="AG92" s="881"/>
    </row>
    <row r="93" spans="1:33" s="433" customFormat="1" ht="19.5" customHeight="1">
      <c r="A93" s="438" t="s">
        <v>262</v>
      </c>
      <c r="B93" s="549">
        <v>0</v>
      </c>
      <c r="C93" s="548"/>
      <c r="D93" s="549"/>
      <c r="E93" s="442"/>
      <c r="F93" s="447"/>
      <c r="G93" s="441"/>
      <c r="I93" s="881"/>
      <c r="J93" s="881"/>
      <c r="K93" s="881"/>
      <c r="L93" s="881"/>
      <c r="M93" s="881"/>
      <c r="N93" s="881"/>
      <c r="O93" s="881"/>
      <c r="P93" s="881"/>
      <c r="Q93" s="881"/>
      <c r="R93" s="883"/>
      <c r="S93" s="881"/>
      <c r="T93" s="881"/>
      <c r="U93" s="881"/>
      <c r="V93" s="881"/>
      <c r="W93" s="881"/>
      <c r="X93" s="881"/>
      <c r="Y93" s="881"/>
      <c r="Z93" s="881"/>
      <c r="AA93" s="881"/>
      <c r="AB93" s="881"/>
      <c r="AC93" s="881"/>
      <c r="AD93" s="881"/>
      <c r="AE93" s="881"/>
      <c r="AF93" s="881"/>
      <c r="AG93" s="881"/>
    </row>
    <row r="94" spans="1:33" s="433" customFormat="1" ht="19.5" customHeight="1">
      <c r="A94" s="438" t="s">
        <v>786</v>
      </c>
      <c r="B94" s="822">
        <v>-1222600.07</v>
      </c>
      <c r="C94" s="549">
        <f>-340000-4599.8</f>
        <v>-344599.8</v>
      </c>
      <c r="D94" s="549">
        <v>-313099.8</v>
      </c>
      <c r="E94" s="451"/>
      <c r="F94" s="452"/>
      <c r="G94" s="441"/>
      <c r="I94" s="881"/>
      <c r="J94" s="881"/>
      <c r="K94" s="881"/>
      <c r="L94" s="881"/>
      <c r="M94" s="881"/>
      <c r="N94" s="881"/>
      <c r="O94" s="881"/>
      <c r="P94" s="881"/>
      <c r="Q94" s="881"/>
      <c r="R94" s="883"/>
      <c r="S94" s="881"/>
      <c r="T94" s="881"/>
      <c r="U94" s="881"/>
      <c r="V94" s="881"/>
      <c r="W94" s="881"/>
      <c r="X94" s="881"/>
      <c r="Y94" s="881"/>
      <c r="Z94" s="881"/>
      <c r="AA94" s="881"/>
      <c r="AB94" s="881"/>
      <c r="AC94" s="881"/>
      <c r="AD94" s="881"/>
      <c r="AE94" s="881"/>
      <c r="AF94" s="881"/>
      <c r="AG94" s="881"/>
    </row>
    <row r="95" spans="1:33" s="433" customFormat="1" ht="19.5" customHeight="1">
      <c r="A95" s="438" t="s">
        <v>787</v>
      </c>
      <c r="B95" s="548">
        <v>0</v>
      </c>
      <c r="C95" s="548"/>
      <c r="D95" s="548"/>
      <c r="E95" s="453"/>
      <c r="F95" s="454"/>
      <c r="G95" s="441"/>
      <c r="I95" s="881"/>
      <c r="J95" s="881"/>
      <c r="K95" s="881"/>
      <c r="L95" s="881"/>
      <c r="M95" s="881"/>
      <c r="N95" s="881"/>
      <c r="O95" s="881"/>
      <c r="P95" s="881"/>
      <c r="Q95" s="881"/>
      <c r="R95" s="883"/>
      <c r="S95" s="881"/>
      <c r="T95" s="881"/>
      <c r="U95" s="881"/>
      <c r="V95" s="881"/>
      <c r="W95" s="881"/>
      <c r="X95" s="881"/>
      <c r="Y95" s="881"/>
      <c r="Z95" s="881"/>
      <c r="AA95" s="881"/>
      <c r="AB95" s="881"/>
      <c r="AC95" s="881"/>
      <c r="AD95" s="881"/>
      <c r="AE95" s="881"/>
      <c r="AF95" s="881"/>
      <c r="AG95" s="881"/>
    </row>
    <row r="96" spans="1:33" s="433" customFormat="1" ht="24.75" customHeight="1">
      <c r="A96" s="443" t="s">
        <v>562</v>
      </c>
      <c r="B96" s="551">
        <f>B97+B98</f>
        <v>0</v>
      </c>
      <c r="C96" s="551">
        <f>C97+C98</f>
        <v>0</v>
      </c>
      <c r="D96" s="551">
        <f>D97+D98</f>
        <v>0</v>
      </c>
      <c r="E96" s="444"/>
      <c r="F96" s="436">
        <f>+C96-B96</f>
        <v>0</v>
      </c>
      <c r="G96" s="437">
        <f>+D96-C96</f>
        <v>0</v>
      </c>
      <c r="I96" s="881"/>
      <c r="J96" s="881"/>
      <c r="K96" s="881"/>
      <c r="L96" s="881"/>
      <c r="M96" s="881"/>
      <c r="N96" s="881"/>
      <c r="O96" s="881"/>
      <c r="P96" s="881"/>
      <c r="Q96" s="881"/>
      <c r="R96" s="883"/>
      <c r="S96" s="881"/>
      <c r="T96" s="881"/>
      <c r="U96" s="881"/>
      <c r="V96" s="881"/>
      <c r="W96" s="881"/>
      <c r="X96" s="881"/>
      <c r="Y96" s="881"/>
      <c r="Z96" s="881"/>
      <c r="AA96" s="881"/>
      <c r="AB96" s="881"/>
      <c r="AC96" s="881"/>
      <c r="AD96" s="881"/>
      <c r="AE96" s="881"/>
      <c r="AF96" s="881"/>
      <c r="AG96" s="881"/>
    </row>
    <row r="97" spans="1:33" s="433" customFormat="1" ht="19.5" customHeight="1">
      <c r="A97" s="438" t="s">
        <v>263</v>
      </c>
      <c r="B97" s="548">
        <v>0</v>
      </c>
      <c r="C97" s="548"/>
      <c r="D97" s="548"/>
      <c r="E97" s="453"/>
      <c r="F97" s="454"/>
      <c r="G97" s="441"/>
      <c r="I97" s="881"/>
      <c r="J97" s="881"/>
      <c r="K97" s="881"/>
      <c r="L97" s="881"/>
      <c r="M97" s="881"/>
      <c r="N97" s="881"/>
      <c r="O97" s="881"/>
      <c r="P97" s="881"/>
      <c r="Q97" s="881"/>
      <c r="R97" s="883"/>
      <c r="S97" s="881"/>
      <c r="T97" s="881"/>
      <c r="U97" s="881"/>
      <c r="V97" s="881"/>
      <c r="W97" s="881"/>
      <c r="X97" s="881"/>
      <c r="Y97" s="881"/>
      <c r="Z97" s="881"/>
      <c r="AA97" s="881"/>
      <c r="AB97" s="881"/>
      <c r="AC97" s="881"/>
      <c r="AD97" s="881"/>
      <c r="AE97" s="881"/>
      <c r="AF97" s="881"/>
      <c r="AG97" s="881"/>
    </row>
    <row r="98" spans="1:33" s="433" customFormat="1" ht="28.5" customHeight="1">
      <c r="A98" s="455" t="s">
        <v>788</v>
      </c>
      <c r="B98" s="548">
        <v>0</v>
      </c>
      <c r="C98" s="548"/>
      <c r="D98" s="548"/>
      <c r="E98" s="453"/>
      <c r="F98" s="454"/>
      <c r="G98" s="441"/>
      <c r="I98" s="881"/>
      <c r="J98" s="881"/>
      <c r="K98" s="881"/>
      <c r="L98" s="881"/>
      <c r="M98" s="881"/>
      <c r="N98" s="881"/>
      <c r="O98" s="881"/>
      <c r="P98" s="881"/>
      <c r="Q98" s="881"/>
      <c r="R98" s="883"/>
      <c r="S98" s="881"/>
      <c r="T98" s="881"/>
      <c r="U98" s="881"/>
      <c r="V98" s="881"/>
      <c r="W98" s="881"/>
      <c r="X98" s="881"/>
      <c r="Y98" s="881"/>
      <c r="Z98" s="881"/>
      <c r="AA98" s="881"/>
      <c r="AB98" s="881"/>
      <c r="AC98" s="881"/>
      <c r="AD98" s="881"/>
      <c r="AE98" s="881"/>
      <c r="AF98" s="881"/>
      <c r="AG98" s="881"/>
    </row>
    <row r="99" spans="1:33" s="433" customFormat="1" ht="21.75" customHeight="1">
      <c r="A99" s="443" t="s">
        <v>563</v>
      </c>
      <c r="B99" s="548">
        <v>0</v>
      </c>
      <c r="C99" s="548"/>
      <c r="D99" s="548"/>
      <c r="E99" s="444"/>
      <c r="F99" s="445"/>
      <c r="G99" s="441"/>
      <c r="I99" s="881"/>
      <c r="J99" s="881"/>
      <c r="K99" s="881"/>
      <c r="L99" s="881"/>
      <c r="M99" s="881"/>
      <c r="N99" s="881"/>
      <c r="O99" s="881"/>
      <c r="P99" s="881"/>
      <c r="Q99" s="881"/>
      <c r="R99" s="883"/>
      <c r="S99" s="881"/>
      <c r="T99" s="881"/>
      <c r="U99" s="881"/>
      <c r="V99" s="881"/>
      <c r="W99" s="881"/>
      <c r="X99" s="881"/>
      <c r="Y99" s="881"/>
      <c r="Z99" s="881"/>
      <c r="AA99" s="881"/>
      <c r="AB99" s="881"/>
      <c r="AC99" s="881"/>
      <c r="AD99" s="881"/>
      <c r="AE99" s="881"/>
      <c r="AF99" s="881"/>
      <c r="AG99" s="881"/>
    </row>
    <row r="100" spans="1:33" s="433" customFormat="1" ht="28.5" customHeight="1">
      <c r="A100" s="443" t="s">
        <v>564</v>
      </c>
      <c r="B100" s="551">
        <f>SUM(B101:B102)</f>
        <v>0</v>
      </c>
      <c r="C100" s="551">
        <f>SUM(C101:C102)</f>
        <v>0</v>
      </c>
      <c r="D100" s="551">
        <f>SUM(D101:D102)</f>
        <v>0</v>
      </c>
      <c r="E100" s="435"/>
      <c r="F100" s="436"/>
      <c r="G100" s="441"/>
      <c r="I100" s="881"/>
      <c r="J100" s="881"/>
      <c r="K100" s="881"/>
      <c r="L100" s="881"/>
      <c r="M100" s="881"/>
      <c r="N100" s="881"/>
      <c r="O100" s="881"/>
      <c r="P100" s="881"/>
      <c r="Q100" s="881"/>
      <c r="R100" s="883"/>
      <c r="S100" s="881"/>
      <c r="T100" s="881"/>
      <c r="U100" s="881"/>
      <c r="V100" s="881"/>
      <c r="W100" s="881"/>
      <c r="X100" s="881"/>
      <c r="Y100" s="881"/>
      <c r="Z100" s="881"/>
      <c r="AA100" s="881"/>
      <c r="AB100" s="881"/>
      <c r="AC100" s="881"/>
      <c r="AD100" s="881"/>
      <c r="AE100" s="881"/>
      <c r="AF100" s="881"/>
      <c r="AG100" s="881"/>
    </row>
    <row r="101" spans="1:33" s="433" customFormat="1" ht="20.25" customHeight="1">
      <c r="A101" s="438" t="s">
        <v>264</v>
      </c>
      <c r="B101" s="548">
        <v>0</v>
      </c>
      <c r="C101" s="548"/>
      <c r="D101" s="548"/>
      <c r="E101" s="449"/>
      <c r="F101" s="450"/>
      <c r="G101" s="441"/>
      <c r="I101" s="881"/>
      <c r="J101" s="881"/>
      <c r="K101" s="881"/>
      <c r="L101" s="881"/>
      <c r="M101" s="881"/>
      <c r="N101" s="881"/>
      <c r="O101" s="881"/>
      <c r="P101" s="881"/>
      <c r="Q101" s="881"/>
      <c r="R101" s="883"/>
      <c r="S101" s="881"/>
      <c r="T101" s="881"/>
      <c r="U101" s="881"/>
      <c r="V101" s="881"/>
      <c r="W101" s="881"/>
      <c r="X101" s="881"/>
      <c r="Y101" s="881"/>
      <c r="Z101" s="881"/>
      <c r="AA101" s="881"/>
      <c r="AB101" s="881"/>
      <c r="AC101" s="881"/>
      <c r="AD101" s="881"/>
      <c r="AE101" s="881"/>
      <c r="AF101" s="881"/>
      <c r="AG101" s="881"/>
    </row>
    <row r="102" spans="1:33" s="433" customFormat="1" ht="17.25" customHeight="1">
      <c r="A102" s="455" t="s">
        <v>265</v>
      </c>
      <c r="B102" s="548">
        <v>0</v>
      </c>
      <c r="C102" s="548"/>
      <c r="D102" s="548"/>
      <c r="E102" s="449"/>
      <c r="F102" s="450"/>
      <c r="G102" s="441"/>
      <c r="I102" s="881"/>
      <c r="J102" s="881"/>
      <c r="K102" s="881"/>
      <c r="L102" s="881"/>
      <c r="M102" s="881"/>
      <c r="N102" s="881"/>
      <c r="O102" s="881"/>
      <c r="P102" s="881"/>
      <c r="Q102" s="881"/>
      <c r="R102" s="883"/>
      <c r="S102" s="881"/>
      <c r="T102" s="881"/>
      <c r="U102" s="881"/>
      <c r="V102" s="881"/>
      <c r="W102" s="881"/>
      <c r="X102" s="881"/>
      <c r="Y102" s="881"/>
      <c r="Z102" s="881"/>
      <c r="AA102" s="881"/>
      <c r="AB102" s="881"/>
      <c r="AC102" s="881"/>
      <c r="AD102" s="881"/>
      <c r="AE102" s="881"/>
      <c r="AF102" s="881"/>
      <c r="AG102" s="881"/>
    </row>
    <row r="103" spans="1:33" s="433" customFormat="1" ht="17.25" customHeight="1">
      <c r="A103" s="443" t="s">
        <v>567</v>
      </c>
      <c r="B103" s="551">
        <f>SUM(B104:B105)</f>
        <v>0</v>
      </c>
      <c r="C103" s="551">
        <f>SUM(C104:C105)</f>
        <v>0</v>
      </c>
      <c r="D103" s="551">
        <f>SUM(D104:D105)</f>
        <v>0</v>
      </c>
      <c r="E103" s="449"/>
      <c r="F103" s="450"/>
      <c r="G103" s="441"/>
      <c r="I103" s="881"/>
      <c r="J103" s="881"/>
      <c r="K103" s="881"/>
      <c r="L103" s="881"/>
      <c r="M103" s="881"/>
      <c r="N103" s="881"/>
      <c r="O103" s="881"/>
      <c r="P103" s="881"/>
      <c r="Q103" s="881"/>
      <c r="R103" s="883"/>
      <c r="S103" s="881"/>
      <c r="T103" s="881"/>
      <c r="U103" s="881"/>
      <c r="V103" s="881"/>
      <c r="W103" s="881"/>
      <c r="X103" s="881"/>
      <c r="Y103" s="881"/>
      <c r="Z103" s="881"/>
      <c r="AA103" s="881"/>
      <c r="AB103" s="881"/>
      <c r="AC103" s="881"/>
      <c r="AD103" s="881"/>
      <c r="AE103" s="881"/>
      <c r="AF103" s="881"/>
      <c r="AG103" s="881"/>
    </row>
    <row r="104" spans="1:33" s="433" customFormat="1" ht="17.25" customHeight="1">
      <c r="A104" s="443" t="s">
        <v>710</v>
      </c>
      <c r="B104" s="548">
        <v>0</v>
      </c>
      <c r="C104" s="548"/>
      <c r="D104" s="548"/>
      <c r="E104" s="449"/>
      <c r="F104" s="450"/>
      <c r="G104" s="441"/>
      <c r="I104" s="881"/>
      <c r="J104" s="881"/>
      <c r="K104" s="881"/>
      <c r="L104" s="881"/>
      <c r="M104" s="881"/>
      <c r="N104" s="881"/>
      <c r="O104" s="881"/>
      <c r="P104" s="881"/>
      <c r="Q104" s="881"/>
      <c r="R104" s="883"/>
      <c r="S104" s="881"/>
      <c r="T104" s="881"/>
      <c r="U104" s="881"/>
      <c r="V104" s="881"/>
      <c r="W104" s="881"/>
      <c r="X104" s="881"/>
      <c r="Y104" s="881"/>
      <c r="Z104" s="881"/>
      <c r="AA104" s="881"/>
      <c r="AB104" s="881"/>
      <c r="AC104" s="881"/>
      <c r="AD104" s="881"/>
      <c r="AE104" s="881"/>
      <c r="AF104" s="881"/>
      <c r="AG104" s="881"/>
    </row>
    <row r="105" spans="1:33" s="433" customFormat="1" ht="17.25" customHeight="1">
      <c r="A105" s="443" t="s">
        <v>711</v>
      </c>
      <c r="B105" s="548">
        <v>0</v>
      </c>
      <c r="C105" s="548"/>
      <c r="D105" s="548"/>
      <c r="E105" s="449"/>
      <c r="F105" s="450"/>
      <c r="G105" s="441"/>
      <c r="I105" s="881"/>
      <c r="J105" s="881"/>
      <c r="K105" s="881"/>
      <c r="L105" s="881"/>
      <c r="M105" s="881"/>
      <c r="N105" s="881"/>
      <c r="O105" s="881"/>
      <c r="P105" s="881"/>
      <c r="Q105" s="881"/>
      <c r="R105" s="883"/>
      <c r="S105" s="881"/>
      <c r="T105" s="881"/>
      <c r="U105" s="881"/>
      <c r="V105" s="881"/>
      <c r="W105" s="881"/>
      <c r="X105" s="881"/>
      <c r="Y105" s="881"/>
      <c r="Z105" s="881"/>
      <c r="AA105" s="881"/>
      <c r="AB105" s="881"/>
      <c r="AC105" s="881"/>
      <c r="AD105" s="881"/>
      <c r="AE105" s="881"/>
      <c r="AF105" s="881"/>
      <c r="AG105" s="881"/>
    </row>
    <row r="106" spans="1:33" s="433" customFormat="1" ht="19.5" customHeight="1">
      <c r="A106" s="456" t="s">
        <v>745</v>
      </c>
      <c r="B106" s="551">
        <f>B84+B92+B96+B99+B100+B103</f>
        <v>102562.23999999999</v>
      </c>
      <c r="C106" s="551">
        <f>C84+C92+C96+C99+C100+C103</f>
        <v>-4599.799999999988</v>
      </c>
      <c r="D106" s="551">
        <f>D84+D92+D96+D99+D100+D103</f>
        <v>-4599.799999999988</v>
      </c>
      <c r="E106" s="435"/>
      <c r="F106" s="436">
        <f aca="true" t="shared" si="2" ref="F106:G112">+C106-B106</f>
        <v>-107162.03999999998</v>
      </c>
      <c r="G106" s="437">
        <f t="shared" si="2"/>
        <v>0</v>
      </c>
      <c r="I106" s="881"/>
      <c r="J106" s="881"/>
      <c r="K106" s="881"/>
      <c r="L106" s="881"/>
      <c r="M106" s="881"/>
      <c r="N106" s="881"/>
      <c r="O106" s="881"/>
      <c r="P106" s="881"/>
      <c r="Q106" s="881"/>
      <c r="R106" s="883"/>
      <c r="S106" s="881"/>
      <c r="T106" s="881"/>
      <c r="U106" s="881"/>
      <c r="V106" s="881"/>
      <c r="W106" s="881"/>
      <c r="X106" s="881"/>
      <c r="Y106" s="881"/>
      <c r="Z106" s="881"/>
      <c r="AA106" s="881"/>
      <c r="AB106" s="881"/>
      <c r="AC106" s="881"/>
      <c r="AD106" s="881"/>
      <c r="AE106" s="881"/>
      <c r="AF106" s="881"/>
      <c r="AG106" s="881"/>
    </row>
    <row r="107" spans="1:33" s="433" customFormat="1" ht="19.5" customHeight="1">
      <c r="A107" s="456" t="s">
        <v>789</v>
      </c>
      <c r="B107" s="551">
        <f>B106+B83</f>
        <v>448759.18999999773</v>
      </c>
      <c r="C107" s="553">
        <f>C106+C83</f>
        <v>122132.4000000087</v>
      </c>
      <c r="D107" s="553">
        <f>D106+D83</f>
        <v>21375.782999999683</v>
      </c>
      <c r="E107" s="457"/>
      <c r="F107" s="436">
        <f t="shared" si="2"/>
        <v>-326626.78999998904</v>
      </c>
      <c r="G107" s="437">
        <f t="shared" si="2"/>
        <v>-100756.61700000902</v>
      </c>
      <c r="I107" s="881"/>
      <c r="J107" s="881"/>
      <c r="K107" s="881"/>
      <c r="L107" s="881"/>
      <c r="M107" s="881"/>
      <c r="N107" s="881"/>
      <c r="O107" s="881"/>
      <c r="P107" s="881"/>
      <c r="Q107" s="881"/>
      <c r="R107" s="883"/>
      <c r="S107" s="881"/>
      <c r="T107" s="881"/>
      <c r="U107" s="881"/>
      <c r="V107" s="881"/>
      <c r="W107" s="881"/>
      <c r="X107" s="881"/>
      <c r="Y107" s="881"/>
      <c r="Z107" s="881"/>
      <c r="AA107" s="881"/>
      <c r="AB107" s="881"/>
      <c r="AC107" s="881"/>
      <c r="AD107" s="881"/>
      <c r="AE107" s="881"/>
      <c r="AF107" s="881"/>
      <c r="AG107" s="881"/>
    </row>
    <row r="108" spans="1:33" s="433" customFormat="1" ht="21.75" customHeight="1">
      <c r="A108" s="443" t="s">
        <v>565</v>
      </c>
      <c r="B108" s="823">
        <v>-279950.75</v>
      </c>
      <c r="C108" s="550"/>
      <c r="D108" s="550"/>
      <c r="E108" s="458"/>
      <c r="F108" s="436">
        <f t="shared" si="2"/>
        <v>279950.75</v>
      </c>
      <c r="G108" s="437">
        <f t="shared" si="2"/>
        <v>0</v>
      </c>
      <c r="I108" s="881"/>
      <c r="J108" s="881"/>
      <c r="K108" s="881"/>
      <c r="L108" s="881"/>
      <c r="M108" s="881"/>
      <c r="N108" s="881"/>
      <c r="O108" s="881"/>
      <c r="P108" s="881"/>
      <c r="Q108" s="881"/>
      <c r="R108" s="883"/>
      <c r="S108" s="881"/>
      <c r="T108" s="881"/>
      <c r="U108" s="881"/>
      <c r="V108" s="881"/>
      <c r="W108" s="881"/>
      <c r="X108" s="881"/>
      <c r="Y108" s="881"/>
      <c r="Z108" s="881"/>
      <c r="AA108" s="881"/>
      <c r="AB108" s="881"/>
      <c r="AC108" s="881"/>
      <c r="AD108" s="881"/>
      <c r="AE108" s="881"/>
      <c r="AF108" s="881"/>
      <c r="AG108" s="881"/>
    </row>
    <row r="109" spans="1:33" s="433" customFormat="1" ht="31.5" customHeight="1">
      <c r="A109" s="459" t="s">
        <v>266</v>
      </c>
      <c r="B109" s="551">
        <f>B107+B108</f>
        <v>168808.43999999773</v>
      </c>
      <c r="C109" s="551">
        <f>C107+C108</f>
        <v>122132.4000000087</v>
      </c>
      <c r="D109" s="551">
        <f>D107+D108</f>
        <v>21375.782999999683</v>
      </c>
      <c r="E109" s="435"/>
      <c r="F109" s="436">
        <f t="shared" si="2"/>
        <v>-46676.039999989036</v>
      </c>
      <c r="G109" s="437">
        <f t="shared" si="2"/>
        <v>-100756.61700000902</v>
      </c>
      <c r="I109" s="881"/>
      <c r="J109" s="881"/>
      <c r="K109" s="881"/>
      <c r="L109" s="881"/>
      <c r="M109" s="881"/>
      <c r="N109" s="881"/>
      <c r="O109" s="881"/>
      <c r="P109" s="881"/>
      <c r="Q109" s="881"/>
      <c r="R109" s="883"/>
      <c r="S109" s="881"/>
      <c r="T109" s="881"/>
      <c r="U109" s="881"/>
      <c r="V109" s="881"/>
      <c r="W109" s="881"/>
      <c r="X109" s="881"/>
      <c r="Y109" s="881"/>
      <c r="Z109" s="881"/>
      <c r="AA109" s="881"/>
      <c r="AB109" s="881"/>
      <c r="AC109" s="881"/>
      <c r="AD109" s="881"/>
      <c r="AE109" s="881"/>
      <c r="AF109" s="881"/>
      <c r="AG109" s="881"/>
    </row>
    <row r="110" spans="1:33" s="433" customFormat="1" ht="19.5" customHeight="1">
      <c r="A110" s="456" t="s">
        <v>790</v>
      </c>
      <c r="B110" s="548">
        <v>0</v>
      </c>
      <c r="C110" s="548"/>
      <c r="D110" s="548"/>
      <c r="E110" s="449"/>
      <c r="F110" s="436">
        <f t="shared" si="2"/>
        <v>0</v>
      </c>
      <c r="G110" s="437">
        <f t="shared" si="2"/>
        <v>0</v>
      </c>
      <c r="I110" s="881"/>
      <c r="J110" s="881"/>
      <c r="K110" s="881"/>
      <c r="L110" s="881"/>
      <c r="M110" s="881"/>
      <c r="N110" s="881"/>
      <c r="O110" s="881"/>
      <c r="P110" s="881"/>
      <c r="Q110" s="881"/>
      <c r="R110" s="883"/>
      <c r="S110" s="881"/>
      <c r="T110" s="881"/>
      <c r="U110" s="881"/>
      <c r="V110" s="881"/>
      <c r="W110" s="881"/>
      <c r="X110" s="881"/>
      <c r="Y110" s="881"/>
      <c r="Z110" s="881"/>
      <c r="AA110" s="881"/>
      <c r="AB110" s="881"/>
      <c r="AC110" s="881"/>
      <c r="AD110" s="881"/>
      <c r="AE110" s="881"/>
      <c r="AF110" s="881"/>
      <c r="AG110" s="881"/>
    </row>
    <row r="111" spans="1:33" s="433" customFormat="1" ht="29.25" customHeight="1">
      <c r="A111" s="443" t="s">
        <v>566</v>
      </c>
      <c r="B111" s="548">
        <v>0</v>
      </c>
      <c r="C111" s="548"/>
      <c r="D111" s="548"/>
      <c r="E111" s="449"/>
      <c r="F111" s="436">
        <f t="shared" si="2"/>
        <v>0</v>
      </c>
      <c r="G111" s="437">
        <f t="shared" si="2"/>
        <v>0</v>
      </c>
      <c r="I111" s="881"/>
      <c r="J111" s="881"/>
      <c r="K111" s="881"/>
      <c r="L111" s="881"/>
      <c r="M111" s="881"/>
      <c r="N111" s="881"/>
      <c r="O111" s="881"/>
      <c r="P111" s="881"/>
      <c r="Q111" s="881"/>
      <c r="R111" s="883"/>
      <c r="S111" s="881"/>
      <c r="T111" s="881"/>
      <c r="U111" s="881"/>
      <c r="V111" s="881"/>
      <c r="W111" s="881"/>
      <c r="X111" s="881"/>
      <c r="Y111" s="881"/>
      <c r="Z111" s="881"/>
      <c r="AA111" s="881"/>
      <c r="AB111" s="881"/>
      <c r="AC111" s="881"/>
      <c r="AD111" s="881"/>
      <c r="AE111" s="881"/>
      <c r="AF111" s="881"/>
      <c r="AG111" s="881"/>
    </row>
    <row r="112" spans="1:33" s="433" customFormat="1" ht="39.75" customHeight="1">
      <c r="A112" s="460" t="s">
        <v>267</v>
      </c>
      <c r="B112" s="551">
        <f>B109+B111</f>
        <v>168808.43999999773</v>
      </c>
      <c r="C112" s="551">
        <f>C109+C111</f>
        <v>122132.4000000087</v>
      </c>
      <c r="D112" s="551">
        <f>D109+D110+D111</f>
        <v>21375.782999999683</v>
      </c>
      <c r="E112" s="453"/>
      <c r="F112" s="436">
        <f t="shared" si="2"/>
        <v>-46676.039999989036</v>
      </c>
      <c r="G112" s="437">
        <f t="shared" si="2"/>
        <v>-100756.61700000902</v>
      </c>
      <c r="I112" s="881"/>
      <c r="J112" s="881"/>
      <c r="K112" s="881"/>
      <c r="L112" s="881"/>
      <c r="M112" s="881"/>
      <c r="N112" s="881"/>
      <c r="O112" s="881"/>
      <c r="P112" s="881"/>
      <c r="Q112" s="881"/>
      <c r="R112" s="883"/>
      <c r="S112" s="881"/>
      <c r="T112" s="881"/>
      <c r="U112" s="881"/>
      <c r="V112" s="881"/>
      <c r="W112" s="881"/>
      <c r="X112" s="881"/>
      <c r="Y112" s="881"/>
      <c r="Z112" s="881"/>
      <c r="AA112" s="881"/>
      <c r="AB112" s="881"/>
      <c r="AC112" s="881"/>
      <c r="AD112" s="881"/>
      <c r="AE112" s="881"/>
      <c r="AF112" s="881"/>
      <c r="AG112" s="881"/>
    </row>
    <row r="113" spans="2:7" ht="19.5" customHeight="1">
      <c r="B113" s="461"/>
      <c r="C113" s="461"/>
      <c r="D113" s="461"/>
      <c r="E113" s="461"/>
      <c r="F113" s="462"/>
      <c r="G113" s="463"/>
    </row>
    <row r="114" spans="1:6" ht="19.5" customHeight="1" hidden="1">
      <c r="A114" s="464" t="s">
        <v>860</v>
      </c>
      <c r="B114" s="465"/>
      <c r="C114" s="465"/>
      <c r="D114" s="465"/>
      <c r="E114" s="465"/>
      <c r="F114" s="466"/>
    </row>
    <row r="115" spans="1:6" ht="19.5" customHeight="1" hidden="1">
      <c r="A115" s="420" t="s">
        <v>268</v>
      </c>
      <c r="B115" s="461"/>
      <c r="C115" s="461"/>
      <c r="D115" s="461"/>
      <c r="E115" s="461"/>
      <c r="F115" s="462"/>
    </row>
    <row r="116" spans="2:6" ht="19.5" customHeight="1" hidden="1">
      <c r="B116" s="461"/>
      <c r="C116" s="461"/>
      <c r="D116" s="461"/>
      <c r="E116" s="461"/>
      <c r="F116" s="462"/>
    </row>
    <row r="117" spans="2:6" ht="19.5" customHeight="1" hidden="1">
      <c r="B117" s="461"/>
      <c r="C117" s="461"/>
      <c r="D117" s="461"/>
      <c r="E117" s="461"/>
      <c r="F117" s="462"/>
    </row>
    <row r="118" spans="2:6" ht="19.5" customHeight="1" hidden="1">
      <c r="B118" s="461"/>
      <c r="C118" s="461"/>
      <c r="D118" s="461"/>
      <c r="E118" s="461"/>
      <c r="F118" s="462"/>
    </row>
    <row r="119" spans="2:6" ht="19.5" customHeight="1" hidden="1">
      <c r="B119" s="461"/>
      <c r="C119" s="461"/>
      <c r="D119" s="461"/>
      <c r="E119" s="461"/>
      <c r="F119" s="462"/>
    </row>
    <row r="120" spans="2:6" ht="19.5" customHeight="1" hidden="1">
      <c r="B120" s="467">
        <f>+PASIVO!B25</f>
        <v>168808.43999999773</v>
      </c>
      <c r="C120" s="467">
        <f>+PASIVO!C25</f>
        <v>122132.4000000087</v>
      </c>
      <c r="D120" s="467">
        <f>+PASIVO!D25</f>
        <v>21375.782999999683</v>
      </c>
      <c r="E120" s="467"/>
      <c r="F120" s="468"/>
    </row>
    <row r="121" spans="2:6" ht="19.5" customHeight="1" hidden="1">
      <c r="B121" s="469">
        <f>B112-B120</f>
        <v>0</v>
      </c>
      <c r="C121" s="469">
        <f>C112-C120</f>
        <v>0</v>
      </c>
      <c r="D121" s="469">
        <f>D112-D120</f>
        <v>0</v>
      </c>
      <c r="E121" s="469"/>
      <c r="F121" s="470"/>
    </row>
    <row r="122" spans="2:33" s="471" customFormat="1" ht="19.5" customHeight="1" hidden="1">
      <c r="B122" s="472"/>
      <c r="C122" s="472"/>
      <c r="D122" s="472"/>
      <c r="E122" s="472"/>
      <c r="F122" s="473"/>
      <c r="G122" s="474"/>
      <c r="I122" s="877"/>
      <c r="J122" s="877"/>
      <c r="K122" s="877"/>
      <c r="L122" s="877"/>
      <c r="M122" s="877"/>
      <c r="N122" s="877"/>
      <c r="O122" s="877"/>
      <c r="P122" s="877"/>
      <c r="Q122" s="877"/>
      <c r="R122" s="878"/>
      <c r="S122" s="877"/>
      <c r="T122" s="877"/>
      <c r="U122" s="877"/>
      <c r="V122" s="877"/>
      <c r="W122" s="877"/>
      <c r="X122" s="877"/>
      <c r="Y122" s="877"/>
      <c r="Z122" s="877"/>
      <c r="AA122" s="877"/>
      <c r="AB122" s="877"/>
      <c r="AC122" s="877"/>
      <c r="AD122" s="877"/>
      <c r="AE122" s="877"/>
      <c r="AF122" s="877"/>
      <c r="AG122" s="877"/>
    </row>
    <row r="123" spans="1:6" ht="19.5" customHeight="1" hidden="1">
      <c r="A123" s="420" t="s">
        <v>393</v>
      </c>
      <c r="B123" s="469">
        <f>+PASIVO!B24</f>
        <v>0</v>
      </c>
      <c r="C123" s="469">
        <f>+PASIVO!C24-PASIVO!B24</f>
        <v>0</v>
      </c>
      <c r="D123" s="469">
        <f>+PASIVO!D24-PASIVO!C24</f>
        <v>0</v>
      </c>
      <c r="E123" s="469"/>
      <c r="F123" s="470"/>
    </row>
    <row r="124" spans="1:6" ht="19.5" customHeight="1" hidden="1">
      <c r="A124" s="420" t="s">
        <v>394</v>
      </c>
      <c r="B124" s="469">
        <f>+B112</f>
        <v>168808.43999999773</v>
      </c>
      <c r="C124" s="469">
        <f>+C112</f>
        <v>122132.4000000087</v>
      </c>
      <c r="D124" s="469">
        <f>+D112</f>
        <v>21375.782999999683</v>
      </c>
      <c r="E124" s="469"/>
      <c r="F124" s="470"/>
    </row>
    <row r="125" spans="1:6" ht="19.5" customHeight="1" hidden="1">
      <c r="A125" s="420" t="s">
        <v>395</v>
      </c>
      <c r="B125" s="467">
        <f>SUM(B123:B124)</f>
        <v>168808.43999999773</v>
      </c>
      <c r="C125" s="467">
        <f>SUM(C123:C124)</f>
        <v>122132.4000000087</v>
      </c>
      <c r="D125" s="467">
        <f>SUM(D123:D124)</f>
        <v>21375.782999999683</v>
      </c>
      <c r="E125" s="467"/>
      <c r="F125" s="468"/>
    </row>
    <row r="126" spans="1:6" ht="19.5" customHeight="1" hidden="1">
      <c r="A126" s="475" t="s">
        <v>425</v>
      </c>
      <c r="B126" s="469">
        <f>+PASIVO!B24+B112</f>
        <v>168808.43999999773</v>
      </c>
      <c r="C126" s="469">
        <f>+PASIVO!C24+C112-PASIVO!B24</f>
        <v>122132.4000000087</v>
      </c>
      <c r="D126" s="469">
        <f>+PASIVO!D24+D112-PASIVO!C24</f>
        <v>21375.782999999683</v>
      </c>
      <c r="E126" s="469"/>
      <c r="F126" s="470"/>
    </row>
    <row r="127" spans="1:6" ht="19.5" customHeight="1" hidden="1">
      <c r="A127" s="420" t="s">
        <v>426</v>
      </c>
      <c r="B127" s="461">
        <v>29502.85</v>
      </c>
      <c r="C127" s="461">
        <v>0</v>
      </c>
      <c r="D127" s="461">
        <v>0</v>
      </c>
      <c r="E127" s="461"/>
      <c r="F127" s="462"/>
    </row>
    <row r="128" spans="1:6" ht="19.5" customHeight="1" hidden="1">
      <c r="A128" s="420" t="s">
        <v>420</v>
      </c>
      <c r="B128" s="476">
        <f>+B126-B127</f>
        <v>139305.58999999773</v>
      </c>
      <c r="C128" s="469">
        <f>+C126-C127</f>
        <v>122132.4000000087</v>
      </c>
      <c r="D128" s="476">
        <f>+D126-D127</f>
        <v>21375.782999999683</v>
      </c>
      <c r="E128" s="476"/>
      <c r="F128" s="477"/>
    </row>
    <row r="129" spans="2:6" ht="19.5" customHeight="1" hidden="1">
      <c r="B129" s="461"/>
      <c r="C129" s="461"/>
      <c r="D129" s="461"/>
      <c r="E129" s="461"/>
      <c r="F129" s="462"/>
    </row>
    <row r="130" spans="2:6" ht="19.5" customHeight="1" hidden="1">
      <c r="B130" s="461"/>
      <c r="C130" s="461"/>
      <c r="D130" s="461"/>
      <c r="E130" s="461"/>
      <c r="F130" s="462"/>
    </row>
    <row r="131" spans="2:6" ht="19.5" customHeight="1" hidden="1">
      <c r="B131" s="461"/>
      <c r="C131" s="461"/>
      <c r="D131" s="461"/>
      <c r="E131" s="461"/>
      <c r="F131" s="462"/>
    </row>
    <row r="132" spans="2:6" ht="19.5" customHeight="1" hidden="1">
      <c r="B132" s="461"/>
      <c r="C132" s="461"/>
      <c r="D132" s="461"/>
      <c r="E132" s="461"/>
      <c r="F132" s="462"/>
    </row>
    <row r="133" spans="2:6" ht="19.5" customHeight="1" hidden="1">
      <c r="B133" s="461"/>
      <c r="C133" s="461"/>
      <c r="D133" s="461"/>
      <c r="E133" s="461"/>
      <c r="F133" s="462"/>
    </row>
    <row r="134" spans="2:6" ht="19.5" customHeight="1" hidden="1">
      <c r="B134" s="461"/>
      <c r="C134" s="461"/>
      <c r="D134" s="461"/>
      <c r="E134" s="461"/>
      <c r="F134" s="462"/>
    </row>
    <row r="135" spans="2:6" ht="19.5" customHeight="1">
      <c r="B135" s="461"/>
      <c r="C135" s="461"/>
      <c r="D135" s="461"/>
      <c r="E135" s="461"/>
      <c r="F135" s="462"/>
    </row>
    <row r="136" spans="2:6" ht="19.5" customHeight="1">
      <c r="B136" s="461"/>
      <c r="C136" s="461"/>
      <c r="D136" s="461"/>
      <c r="E136" s="461"/>
      <c r="F136" s="462"/>
    </row>
    <row r="137" spans="2:6" ht="19.5" customHeight="1">
      <c r="B137" s="461"/>
      <c r="C137" s="461"/>
      <c r="D137" s="461"/>
      <c r="E137" s="461"/>
      <c r="F137" s="462"/>
    </row>
    <row r="138" spans="2:6" ht="19.5" customHeight="1">
      <c r="B138" s="461"/>
      <c r="C138" s="461"/>
      <c r="D138" s="461"/>
      <c r="E138" s="461"/>
      <c r="F138" s="462"/>
    </row>
    <row r="139" spans="2:6" ht="19.5" customHeight="1">
      <c r="B139" s="461"/>
      <c r="C139" s="461"/>
      <c r="D139" s="461"/>
      <c r="E139" s="461"/>
      <c r="F139" s="462"/>
    </row>
    <row r="140" spans="2:6" ht="19.5" customHeight="1">
      <c r="B140" s="461"/>
      <c r="C140" s="461"/>
      <c r="D140" s="461"/>
      <c r="E140" s="461"/>
      <c r="F140" s="462"/>
    </row>
    <row r="141" spans="2:6" ht="19.5" customHeight="1">
      <c r="B141" s="461"/>
      <c r="C141" s="461"/>
      <c r="D141" s="461"/>
      <c r="E141" s="461"/>
      <c r="F141" s="462"/>
    </row>
    <row r="142" spans="2:6" ht="19.5" customHeight="1">
      <c r="B142" s="461"/>
      <c r="C142" s="461"/>
      <c r="D142" s="461"/>
      <c r="E142" s="461"/>
      <c r="F142" s="462"/>
    </row>
    <row r="143" spans="2:6" ht="19.5" customHeight="1">
      <c r="B143" s="461"/>
      <c r="C143" s="461"/>
      <c r="D143" s="461"/>
      <c r="E143" s="461"/>
      <c r="F143" s="462"/>
    </row>
    <row r="144" spans="2:6" ht="19.5" customHeight="1">
      <c r="B144" s="461"/>
      <c r="C144" s="461"/>
      <c r="D144" s="461"/>
      <c r="E144" s="461"/>
      <c r="F144" s="462"/>
    </row>
    <row r="145" spans="2:6" ht="19.5" customHeight="1">
      <c r="B145" s="461"/>
      <c r="C145" s="461"/>
      <c r="D145" s="461"/>
      <c r="E145" s="461"/>
      <c r="F145" s="462"/>
    </row>
    <row r="146" spans="2:6" ht="19.5" customHeight="1">
      <c r="B146" s="461"/>
      <c r="C146" s="461"/>
      <c r="D146" s="461"/>
      <c r="E146" s="461"/>
      <c r="F146" s="462"/>
    </row>
    <row r="147" spans="2:6" ht="19.5" customHeight="1">
      <c r="B147" s="461"/>
      <c r="C147" s="461"/>
      <c r="D147" s="461"/>
      <c r="E147" s="461"/>
      <c r="F147" s="462"/>
    </row>
    <row r="148" spans="2:6" ht="19.5" customHeight="1">
      <c r="B148" s="461"/>
      <c r="C148" s="461"/>
      <c r="D148" s="461"/>
      <c r="E148" s="461"/>
      <c r="F148" s="462"/>
    </row>
    <row r="149" spans="2:6" ht="19.5" customHeight="1">
      <c r="B149" s="461"/>
      <c r="C149" s="461"/>
      <c r="D149" s="461"/>
      <c r="E149" s="461"/>
      <c r="F149" s="462"/>
    </row>
    <row r="150" spans="2:6" ht="19.5" customHeight="1">
      <c r="B150" s="461"/>
      <c r="C150" s="461"/>
      <c r="D150" s="461"/>
      <c r="E150" s="461"/>
      <c r="F150" s="462"/>
    </row>
    <row r="151" spans="2:6" ht="19.5" customHeight="1">
      <c r="B151" s="461"/>
      <c r="C151" s="461"/>
      <c r="D151" s="461"/>
      <c r="E151" s="461"/>
      <c r="F151" s="462"/>
    </row>
    <row r="152" spans="2:6" ht="19.5" customHeight="1">
      <c r="B152" s="461"/>
      <c r="C152" s="461"/>
      <c r="D152" s="461"/>
      <c r="E152" s="461"/>
      <c r="F152" s="462"/>
    </row>
    <row r="153" spans="2:6" ht="19.5" customHeight="1">
      <c r="B153" s="461"/>
      <c r="C153" s="461"/>
      <c r="D153" s="461"/>
      <c r="E153" s="461"/>
      <c r="F153" s="462"/>
    </row>
    <row r="154" spans="2:6" ht="19.5" customHeight="1">
      <c r="B154" s="461"/>
      <c r="C154" s="461"/>
      <c r="D154" s="461"/>
      <c r="E154" s="461"/>
      <c r="F154" s="462"/>
    </row>
    <row r="155" spans="2:6" ht="19.5" customHeight="1">
      <c r="B155" s="461"/>
      <c r="C155" s="461"/>
      <c r="D155" s="461"/>
      <c r="E155" s="461"/>
      <c r="F155" s="462"/>
    </row>
    <row r="156" spans="2:6" ht="19.5" customHeight="1">
      <c r="B156" s="461"/>
      <c r="C156" s="461"/>
      <c r="D156" s="461"/>
      <c r="E156" s="461"/>
      <c r="F156" s="462"/>
    </row>
    <row r="157" spans="2:6" ht="19.5" customHeight="1">
      <c r="B157" s="461"/>
      <c r="C157" s="461"/>
      <c r="D157" s="461"/>
      <c r="E157" s="461"/>
      <c r="F157" s="462"/>
    </row>
    <row r="158" spans="2:6" ht="19.5" customHeight="1">
      <c r="B158" s="461"/>
      <c r="C158" s="461"/>
      <c r="D158" s="461"/>
      <c r="E158" s="461"/>
      <c r="F158" s="462"/>
    </row>
    <row r="159" spans="2:6" ht="19.5" customHeight="1">
      <c r="B159" s="461"/>
      <c r="C159" s="461"/>
      <c r="D159" s="461"/>
      <c r="E159" s="461"/>
      <c r="F159" s="462"/>
    </row>
    <row r="160" spans="2:6" ht="19.5" customHeight="1">
      <c r="B160" s="461"/>
      <c r="C160" s="461"/>
      <c r="D160" s="461"/>
      <c r="E160" s="461"/>
      <c r="F160" s="462"/>
    </row>
    <row r="161" spans="2:6" ht="19.5" customHeight="1">
      <c r="B161" s="461"/>
      <c r="C161" s="461"/>
      <c r="D161" s="461"/>
      <c r="E161" s="461"/>
      <c r="F161" s="462"/>
    </row>
    <row r="162" spans="2:6" ht="19.5" customHeight="1">
      <c r="B162" s="461"/>
      <c r="C162" s="461"/>
      <c r="D162" s="461"/>
      <c r="E162" s="461"/>
      <c r="F162" s="462"/>
    </row>
    <row r="163" spans="2:6" ht="19.5" customHeight="1">
      <c r="B163" s="461"/>
      <c r="C163" s="461"/>
      <c r="D163" s="461"/>
      <c r="E163" s="461"/>
      <c r="F163" s="462"/>
    </row>
    <row r="164" spans="2:6" ht="19.5" customHeight="1">
      <c r="B164" s="461"/>
      <c r="C164" s="461"/>
      <c r="D164" s="461"/>
      <c r="E164" s="461"/>
      <c r="F164" s="462"/>
    </row>
    <row r="165" spans="2:6" ht="19.5" customHeight="1">
      <c r="B165" s="461"/>
      <c r="C165" s="461"/>
      <c r="D165" s="461"/>
      <c r="E165" s="461"/>
      <c r="F165" s="462"/>
    </row>
    <row r="166" spans="2:6" ht="19.5" customHeight="1">
      <c r="B166" s="461"/>
      <c r="C166" s="461"/>
      <c r="D166" s="461"/>
      <c r="E166" s="461"/>
      <c r="F166" s="462"/>
    </row>
    <row r="167" spans="2:6" ht="19.5" customHeight="1">
      <c r="B167" s="461"/>
      <c r="C167" s="461"/>
      <c r="D167" s="461"/>
      <c r="E167" s="461"/>
      <c r="F167" s="462"/>
    </row>
    <row r="168" spans="2:6" ht="19.5" customHeight="1">
      <c r="B168" s="461"/>
      <c r="C168" s="461"/>
      <c r="D168" s="461"/>
      <c r="E168" s="461"/>
      <c r="F168" s="462"/>
    </row>
    <row r="169" spans="2:6" ht="19.5" customHeight="1">
      <c r="B169" s="461"/>
      <c r="C169" s="461"/>
      <c r="D169" s="461"/>
      <c r="E169" s="461"/>
      <c r="F169" s="462"/>
    </row>
    <row r="170" spans="2:6" ht="19.5" customHeight="1">
      <c r="B170" s="461"/>
      <c r="C170" s="461"/>
      <c r="D170" s="461"/>
      <c r="E170" s="461"/>
      <c r="F170" s="462"/>
    </row>
    <row r="171" spans="2:6" ht="19.5" customHeight="1">
      <c r="B171" s="461"/>
      <c r="C171" s="461"/>
      <c r="D171" s="461"/>
      <c r="E171" s="461"/>
      <c r="F171" s="462"/>
    </row>
    <row r="172" spans="2:6" ht="19.5" customHeight="1">
      <c r="B172" s="461"/>
      <c r="C172" s="461"/>
      <c r="D172" s="461"/>
      <c r="E172" s="461"/>
      <c r="F172" s="462"/>
    </row>
    <row r="173" spans="2:6" ht="19.5" customHeight="1">
      <c r="B173" s="461"/>
      <c r="C173" s="461"/>
      <c r="D173" s="461"/>
      <c r="E173" s="461"/>
      <c r="F173" s="462"/>
    </row>
    <row r="174" spans="2:6" ht="19.5" customHeight="1">
      <c r="B174" s="461"/>
      <c r="C174" s="461"/>
      <c r="D174" s="461"/>
      <c r="E174" s="461"/>
      <c r="F174" s="462"/>
    </row>
    <row r="175" spans="2:6" ht="19.5" customHeight="1">
      <c r="B175" s="461"/>
      <c r="C175" s="461"/>
      <c r="D175" s="461"/>
      <c r="E175" s="461"/>
      <c r="F175" s="462"/>
    </row>
    <row r="176" spans="2:6" ht="19.5" customHeight="1">
      <c r="B176" s="461"/>
      <c r="C176" s="461"/>
      <c r="D176" s="461"/>
      <c r="E176" s="461"/>
      <c r="F176" s="462"/>
    </row>
    <row r="177" spans="2:6" ht="19.5" customHeight="1">
      <c r="B177" s="461"/>
      <c r="C177" s="461"/>
      <c r="D177" s="461"/>
      <c r="E177" s="461"/>
      <c r="F177" s="462"/>
    </row>
    <row r="178" spans="2:6" ht="19.5" customHeight="1">
      <c r="B178" s="461"/>
      <c r="C178" s="461"/>
      <c r="D178" s="461"/>
      <c r="E178" s="461"/>
      <c r="F178" s="462"/>
    </row>
    <row r="179" spans="2:6" ht="19.5" customHeight="1">
      <c r="B179" s="461"/>
      <c r="C179" s="461"/>
      <c r="D179" s="461"/>
      <c r="E179" s="461"/>
      <c r="F179" s="462"/>
    </row>
    <row r="180" spans="2:6" ht="19.5" customHeight="1">
      <c r="B180" s="461"/>
      <c r="C180" s="461"/>
      <c r="D180" s="461"/>
      <c r="E180" s="461"/>
      <c r="F180" s="462"/>
    </row>
    <row r="181" spans="2:6" ht="19.5" customHeight="1">
      <c r="B181" s="461"/>
      <c r="C181" s="461"/>
      <c r="D181" s="461"/>
      <c r="E181" s="461"/>
      <c r="F181" s="462"/>
    </row>
    <row r="182" spans="2:6" ht="19.5" customHeight="1">
      <c r="B182" s="461"/>
      <c r="C182" s="461"/>
      <c r="D182" s="461"/>
      <c r="E182" s="461"/>
      <c r="F182" s="462"/>
    </row>
    <row r="183" spans="2:6" ht="19.5" customHeight="1">
      <c r="B183" s="461"/>
      <c r="C183" s="461"/>
      <c r="D183" s="461"/>
      <c r="E183" s="461"/>
      <c r="F183" s="462"/>
    </row>
    <row r="184" spans="2:6" ht="19.5" customHeight="1">
      <c r="B184" s="461"/>
      <c r="C184" s="461"/>
      <c r="D184" s="461"/>
      <c r="E184" s="461"/>
      <c r="F184" s="462"/>
    </row>
    <row r="185" spans="2:6" ht="19.5" customHeight="1">
      <c r="B185" s="461"/>
      <c r="C185" s="461"/>
      <c r="D185" s="461"/>
      <c r="E185" s="461"/>
      <c r="F185" s="462"/>
    </row>
    <row r="186" spans="2:6" ht="19.5" customHeight="1">
      <c r="B186" s="461"/>
      <c r="C186" s="461"/>
      <c r="D186" s="461"/>
      <c r="E186" s="461"/>
      <c r="F186" s="462"/>
    </row>
    <row r="187" spans="2:6" ht="19.5" customHeight="1">
      <c r="B187" s="461"/>
      <c r="C187" s="461"/>
      <c r="D187" s="461"/>
      <c r="E187" s="461"/>
      <c r="F187" s="462"/>
    </row>
    <row r="188" spans="2:6" ht="19.5" customHeight="1">
      <c r="B188" s="461"/>
      <c r="C188" s="461"/>
      <c r="D188" s="461"/>
      <c r="E188" s="461"/>
      <c r="F188" s="462"/>
    </row>
    <row r="189" spans="2:6" ht="19.5" customHeight="1">
      <c r="B189" s="461"/>
      <c r="C189" s="461"/>
      <c r="D189" s="461"/>
      <c r="E189" s="461"/>
      <c r="F189" s="462"/>
    </row>
    <row r="190" spans="2:6" ht="19.5" customHeight="1">
      <c r="B190" s="461"/>
      <c r="C190" s="461"/>
      <c r="D190" s="461"/>
      <c r="E190" s="461"/>
      <c r="F190" s="462"/>
    </row>
    <row r="191" spans="2:6" ht="19.5" customHeight="1">
      <c r="B191" s="461"/>
      <c r="C191" s="461"/>
      <c r="D191" s="461"/>
      <c r="E191" s="461"/>
      <c r="F191" s="462"/>
    </row>
    <row r="192" spans="2:6" ht="19.5" customHeight="1">
      <c r="B192" s="461"/>
      <c r="C192" s="461"/>
      <c r="D192" s="461"/>
      <c r="E192" s="461"/>
      <c r="F192" s="462"/>
    </row>
    <row r="193" spans="2:6" ht="19.5" customHeight="1">
      <c r="B193" s="461"/>
      <c r="C193" s="461"/>
      <c r="D193" s="461"/>
      <c r="E193" s="461"/>
      <c r="F193" s="462"/>
    </row>
    <row r="194" spans="2:6" ht="19.5" customHeight="1">
      <c r="B194" s="461"/>
      <c r="C194" s="461"/>
      <c r="D194" s="461"/>
      <c r="E194" s="461"/>
      <c r="F194" s="462"/>
    </row>
    <row r="195" spans="2:6" ht="19.5" customHeight="1">
      <c r="B195" s="461"/>
      <c r="C195" s="461"/>
      <c r="D195" s="461"/>
      <c r="E195" s="461"/>
      <c r="F195" s="462"/>
    </row>
    <row r="196" spans="2:6" ht="19.5" customHeight="1">
      <c r="B196" s="461"/>
      <c r="C196" s="461"/>
      <c r="D196" s="461"/>
      <c r="E196" s="461"/>
      <c r="F196" s="462"/>
    </row>
    <row r="197" spans="2:6" ht="19.5" customHeight="1">
      <c r="B197" s="461"/>
      <c r="C197" s="461"/>
      <c r="D197" s="461"/>
      <c r="E197" s="461"/>
      <c r="F197" s="462"/>
    </row>
    <row r="198" spans="2:6" ht="19.5" customHeight="1">
      <c r="B198" s="461"/>
      <c r="C198" s="461"/>
      <c r="D198" s="461"/>
      <c r="E198" s="461"/>
      <c r="F198" s="462"/>
    </row>
    <row r="199" spans="2:6" ht="19.5" customHeight="1">
      <c r="B199" s="461"/>
      <c r="C199" s="461"/>
      <c r="D199" s="461"/>
      <c r="E199" s="461"/>
      <c r="F199" s="462"/>
    </row>
    <row r="200" spans="2:6" ht="19.5" customHeight="1">
      <c r="B200" s="461"/>
      <c r="C200" s="461"/>
      <c r="D200" s="461"/>
      <c r="E200" s="461"/>
      <c r="F200" s="462"/>
    </row>
    <row r="201" spans="2:6" ht="19.5" customHeight="1">
      <c r="B201" s="461"/>
      <c r="C201" s="461"/>
      <c r="D201" s="461"/>
      <c r="E201" s="461"/>
      <c r="F201" s="462"/>
    </row>
    <row r="202" spans="2:6" ht="19.5" customHeight="1">
      <c r="B202" s="461"/>
      <c r="C202" s="461"/>
      <c r="D202" s="461"/>
      <c r="E202" s="461"/>
      <c r="F202" s="462"/>
    </row>
    <row r="203" spans="2:6" ht="19.5" customHeight="1">
      <c r="B203" s="461"/>
      <c r="C203" s="461"/>
      <c r="D203" s="461"/>
      <c r="E203" s="461"/>
      <c r="F203" s="462"/>
    </row>
    <row r="204" spans="2:6" ht="19.5" customHeight="1">
      <c r="B204" s="461"/>
      <c r="C204" s="461"/>
      <c r="D204" s="461"/>
      <c r="E204" s="461"/>
      <c r="F204" s="462"/>
    </row>
    <row r="205" spans="2:6" ht="19.5" customHeight="1">
      <c r="B205" s="461"/>
      <c r="C205" s="461"/>
      <c r="D205" s="461"/>
      <c r="E205" s="461"/>
      <c r="F205" s="462"/>
    </row>
    <row r="206" spans="2:6" ht="19.5" customHeight="1">
      <c r="B206" s="461"/>
      <c r="C206" s="461"/>
      <c r="D206" s="461"/>
      <c r="E206" s="461"/>
      <c r="F206" s="462"/>
    </row>
    <row r="207" spans="2:6" ht="19.5" customHeight="1">
      <c r="B207" s="461"/>
      <c r="C207" s="461"/>
      <c r="D207" s="461"/>
      <c r="E207" s="461"/>
      <c r="F207" s="462"/>
    </row>
    <row r="208" spans="2:6" ht="19.5" customHeight="1">
      <c r="B208" s="461"/>
      <c r="C208" s="461"/>
      <c r="D208" s="461"/>
      <c r="E208" s="461"/>
      <c r="F208" s="462"/>
    </row>
    <row r="209" spans="2:6" ht="19.5" customHeight="1">
      <c r="B209" s="461"/>
      <c r="C209" s="461"/>
      <c r="D209" s="461"/>
      <c r="E209" s="461"/>
      <c r="F209" s="462"/>
    </row>
    <row r="210" spans="2:6" ht="19.5" customHeight="1">
      <c r="B210" s="461"/>
      <c r="C210" s="461"/>
      <c r="D210" s="461"/>
      <c r="E210" s="461"/>
      <c r="F210" s="462"/>
    </row>
    <row r="211" spans="2:6" ht="19.5" customHeight="1">
      <c r="B211" s="461"/>
      <c r="C211" s="461"/>
      <c r="D211" s="461"/>
      <c r="E211" s="461"/>
      <c r="F211" s="462"/>
    </row>
    <row r="212" spans="2:6" ht="19.5" customHeight="1">
      <c r="B212" s="461"/>
      <c r="C212" s="461"/>
      <c r="D212" s="461"/>
      <c r="E212" s="461"/>
      <c r="F212" s="462"/>
    </row>
    <row r="213" spans="2:6" ht="19.5" customHeight="1">
      <c r="B213" s="461"/>
      <c r="C213" s="461"/>
      <c r="D213" s="461"/>
      <c r="E213" s="461"/>
      <c r="F213" s="462"/>
    </row>
    <row r="214" spans="2:6" ht="19.5" customHeight="1">
      <c r="B214" s="461"/>
      <c r="C214" s="461"/>
      <c r="D214" s="461"/>
      <c r="E214" s="461"/>
      <c r="F214" s="462"/>
    </row>
    <row r="215" spans="2:6" ht="19.5" customHeight="1">
      <c r="B215" s="461"/>
      <c r="C215" s="461"/>
      <c r="D215" s="461"/>
      <c r="E215" s="461"/>
      <c r="F215" s="462"/>
    </row>
    <row r="216" spans="2:6" ht="19.5" customHeight="1">
      <c r="B216" s="461"/>
      <c r="C216" s="461"/>
      <c r="D216" s="461"/>
      <c r="E216" s="461"/>
      <c r="F216" s="462"/>
    </row>
    <row r="217" spans="2:6" ht="19.5" customHeight="1">
      <c r="B217" s="461"/>
      <c r="C217" s="461"/>
      <c r="D217" s="461"/>
      <c r="E217" s="461"/>
      <c r="F217" s="462"/>
    </row>
    <row r="218" spans="2:6" ht="19.5" customHeight="1">
      <c r="B218" s="461"/>
      <c r="C218" s="461"/>
      <c r="D218" s="461"/>
      <c r="E218" s="461"/>
      <c r="F218" s="462"/>
    </row>
    <row r="219" spans="2:6" ht="19.5" customHeight="1">
      <c r="B219" s="461"/>
      <c r="C219" s="461"/>
      <c r="D219" s="461"/>
      <c r="E219" s="461"/>
      <c r="F219" s="462"/>
    </row>
    <row r="220" spans="2:6" ht="19.5" customHeight="1">
      <c r="B220" s="461"/>
      <c r="C220" s="461"/>
      <c r="D220" s="461"/>
      <c r="E220" s="461"/>
      <c r="F220" s="462"/>
    </row>
    <row r="221" spans="2:6" ht="19.5" customHeight="1">
      <c r="B221" s="461"/>
      <c r="C221" s="461"/>
      <c r="D221" s="461"/>
      <c r="E221" s="461"/>
      <c r="F221" s="462"/>
    </row>
    <row r="222" spans="2:6" ht="19.5" customHeight="1">
      <c r="B222" s="461"/>
      <c r="C222" s="461"/>
      <c r="D222" s="461"/>
      <c r="E222" s="461"/>
      <c r="F222" s="462"/>
    </row>
    <row r="223" spans="2:6" ht="19.5" customHeight="1">
      <c r="B223" s="461"/>
      <c r="C223" s="461"/>
      <c r="D223" s="461"/>
      <c r="E223" s="461"/>
      <c r="F223" s="462"/>
    </row>
    <row r="224" spans="2:6" ht="19.5" customHeight="1">
      <c r="B224" s="461"/>
      <c r="C224" s="461"/>
      <c r="D224" s="461"/>
      <c r="E224" s="461"/>
      <c r="F224" s="462"/>
    </row>
    <row r="225" spans="2:6" ht="19.5" customHeight="1">
      <c r="B225" s="461"/>
      <c r="C225" s="461"/>
      <c r="D225" s="461"/>
      <c r="E225" s="461"/>
      <c r="F225" s="462"/>
    </row>
    <row r="226" spans="2:6" ht="19.5" customHeight="1">
      <c r="B226" s="461"/>
      <c r="C226" s="461"/>
      <c r="D226" s="461"/>
      <c r="E226" s="461"/>
      <c r="F226" s="462"/>
    </row>
    <row r="227" spans="2:6" ht="19.5" customHeight="1">
      <c r="B227" s="461"/>
      <c r="C227" s="461"/>
      <c r="D227" s="461"/>
      <c r="E227" s="461"/>
      <c r="F227" s="462"/>
    </row>
    <row r="228" spans="2:6" ht="19.5" customHeight="1">
      <c r="B228" s="461"/>
      <c r="C228" s="461"/>
      <c r="D228" s="461"/>
      <c r="E228" s="461"/>
      <c r="F228" s="462"/>
    </row>
    <row r="229" spans="2:6" ht="19.5" customHeight="1">
      <c r="B229" s="461"/>
      <c r="C229" s="461"/>
      <c r="D229" s="461"/>
      <c r="E229" s="461"/>
      <c r="F229" s="462"/>
    </row>
    <row r="230" spans="2:6" ht="19.5" customHeight="1">
      <c r="B230" s="461"/>
      <c r="C230" s="461"/>
      <c r="D230" s="461"/>
      <c r="E230" s="461"/>
      <c r="F230" s="462"/>
    </row>
    <row r="231" spans="2:6" ht="19.5" customHeight="1">
      <c r="B231" s="461"/>
      <c r="C231" s="461"/>
      <c r="D231" s="461"/>
      <c r="E231" s="461"/>
      <c r="F231" s="462"/>
    </row>
    <row r="232" spans="2:6" ht="19.5" customHeight="1">
      <c r="B232" s="461"/>
      <c r="C232" s="461"/>
      <c r="D232" s="461"/>
      <c r="E232" s="461"/>
      <c r="F232" s="462"/>
    </row>
    <row r="233" spans="2:6" ht="19.5" customHeight="1">
      <c r="B233" s="461"/>
      <c r="C233" s="461"/>
      <c r="D233" s="461"/>
      <c r="E233" s="461"/>
      <c r="F233" s="462"/>
    </row>
    <row r="234" spans="2:6" ht="19.5" customHeight="1">
      <c r="B234" s="461"/>
      <c r="C234" s="461"/>
      <c r="D234" s="461"/>
      <c r="E234" s="461"/>
      <c r="F234" s="462"/>
    </row>
    <row r="235" spans="2:6" ht="19.5" customHeight="1">
      <c r="B235" s="461"/>
      <c r="C235" s="461"/>
      <c r="D235" s="461"/>
      <c r="E235" s="461"/>
      <c r="F235" s="462"/>
    </row>
    <row r="236" spans="2:6" ht="19.5" customHeight="1">
      <c r="B236" s="461"/>
      <c r="C236" s="461"/>
      <c r="D236" s="461"/>
      <c r="E236" s="461"/>
      <c r="F236" s="462"/>
    </row>
    <row r="237" spans="2:6" ht="19.5" customHeight="1">
      <c r="B237" s="461"/>
      <c r="C237" s="461"/>
      <c r="D237" s="461"/>
      <c r="E237" s="461"/>
      <c r="F237" s="462"/>
    </row>
    <row r="238" spans="2:6" ht="19.5" customHeight="1">
      <c r="B238" s="461"/>
      <c r="C238" s="461"/>
      <c r="D238" s="461"/>
      <c r="E238" s="461"/>
      <c r="F238" s="462"/>
    </row>
    <row r="239" spans="2:6" ht="19.5" customHeight="1">
      <c r="B239" s="461"/>
      <c r="C239" s="461"/>
      <c r="D239" s="461"/>
      <c r="E239" s="461"/>
      <c r="F239" s="462"/>
    </row>
    <row r="240" spans="2:6" ht="19.5" customHeight="1">
      <c r="B240" s="461"/>
      <c r="C240" s="461"/>
      <c r="D240" s="461"/>
      <c r="E240" s="461"/>
      <c r="F240" s="462"/>
    </row>
    <row r="241" spans="2:6" ht="19.5" customHeight="1">
      <c r="B241" s="461"/>
      <c r="C241" s="461"/>
      <c r="D241" s="461"/>
      <c r="E241" s="461"/>
      <c r="F241" s="462"/>
    </row>
    <row r="242" spans="2:6" ht="19.5" customHeight="1">
      <c r="B242" s="461"/>
      <c r="C242" s="461"/>
      <c r="D242" s="461"/>
      <c r="E242" s="461"/>
      <c r="F242" s="462"/>
    </row>
    <row r="243" spans="2:6" ht="19.5" customHeight="1">
      <c r="B243" s="461"/>
      <c r="C243" s="461"/>
      <c r="D243" s="461"/>
      <c r="E243" s="461"/>
      <c r="F243" s="462"/>
    </row>
    <row r="244" spans="2:6" ht="19.5" customHeight="1">
      <c r="B244" s="461"/>
      <c r="C244" s="461"/>
      <c r="D244" s="461"/>
      <c r="E244" s="461"/>
      <c r="F244" s="462"/>
    </row>
    <row r="245" spans="2:6" ht="19.5" customHeight="1">
      <c r="B245" s="461"/>
      <c r="C245" s="461"/>
      <c r="D245" s="461"/>
      <c r="E245" s="461"/>
      <c r="F245" s="462"/>
    </row>
    <row r="246" spans="2:6" ht="19.5" customHeight="1">
      <c r="B246" s="461"/>
      <c r="C246" s="461"/>
      <c r="D246" s="461"/>
      <c r="E246" s="461"/>
      <c r="F246" s="462"/>
    </row>
    <row r="247" spans="2:6" ht="19.5" customHeight="1">
      <c r="B247" s="461"/>
      <c r="C247" s="461"/>
      <c r="D247" s="461"/>
      <c r="E247" s="461"/>
      <c r="F247" s="462"/>
    </row>
    <row r="248" spans="2:6" ht="19.5" customHeight="1">
      <c r="B248" s="461"/>
      <c r="C248" s="461"/>
      <c r="D248" s="461"/>
      <c r="E248" s="461"/>
      <c r="F248" s="462"/>
    </row>
    <row r="249" spans="2:6" ht="19.5" customHeight="1">
      <c r="B249" s="461"/>
      <c r="C249" s="461"/>
      <c r="D249" s="461"/>
      <c r="E249" s="461"/>
      <c r="F249" s="462"/>
    </row>
    <row r="250" spans="2:6" ht="19.5" customHeight="1">
      <c r="B250" s="461"/>
      <c r="C250" s="461"/>
      <c r="D250" s="461"/>
      <c r="E250" s="461"/>
      <c r="F250" s="462"/>
    </row>
    <row r="251" spans="2:6" ht="19.5" customHeight="1">
      <c r="B251" s="461"/>
      <c r="C251" s="461"/>
      <c r="D251" s="461"/>
      <c r="E251" s="461"/>
      <c r="F251" s="462"/>
    </row>
    <row r="252" spans="2:6" ht="19.5" customHeight="1">
      <c r="B252" s="461"/>
      <c r="C252" s="461"/>
      <c r="D252" s="461"/>
      <c r="E252" s="461"/>
      <c r="F252" s="462"/>
    </row>
    <row r="253" spans="2:6" ht="19.5" customHeight="1">
      <c r="B253" s="461"/>
      <c r="C253" s="461"/>
      <c r="D253" s="461"/>
      <c r="E253" s="461"/>
      <c r="F253" s="462"/>
    </row>
    <row r="254" spans="2:6" ht="19.5" customHeight="1">
      <c r="B254" s="461"/>
      <c r="C254" s="461"/>
      <c r="D254" s="461"/>
      <c r="E254" s="461"/>
      <c r="F254" s="462"/>
    </row>
    <row r="255" spans="2:6" ht="19.5" customHeight="1">
      <c r="B255" s="461"/>
      <c r="C255" s="461"/>
      <c r="D255" s="461"/>
      <c r="E255" s="461"/>
      <c r="F255" s="462"/>
    </row>
    <row r="256" spans="2:6" ht="19.5" customHeight="1">
      <c r="B256" s="461"/>
      <c r="C256" s="461"/>
      <c r="D256" s="461"/>
      <c r="E256" s="461"/>
      <c r="F256" s="462"/>
    </row>
    <row r="257" spans="2:6" ht="19.5" customHeight="1">
      <c r="B257" s="461"/>
      <c r="C257" s="461"/>
      <c r="D257" s="461"/>
      <c r="E257" s="461"/>
      <c r="F257" s="462"/>
    </row>
    <row r="258" spans="2:6" ht="19.5" customHeight="1">
      <c r="B258" s="461"/>
      <c r="C258" s="461"/>
      <c r="D258" s="461"/>
      <c r="E258" s="461"/>
      <c r="F258" s="462"/>
    </row>
    <row r="259" spans="2:6" ht="19.5" customHeight="1">
      <c r="B259" s="461"/>
      <c r="C259" s="461"/>
      <c r="D259" s="461"/>
      <c r="E259" s="461"/>
      <c r="F259" s="462"/>
    </row>
    <row r="260" spans="2:6" ht="19.5" customHeight="1">
      <c r="B260" s="461"/>
      <c r="C260" s="461"/>
      <c r="D260" s="461"/>
      <c r="E260" s="461"/>
      <c r="F260" s="462"/>
    </row>
    <row r="261" spans="2:6" ht="19.5" customHeight="1">
      <c r="B261" s="461"/>
      <c r="C261" s="461"/>
      <c r="D261" s="461"/>
      <c r="E261" s="461"/>
      <c r="F261" s="462"/>
    </row>
    <row r="262" spans="2:6" ht="19.5" customHeight="1">
      <c r="B262" s="461"/>
      <c r="C262" s="461"/>
      <c r="D262" s="461"/>
      <c r="E262" s="461"/>
      <c r="F262" s="462"/>
    </row>
    <row r="263" spans="2:6" ht="19.5" customHeight="1">
      <c r="B263" s="461"/>
      <c r="C263" s="461"/>
      <c r="D263" s="461"/>
      <c r="E263" s="461"/>
      <c r="F263" s="462"/>
    </row>
    <row r="264" spans="2:6" ht="19.5" customHeight="1">
      <c r="B264" s="461"/>
      <c r="C264" s="461"/>
      <c r="D264" s="461"/>
      <c r="E264" s="461"/>
      <c r="F264" s="462"/>
    </row>
    <row r="265" spans="2:6" ht="19.5" customHeight="1">
      <c r="B265" s="461"/>
      <c r="C265" s="461"/>
      <c r="D265" s="461"/>
      <c r="E265" s="461"/>
      <c r="F265" s="462"/>
    </row>
    <row r="266" spans="2:6" ht="19.5" customHeight="1">
      <c r="B266" s="461"/>
      <c r="C266" s="461"/>
      <c r="D266" s="461"/>
      <c r="E266" s="461"/>
      <c r="F266" s="462"/>
    </row>
    <row r="267" spans="2:6" ht="19.5" customHeight="1">
      <c r="B267" s="461"/>
      <c r="C267" s="461"/>
      <c r="D267" s="461"/>
      <c r="E267" s="461"/>
      <c r="F267" s="462"/>
    </row>
    <row r="268" spans="2:6" ht="19.5" customHeight="1">
      <c r="B268" s="461"/>
      <c r="C268" s="461"/>
      <c r="D268" s="461"/>
      <c r="E268" s="461"/>
      <c r="F268" s="462"/>
    </row>
    <row r="269" spans="2:6" ht="19.5" customHeight="1">
      <c r="B269" s="461"/>
      <c r="C269" s="461"/>
      <c r="D269" s="461"/>
      <c r="E269" s="461"/>
      <c r="F269" s="462"/>
    </row>
    <row r="270" spans="2:6" ht="19.5" customHeight="1">
      <c r="B270" s="461"/>
      <c r="C270" s="461"/>
      <c r="D270" s="461"/>
      <c r="E270" s="461"/>
      <c r="F270" s="462"/>
    </row>
    <row r="271" spans="2:6" ht="19.5" customHeight="1">
      <c r="B271" s="461"/>
      <c r="C271" s="461"/>
      <c r="D271" s="461"/>
      <c r="E271" s="461"/>
      <c r="F271" s="462"/>
    </row>
    <row r="272" spans="2:6" ht="19.5" customHeight="1">
      <c r="B272" s="461"/>
      <c r="C272" s="461"/>
      <c r="D272" s="461"/>
      <c r="E272" s="461"/>
      <c r="F272" s="462"/>
    </row>
    <row r="273" spans="2:6" ht="19.5" customHeight="1">
      <c r="B273" s="461"/>
      <c r="C273" s="461"/>
      <c r="D273" s="461"/>
      <c r="E273" s="461"/>
      <c r="F273" s="462"/>
    </row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</sheetData>
  <sheetProtection formatCells="0" formatColumns="0" formatRows="0" insertColumns="0" insertRows="0" insertHyperlinks="0" deleteColumns="0" deleteRows="0" sort="0" autoFilter="0" pivotTables="0"/>
  <mergeCells count="5">
    <mergeCell ref="U37:U39"/>
    <mergeCell ref="A9:D9"/>
    <mergeCell ref="A8:C8"/>
    <mergeCell ref="A7:C7"/>
    <mergeCell ref="T37:T39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60:E63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937007874015748" bottom="0.6299212598425197" header="0" footer="0"/>
  <pageSetup fitToHeight="1" fitToWidth="1" horizontalDpi="600" verticalDpi="600" orientation="portrait" paperSize="9" scale="34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rgb="FFFFFF00"/>
  </sheetPr>
  <dimension ref="A1:Q552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3.140625" style="503" bestFit="1" customWidth="1"/>
    <col min="2" max="2" width="17.421875" style="503" customWidth="1"/>
    <col min="3" max="3" width="19.8515625" style="503" customWidth="1"/>
    <col min="4" max="4" width="17.8515625" style="504" customWidth="1"/>
    <col min="5" max="5" width="1.7109375" style="505" customWidth="1"/>
    <col min="6" max="12" width="0" style="503" hidden="1" customWidth="1"/>
    <col min="13" max="13" width="10.7109375" style="503" customWidth="1"/>
    <col min="14" max="14" width="13.7109375" style="899" hidden="1" customWidth="1"/>
    <col min="15" max="17" width="0" style="899" hidden="1" customWidth="1"/>
    <col min="18" max="16384" width="10.7109375" style="503" customWidth="1"/>
  </cols>
  <sheetData>
    <row r="1" spans="1:3" ht="12.75">
      <c r="A1" s="420"/>
      <c r="B1" s="808" t="s">
        <v>829</v>
      </c>
      <c r="C1" s="420"/>
    </row>
    <row r="2" spans="1:3" ht="12.75">
      <c r="A2" s="420"/>
      <c r="B2" s="809" t="s">
        <v>830</v>
      </c>
      <c r="C2" s="420"/>
    </row>
    <row r="3" spans="1:3" ht="12.75">
      <c r="A3" s="420"/>
      <c r="B3" s="420"/>
      <c r="C3" s="420"/>
    </row>
    <row r="4" spans="1:3" ht="12.75">
      <c r="A4" s="805" t="s">
        <v>678</v>
      </c>
      <c r="B4" s="810">
        <v>42339</v>
      </c>
      <c r="C4" s="420"/>
    </row>
    <row r="5" spans="1:3" ht="12.75">
      <c r="A5" s="805" t="s">
        <v>828</v>
      </c>
      <c r="B5" s="811" t="s">
        <v>831</v>
      </c>
      <c r="C5" s="420"/>
    </row>
    <row r="7" spans="1:17" s="479" customFormat="1" ht="49.5" customHeight="1">
      <c r="A7" s="1058" t="s">
        <v>463</v>
      </c>
      <c r="B7" s="1058"/>
      <c r="C7" s="1058"/>
      <c r="D7" s="416">
        <f>CPYG!D7</f>
        <v>2016</v>
      </c>
      <c r="E7" s="417"/>
      <c r="N7" s="900"/>
      <c r="O7" s="900"/>
      <c r="P7" s="900"/>
      <c r="Q7" s="900"/>
    </row>
    <row r="8" spans="1:17" s="479" customFormat="1" ht="37.5" customHeight="1">
      <c r="A8" s="1059" t="str">
        <f>CPYG!A8</f>
        <v>TRANSPORTES INTERURBANOS DE TENERIFE, S.A.U.</v>
      </c>
      <c r="B8" s="1060"/>
      <c r="C8" s="1061"/>
      <c r="D8" s="421" t="s">
        <v>464</v>
      </c>
      <c r="E8" s="422"/>
      <c r="N8" s="900"/>
      <c r="O8" s="900"/>
      <c r="P8" s="900"/>
      <c r="Q8" s="900"/>
    </row>
    <row r="9" spans="1:17" s="479" customFormat="1" ht="24.75" customHeight="1">
      <c r="A9" s="1062" t="s">
        <v>832</v>
      </c>
      <c r="B9" s="1062"/>
      <c r="C9" s="1062"/>
      <c r="D9" s="1062"/>
      <c r="E9" s="480"/>
      <c r="N9" s="900"/>
      <c r="O9" s="900"/>
      <c r="P9" s="900"/>
      <c r="Q9" s="900"/>
    </row>
    <row r="10" spans="1:17" s="479" customFormat="1" ht="40.5" customHeight="1">
      <c r="A10" s="481" t="s">
        <v>464</v>
      </c>
      <c r="B10" s="482" t="s">
        <v>49</v>
      </c>
      <c r="C10" s="483" t="s">
        <v>51</v>
      </c>
      <c r="D10" s="483" t="s">
        <v>52</v>
      </c>
      <c r="E10" s="484"/>
      <c r="N10" s="900"/>
      <c r="O10" s="900"/>
      <c r="P10" s="900"/>
      <c r="Q10" s="900"/>
    </row>
    <row r="11" spans="1:17" s="479" customFormat="1" ht="19.5" customHeight="1">
      <c r="A11" s="485" t="s">
        <v>598</v>
      </c>
      <c r="B11" s="554">
        <f>B12+B17+B21+B24+B25+B26+B27</f>
        <v>43732602.20999999</v>
      </c>
      <c r="C11" s="554">
        <f>C12+C17+C21+C24+C25+C26+C27</f>
        <v>34838357.52</v>
      </c>
      <c r="D11" s="554">
        <f>D12+D17+D21+D24+D25+D26+D27</f>
        <v>31572066.41</v>
      </c>
      <c r="E11" s="486"/>
      <c r="N11" s="900"/>
      <c r="O11" s="900"/>
      <c r="P11" s="900"/>
      <c r="Q11" s="900"/>
    </row>
    <row r="12" spans="1:17" s="479" customFormat="1" ht="19.5" customHeight="1">
      <c r="A12" s="485" t="s">
        <v>491</v>
      </c>
      <c r="B12" s="554">
        <f>SUM(B13:B16)</f>
        <v>59256.18</v>
      </c>
      <c r="C12" s="554">
        <f>SUM(C13:C16)</f>
        <v>42244.35</v>
      </c>
      <c r="D12" s="554">
        <f>SUM(D13:D16)</f>
        <v>3384.48</v>
      </c>
      <c r="E12" s="487"/>
      <c r="N12" s="900"/>
      <c r="O12" s="900"/>
      <c r="P12" s="900"/>
      <c r="Q12" s="900"/>
    </row>
    <row r="13" spans="1:17" s="479" customFormat="1" ht="19.5" customHeight="1">
      <c r="A13" s="488" t="s">
        <v>601</v>
      </c>
      <c r="B13" s="822">
        <v>0</v>
      </c>
      <c r="C13" s="596">
        <v>0</v>
      </c>
      <c r="D13" s="596">
        <v>0</v>
      </c>
      <c r="E13" s="487"/>
      <c r="N13" s="900"/>
      <c r="O13" s="900"/>
      <c r="P13" s="900"/>
      <c r="Q13" s="900"/>
    </row>
    <row r="14" spans="1:17" s="479" customFormat="1" ht="19.5" customHeight="1">
      <c r="A14" s="488" t="s">
        <v>600</v>
      </c>
      <c r="B14" s="822">
        <v>59256.18</v>
      </c>
      <c r="C14" s="596">
        <v>42244.35</v>
      </c>
      <c r="D14" s="596">
        <v>3384.48</v>
      </c>
      <c r="E14" s="487"/>
      <c r="N14" s="900"/>
      <c r="O14" s="900"/>
      <c r="P14" s="900"/>
      <c r="Q14" s="900"/>
    </row>
    <row r="15" spans="1:17" s="479" customFormat="1" ht="19.5" customHeight="1">
      <c r="A15" s="488" t="s">
        <v>599</v>
      </c>
      <c r="B15" s="822">
        <v>0</v>
      </c>
      <c r="C15" s="596">
        <v>0</v>
      </c>
      <c r="D15" s="596">
        <v>0</v>
      </c>
      <c r="E15" s="487"/>
      <c r="N15" s="900"/>
      <c r="O15" s="900"/>
      <c r="P15" s="900"/>
      <c r="Q15" s="900"/>
    </row>
    <row r="16" spans="1:17" s="479" customFormat="1" ht="19.5" customHeight="1">
      <c r="A16" s="488" t="s">
        <v>838</v>
      </c>
      <c r="B16" s="822">
        <v>0</v>
      </c>
      <c r="C16" s="596">
        <v>0</v>
      </c>
      <c r="D16" s="596">
        <v>0</v>
      </c>
      <c r="E16" s="487"/>
      <c r="N16" s="900"/>
      <c r="O16" s="900"/>
      <c r="P16" s="900"/>
      <c r="Q16" s="900"/>
    </row>
    <row r="17" spans="1:17" s="479" customFormat="1" ht="19.5" customHeight="1">
      <c r="A17" s="485" t="s">
        <v>492</v>
      </c>
      <c r="B17" s="554">
        <f>SUM(B18:B20)</f>
        <v>39461660.15</v>
      </c>
      <c r="C17" s="554">
        <f>SUM(C18:C20)</f>
        <v>34770704.620000005</v>
      </c>
      <c r="D17" s="554">
        <f>SUM(D18:D20)</f>
        <v>31543273.38</v>
      </c>
      <c r="E17" s="487"/>
      <c r="N17" s="900"/>
      <c r="O17" s="900"/>
      <c r="P17" s="900"/>
      <c r="Q17" s="900"/>
    </row>
    <row r="18" spans="1:17" s="479" customFormat="1" ht="19.5" customHeight="1">
      <c r="A18" s="488" t="s">
        <v>748</v>
      </c>
      <c r="B18" s="822">
        <v>2291671.46</v>
      </c>
      <c r="C18" s="596">
        <f>21235913.09-18944241.63</f>
        <v>2291671.460000001</v>
      </c>
      <c r="D18" s="596">
        <f>20665302.3-18373630.84</f>
        <v>2291671.460000001</v>
      </c>
      <c r="E18" s="487"/>
      <c r="N18" s="900"/>
      <c r="O18" s="900"/>
      <c r="P18" s="900"/>
      <c r="Q18" s="900"/>
    </row>
    <row r="19" spans="1:17" s="479" customFormat="1" ht="19.5" customHeight="1">
      <c r="A19" s="488" t="s">
        <v>747</v>
      </c>
      <c r="B19" s="822">
        <v>139417.02</v>
      </c>
      <c r="C19" s="596">
        <v>139417.02</v>
      </c>
      <c r="D19" s="596">
        <v>139417.02</v>
      </c>
      <c r="E19" s="487"/>
      <c r="N19" s="900"/>
      <c r="O19" s="900"/>
      <c r="P19" s="900"/>
      <c r="Q19" s="900"/>
    </row>
    <row r="20" spans="1:17" s="479" customFormat="1" ht="19.5" customHeight="1">
      <c r="A20" s="488" t="s">
        <v>746</v>
      </c>
      <c r="B20" s="822">
        <v>37030571.67</v>
      </c>
      <c r="C20" s="596">
        <f>13395374.51+18944241.63</f>
        <v>32339616.14</v>
      </c>
      <c r="D20" s="596">
        <f>10738554.06+18373630.84</f>
        <v>29112184.9</v>
      </c>
      <c r="E20" s="487"/>
      <c r="N20" s="901">
        <f>C20+C19</f>
        <v>32479033.16</v>
      </c>
      <c r="O20" s="900"/>
      <c r="P20" s="900"/>
      <c r="Q20" s="900"/>
    </row>
    <row r="21" spans="1:17" s="479" customFormat="1" ht="19.5" customHeight="1">
      <c r="A21" s="485" t="s">
        <v>493</v>
      </c>
      <c r="B21" s="554">
        <f>SUM(B22:B23)</f>
        <v>0</v>
      </c>
      <c r="C21" s="554">
        <f>SUM(C22:C23)</f>
        <v>0</v>
      </c>
      <c r="D21" s="554">
        <f>SUM(D22:D23)</f>
        <v>0</v>
      </c>
      <c r="E21" s="487"/>
      <c r="N21" s="900"/>
      <c r="O21" s="900"/>
      <c r="P21" s="900"/>
      <c r="Q21" s="900"/>
    </row>
    <row r="22" spans="1:17" s="479" customFormat="1" ht="19.5" customHeight="1">
      <c r="A22" s="488" t="s">
        <v>494</v>
      </c>
      <c r="B22" s="596">
        <v>0</v>
      </c>
      <c r="C22" s="596">
        <v>0</v>
      </c>
      <c r="D22" s="596">
        <v>0</v>
      </c>
      <c r="E22" s="487"/>
      <c r="N22" s="900"/>
      <c r="O22" s="900"/>
      <c r="P22" s="900"/>
      <c r="Q22" s="900"/>
    </row>
    <row r="23" spans="1:17" s="479" customFormat="1" ht="19.5" customHeight="1">
      <c r="A23" s="488" t="s">
        <v>404</v>
      </c>
      <c r="B23" s="596">
        <v>0</v>
      </c>
      <c r="C23" s="596">
        <v>0</v>
      </c>
      <c r="D23" s="596">
        <v>0</v>
      </c>
      <c r="E23" s="487"/>
      <c r="N23" s="900"/>
      <c r="O23" s="900"/>
      <c r="P23" s="900"/>
      <c r="Q23" s="900"/>
    </row>
    <row r="24" spans="1:17" s="479" customFormat="1" ht="19.5" customHeight="1">
      <c r="A24" s="485" t="s">
        <v>495</v>
      </c>
      <c r="B24" s="823">
        <v>4187191.73</v>
      </c>
      <c r="C24" s="595">
        <v>0</v>
      </c>
      <c r="D24" s="595">
        <v>0</v>
      </c>
      <c r="E24" s="487"/>
      <c r="N24" s="900"/>
      <c r="O24" s="900"/>
      <c r="P24" s="900"/>
      <c r="Q24" s="900"/>
    </row>
    <row r="25" spans="1:17" s="479" customFormat="1" ht="19.5" customHeight="1">
      <c r="A25" s="485" t="s">
        <v>496</v>
      </c>
      <c r="B25" s="823">
        <v>24494.15</v>
      </c>
      <c r="C25" s="595">
        <v>25408.55</v>
      </c>
      <c r="D25" s="595">
        <v>25408.55</v>
      </c>
      <c r="E25" s="487"/>
      <c r="N25" s="900"/>
      <c r="O25" s="900"/>
      <c r="P25" s="900"/>
      <c r="Q25" s="900"/>
    </row>
    <row r="26" spans="1:17" s="479" customFormat="1" ht="19.5" customHeight="1">
      <c r="A26" s="485" t="s">
        <v>405</v>
      </c>
      <c r="B26" s="823">
        <v>0</v>
      </c>
      <c r="C26" s="595">
        <v>0</v>
      </c>
      <c r="D26" s="595">
        <v>0</v>
      </c>
      <c r="F26" s="749" t="s">
        <v>589</v>
      </c>
      <c r="G26" s="750"/>
      <c r="H26" s="750"/>
      <c r="I26" s="750"/>
      <c r="J26" s="750"/>
      <c r="K26" s="750"/>
      <c r="L26" s="750"/>
      <c r="N26" s="900"/>
      <c r="O26" s="900"/>
      <c r="P26" s="900"/>
      <c r="Q26" s="900"/>
    </row>
    <row r="27" spans="1:17" s="479" customFormat="1" ht="19.5" customHeight="1">
      <c r="A27" s="485" t="s">
        <v>749</v>
      </c>
      <c r="B27" s="823">
        <v>0</v>
      </c>
      <c r="C27" s="595">
        <v>0</v>
      </c>
      <c r="D27" s="595">
        <v>0</v>
      </c>
      <c r="F27" s="749" t="s">
        <v>590</v>
      </c>
      <c r="G27" s="750"/>
      <c r="H27" s="750"/>
      <c r="I27" s="750"/>
      <c r="J27" s="750"/>
      <c r="K27" s="750"/>
      <c r="L27" s="750"/>
      <c r="N27" s="900"/>
      <c r="O27" s="900"/>
      <c r="P27" s="900"/>
      <c r="Q27" s="900"/>
    </row>
    <row r="28" spans="1:17" s="479" customFormat="1" ht="19.5" customHeight="1">
      <c r="A28" s="485" t="s">
        <v>602</v>
      </c>
      <c r="B28" s="554">
        <f>B29+B35+B38+B42+B43+B44+B45</f>
        <v>29013925.290000003</v>
      </c>
      <c r="C28" s="554">
        <f>C29+C35+C38+C42+C43+C44+C45</f>
        <v>20274407.970000003</v>
      </c>
      <c r="D28" s="554">
        <f>D29+D35+D38+D42+D43+D44+D45</f>
        <v>19463171.240000002</v>
      </c>
      <c r="E28" s="486"/>
      <c r="N28" s="900"/>
      <c r="O28" s="900"/>
      <c r="P28" s="900"/>
      <c r="Q28" s="900"/>
    </row>
    <row r="29" spans="1:17" s="479" customFormat="1" ht="23.25" customHeight="1">
      <c r="A29" s="485" t="s">
        <v>497</v>
      </c>
      <c r="B29" s="554">
        <f>B30+B33+B34</f>
        <v>0</v>
      </c>
      <c r="C29" s="554">
        <f>C30+C33+C34</f>
        <v>0</v>
      </c>
      <c r="D29" s="554">
        <f>D30+D33+D34</f>
        <v>0</v>
      </c>
      <c r="E29" s="487"/>
      <c r="N29" s="900"/>
      <c r="O29" s="900"/>
      <c r="P29" s="900"/>
      <c r="Q29" s="900"/>
    </row>
    <row r="30" spans="1:17" s="479" customFormat="1" ht="23.25" customHeight="1">
      <c r="A30" s="488" t="s">
        <v>752</v>
      </c>
      <c r="B30" s="597">
        <f>SUM(B31:B32)</f>
        <v>0</v>
      </c>
      <c r="C30" s="597">
        <f>SUM(C31:C32)</f>
        <v>0</v>
      </c>
      <c r="D30" s="597">
        <f>SUM(D31:D32)</f>
        <v>0</v>
      </c>
      <c r="E30" s="487"/>
      <c r="N30" s="900"/>
      <c r="O30" s="900"/>
      <c r="P30" s="900"/>
      <c r="Q30" s="900"/>
    </row>
    <row r="31" spans="1:17" s="479" customFormat="1" ht="23.25" customHeight="1">
      <c r="A31" s="488" t="s">
        <v>753</v>
      </c>
      <c r="B31" s="596">
        <v>0</v>
      </c>
      <c r="C31" s="596">
        <v>0</v>
      </c>
      <c r="D31" s="596">
        <v>0</v>
      </c>
      <c r="E31" s="487"/>
      <c r="N31" s="900"/>
      <c r="O31" s="900"/>
      <c r="P31" s="900"/>
      <c r="Q31" s="900"/>
    </row>
    <row r="32" spans="1:17" s="479" customFormat="1" ht="23.25" customHeight="1">
      <c r="A32" s="488" t="s">
        <v>754</v>
      </c>
      <c r="B32" s="596">
        <v>0</v>
      </c>
      <c r="C32" s="596">
        <v>0</v>
      </c>
      <c r="D32" s="596">
        <v>0</v>
      </c>
      <c r="E32" s="487"/>
      <c r="N32" s="900"/>
      <c r="O32" s="900"/>
      <c r="P32" s="900"/>
      <c r="Q32" s="900"/>
    </row>
    <row r="33" spans="1:17" s="479" customFormat="1" ht="23.25" customHeight="1">
      <c r="A33" s="488" t="s">
        <v>756</v>
      </c>
      <c r="B33" s="596">
        <v>0</v>
      </c>
      <c r="C33" s="596">
        <v>0</v>
      </c>
      <c r="D33" s="596">
        <v>0</v>
      </c>
      <c r="E33" s="487"/>
      <c r="N33" s="900"/>
      <c r="O33" s="900"/>
      <c r="P33" s="900"/>
      <c r="Q33" s="900"/>
    </row>
    <row r="34" spans="1:17" s="479" customFormat="1" ht="23.25" customHeight="1">
      <c r="A34" s="488" t="s">
        <v>755</v>
      </c>
      <c r="B34" s="596">
        <v>0</v>
      </c>
      <c r="C34" s="596">
        <v>0</v>
      </c>
      <c r="D34" s="596">
        <v>0</v>
      </c>
      <c r="E34" s="487"/>
      <c r="N34" s="900"/>
      <c r="O34" s="900"/>
      <c r="P34" s="900"/>
      <c r="Q34" s="900"/>
    </row>
    <row r="35" spans="1:17" s="479" customFormat="1" ht="19.5" customHeight="1">
      <c r="A35" s="485" t="s">
        <v>468</v>
      </c>
      <c r="B35" s="554">
        <f>SUM(B36:B37)</f>
        <v>1727293.33</v>
      </c>
      <c r="C35" s="554">
        <f>SUM(C36:C37)</f>
        <v>1790769.6</v>
      </c>
      <c r="D35" s="554">
        <f>SUM(D36:D37)</f>
        <v>1854429.6</v>
      </c>
      <c r="E35" s="487"/>
      <c r="N35" s="900"/>
      <c r="O35" s="900"/>
      <c r="P35" s="900"/>
      <c r="Q35" s="900"/>
    </row>
    <row r="36" spans="1:17" s="479" customFormat="1" ht="19.5" customHeight="1">
      <c r="A36" s="488" t="s">
        <v>750</v>
      </c>
      <c r="B36" s="822">
        <v>1727293.33</v>
      </c>
      <c r="C36" s="596">
        <v>1790769.6</v>
      </c>
      <c r="D36" s="596">
        <v>1854429.6</v>
      </c>
      <c r="E36" s="487"/>
      <c r="N36" s="900"/>
      <c r="O36" s="900"/>
      <c r="P36" s="900"/>
      <c r="Q36" s="900"/>
    </row>
    <row r="37" spans="1:17" s="479" customFormat="1" ht="19.5" customHeight="1">
      <c r="A37" s="488" t="s">
        <v>751</v>
      </c>
      <c r="B37" s="822">
        <v>0</v>
      </c>
      <c r="C37" s="596">
        <v>0</v>
      </c>
      <c r="D37" s="596">
        <v>0</v>
      </c>
      <c r="E37" s="487"/>
      <c r="N37" s="900"/>
      <c r="O37" s="900"/>
      <c r="P37" s="900"/>
      <c r="Q37" s="900"/>
    </row>
    <row r="38" spans="1:17" s="479" customFormat="1" ht="19.5" customHeight="1">
      <c r="A38" s="485" t="s">
        <v>498</v>
      </c>
      <c r="B38" s="554">
        <f>SUM(B39:B41)</f>
        <v>26845493.05</v>
      </c>
      <c r="C38" s="554">
        <f>SUM(C39:C41)</f>
        <v>18419187.07</v>
      </c>
      <c r="D38" s="554">
        <f>SUM(D39:D41)</f>
        <v>17531969.3</v>
      </c>
      <c r="E38" s="487"/>
      <c r="N38" s="900"/>
      <c r="O38" s="900"/>
      <c r="P38" s="900"/>
      <c r="Q38" s="900"/>
    </row>
    <row r="39" spans="1:17" s="479" customFormat="1" ht="19.5" customHeight="1">
      <c r="A39" s="488" t="s">
        <v>406</v>
      </c>
      <c r="B39" s="822">
        <v>843702.63</v>
      </c>
      <c r="C39" s="596">
        <v>786895.21</v>
      </c>
      <c r="D39" s="596">
        <v>786895.21</v>
      </c>
      <c r="E39" s="487"/>
      <c r="N39" s="900"/>
      <c r="O39" s="900"/>
      <c r="P39" s="900"/>
      <c r="Q39" s="900"/>
    </row>
    <row r="40" spans="1:17" s="479" customFormat="1" ht="19.5" customHeight="1">
      <c r="A40" s="488" t="s">
        <v>603</v>
      </c>
      <c r="B40" s="824">
        <v>0</v>
      </c>
      <c r="C40" s="596">
        <v>0</v>
      </c>
      <c r="D40" s="596">
        <v>0</v>
      </c>
      <c r="E40" s="487"/>
      <c r="N40" s="900"/>
      <c r="O40" s="900"/>
      <c r="P40" s="900"/>
      <c r="Q40" s="900"/>
    </row>
    <row r="41" spans="1:17" s="479" customFormat="1" ht="19.5" customHeight="1">
      <c r="A41" s="488" t="s">
        <v>604</v>
      </c>
      <c r="B41" s="822">
        <f>26845493.05-B39</f>
        <v>26001790.42</v>
      </c>
      <c r="C41" s="596">
        <f>274971.99+352429.68+147512.14+16857378.05</f>
        <v>17632291.86</v>
      </c>
      <c r="D41" s="596">
        <f>274971.99+352429.68+147512.14+15970160.28</f>
        <v>16745074.09</v>
      </c>
      <c r="E41" s="487"/>
      <c r="N41" s="901"/>
      <c r="O41" s="900"/>
      <c r="P41" s="900"/>
      <c r="Q41" s="900"/>
    </row>
    <row r="42" spans="1:17" s="479" customFormat="1" ht="19.5" customHeight="1">
      <c r="A42" s="485" t="s">
        <v>499</v>
      </c>
      <c r="B42" s="823">
        <v>0</v>
      </c>
      <c r="C42" s="595">
        <v>0</v>
      </c>
      <c r="D42" s="595">
        <v>0</v>
      </c>
      <c r="E42" s="487"/>
      <c r="N42" s="900"/>
      <c r="O42" s="900"/>
      <c r="P42" s="900"/>
      <c r="Q42" s="900"/>
    </row>
    <row r="43" spans="1:17" s="479" customFormat="1" ht="19.5" customHeight="1">
      <c r="A43" s="485" t="s">
        <v>500</v>
      </c>
      <c r="B43" s="823">
        <v>35005.23</v>
      </c>
      <c r="C43" s="595">
        <v>10269.88</v>
      </c>
      <c r="D43" s="595">
        <v>10269.88</v>
      </c>
      <c r="E43" s="487"/>
      <c r="N43" s="900"/>
      <c r="O43" s="900"/>
      <c r="P43" s="900"/>
      <c r="Q43" s="900"/>
    </row>
    <row r="44" spans="1:17" s="479" customFormat="1" ht="19.5" customHeight="1">
      <c r="A44" s="485" t="s">
        <v>407</v>
      </c>
      <c r="B44" s="823">
        <v>4575.82</v>
      </c>
      <c r="C44" s="595">
        <v>0</v>
      </c>
      <c r="D44" s="595">
        <v>0</v>
      </c>
      <c r="E44" s="487"/>
      <c r="N44" s="900"/>
      <c r="O44" s="900"/>
      <c r="P44" s="900"/>
      <c r="Q44" s="900"/>
    </row>
    <row r="45" spans="1:17" s="479" customFormat="1" ht="19.5" customHeight="1">
      <c r="A45" s="485" t="s">
        <v>408</v>
      </c>
      <c r="B45" s="554">
        <f>SUM(B46:B47)</f>
        <v>401557.86</v>
      </c>
      <c r="C45" s="554">
        <f>SUM(C46:C47)</f>
        <v>54181.42</v>
      </c>
      <c r="D45" s="554">
        <f>SUM(D46:D47)</f>
        <v>66502.46</v>
      </c>
      <c r="E45" s="487"/>
      <c r="N45" s="900"/>
      <c r="O45" s="900"/>
      <c r="P45" s="900"/>
      <c r="Q45" s="900"/>
    </row>
    <row r="46" spans="1:17" s="479" customFormat="1" ht="19.5" customHeight="1">
      <c r="A46" s="488" t="s">
        <v>409</v>
      </c>
      <c r="B46" s="822">
        <v>401557.86</v>
      </c>
      <c r="C46" s="596">
        <v>54181.42</v>
      </c>
      <c r="D46" s="596">
        <v>66502.46</v>
      </c>
      <c r="E46" s="487"/>
      <c r="N46" s="900"/>
      <c r="O46" s="900"/>
      <c r="P46" s="900"/>
      <c r="Q46" s="900"/>
    </row>
    <row r="47" spans="1:17" s="479" customFormat="1" ht="19.5" customHeight="1">
      <c r="A47" s="488" t="s">
        <v>427</v>
      </c>
      <c r="B47" s="596">
        <v>0</v>
      </c>
      <c r="C47" s="596">
        <v>0</v>
      </c>
      <c r="D47" s="596">
        <v>0</v>
      </c>
      <c r="E47" s="487"/>
      <c r="N47" s="900"/>
      <c r="O47" s="900"/>
      <c r="P47" s="900"/>
      <c r="Q47" s="900"/>
    </row>
    <row r="48" spans="1:17" s="479" customFormat="1" ht="21.75" customHeight="1">
      <c r="A48" s="491" t="s">
        <v>460</v>
      </c>
      <c r="B48" s="554">
        <f>B28+B11</f>
        <v>72746527.5</v>
      </c>
      <c r="C48" s="554">
        <f>C28+C11</f>
        <v>55112765.49000001</v>
      </c>
      <c r="D48" s="554">
        <f>D28+D11</f>
        <v>51035237.650000006</v>
      </c>
      <c r="E48" s="486"/>
      <c r="N48" s="900"/>
      <c r="O48" s="900"/>
      <c r="P48" s="900"/>
      <c r="Q48" s="900"/>
    </row>
    <row r="49" spans="1:17" s="479" customFormat="1" ht="40.5" customHeight="1">
      <c r="A49" s="492"/>
      <c r="B49" s="493"/>
      <c r="C49" s="493"/>
      <c r="D49" s="493"/>
      <c r="E49" s="486"/>
      <c r="N49" s="900"/>
      <c r="O49" s="900"/>
      <c r="P49" s="900"/>
      <c r="Q49" s="900"/>
    </row>
    <row r="50" spans="1:17" s="479" customFormat="1" ht="12.75" hidden="1">
      <c r="A50" s="494" t="s">
        <v>428</v>
      </c>
      <c r="C50" s="489"/>
      <c r="D50" s="495"/>
      <c r="E50" s="496"/>
      <c r="N50" s="900"/>
      <c r="O50" s="900"/>
      <c r="P50" s="900"/>
      <c r="Q50" s="900"/>
    </row>
    <row r="51" spans="1:5" s="903" customFormat="1" ht="12.75" hidden="1">
      <c r="A51" s="903" t="s">
        <v>147</v>
      </c>
      <c r="B51" s="902">
        <f>B48-PASIVO!B65</f>
        <v>0</v>
      </c>
      <c r="C51" s="902">
        <f>C48-PASIVO!C65</f>
        <v>0</v>
      </c>
      <c r="D51" s="902">
        <f>D48-PASIVO!D65</f>
        <v>-0.0029999911785125732</v>
      </c>
      <c r="E51" s="902"/>
    </row>
    <row r="52" spans="2:5" s="903" customFormat="1" ht="12.75" hidden="1">
      <c r="B52" s="902"/>
      <c r="C52" s="902"/>
      <c r="D52" s="902"/>
      <c r="E52" s="902"/>
    </row>
    <row r="53" spans="4:5" s="903" customFormat="1" ht="12.75" hidden="1">
      <c r="D53" s="902"/>
      <c r="E53" s="902"/>
    </row>
    <row r="54" spans="1:5" s="903" customFormat="1" ht="12.75" hidden="1">
      <c r="A54" s="903" t="s">
        <v>422</v>
      </c>
      <c r="B54" s="902">
        <f>+B48-PASIVO!B65</f>
        <v>0</v>
      </c>
      <c r="C54" s="902">
        <f>+C48-PASIVO!C65</f>
        <v>0</v>
      </c>
      <c r="D54" s="902">
        <f>+D48-PASIVO!D65</f>
        <v>-0.0029999911785125732</v>
      </c>
      <c r="E54" s="902"/>
    </row>
    <row r="55" spans="4:5" s="903" customFormat="1" ht="12.75" hidden="1">
      <c r="D55" s="902"/>
      <c r="E55" s="902"/>
    </row>
    <row r="56" spans="1:5" s="903" customFormat="1" ht="12.75" hidden="1">
      <c r="A56" s="907" t="s">
        <v>421</v>
      </c>
      <c r="B56" s="902">
        <f>+B28-PASIVO!B48</f>
        <v>1873398.4200000018</v>
      </c>
      <c r="C56" s="902">
        <f>+C28-PASIVO!C48</f>
        <v>6010306.710000005</v>
      </c>
      <c r="D56" s="902">
        <f>+D28-PASIVO!D48</f>
        <v>5650552.780000001</v>
      </c>
      <c r="E56" s="902"/>
    </row>
    <row r="57" spans="1:5" s="903" customFormat="1" ht="12.75" hidden="1">
      <c r="A57" s="908" t="s">
        <v>933</v>
      </c>
      <c r="C57" s="902">
        <f>+C56-B56</f>
        <v>4136908.290000003</v>
      </c>
      <c r="D57" s="902">
        <f>+D56-C56</f>
        <v>-359753.9300000034</v>
      </c>
      <c r="E57" s="902"/>
    </row>
    <row r="58" spans="2:5" s="903" customFormat="1" ht="12.75" hidden="1">
      <c r="B58" s="904"/>
      <c r="C58" s="904"/>
      <c r="D58" s="905"/>
      <c r="E58" s="905"/>
    </row>
    <row r="59" spans="4:5" s="903" customFormat="1" ht="12.75" hidden="1">
      <c r="D59" s="906"/>
      <c r="E59" s="906"/>
    </row>
    <row r="60" spans="4:5" s="903" customFormat="1" ht="12.75" hidden="1">
      <c r="D60" s="902"/>
      <c r="E60" s="902"/>
    </row>
    <row r="61" spans="2:5" s="903" customFormat="1" ht="12.75" hidden="1">
      <c r="B61" s="902"/>
      <c r="C61" s="902"/>
      <c r="D61" s="902"/>
      <c r="E61" s="902"/>
    </row>
    <row r="62" spans="2:5" s="903" customFormat="1" ht="12.75" hidden="1">
      <c r="B62" s="902"/>
      <c r="C62" s="902"/>
      <c r="D62" s="902"/>
      <c r="E62" s="902">
        <f>+E48-E61</f>
        <v>0</v>
      </c>
    </row>
    <row r="63" spans="4:5" s="903" customFormat="1" ht="12.75" hidden="1">
      <c r="D63" s="902"/>
      <c r="E63" s="902"/>
    </row>
    <row r="64" spans="2:17" s="479" customFormat="1" ht="12.75">
      <c r="B64" s="498"/>
      <c r="C64" s="498"/>
      <c r="D64" s="497"/>
      <c r="E64" s="497"/>
      <c r="N64" s="900"/>
      <c r="O64" s="900"/>
      <c r="P64" s="900"/>
      <c r="Q64" s="900"/>
    </row>
    <row r="65" spans="2:17" s="479" customFormat="1" ht="12.75">
      <c r="B65" s="498"/>
      <c r="C65" s="498"/>
      <c r="D65" s="497"/>
      <c r="E65" s="497"/>
      <c r="N65" s="900"/>
      <c r="O65" s="900"/>
      <c r="P65" s="900"/>
      <c r="Q65" s="900"/>
    </row>
    <row r="66" spans="2:17" s="479" customFormat="1" ht="12.75">
      <c r="B66" s="500"/>
      <c r="C66" s="500"/>
      <c r="D66" s="501"/>
      <c r="E66" s="501"/>
      <c r="N66" s="900"/>
      <c r="O66" s="900"/>
      <c r="P66" s="900"/>
      <c r="Q66" s="900"/>
    </row>
    <row r="67" spans="2:17" s="479" customFormat="1" ht="12.75">
      <c r="B67" s="498"/>
      <c r="C67" s="498"/>
      <c r="D67" s="502"/>
      <c r="E67" s="502"/>
      <c r="N67" s="900"/>
      <c r="O67" s="900"/>
      <c r="P67" s="900"/>
      <c r="Q67" s="900"/>
    </row>
    <row r="68" spans="2:17" s="479" customFormat="1" ht="12.75">
      <c r="B68" s="498"/>
      <c r="C68" s="498"/>
      <c r="D68" s="502"/>
      <c r="E68" s="502"/>
      <c r="N68" s="900"/>
      <c r="O68" s="900"/>
      <c r="P68" s="900"/>
      <c r="Q68" s="900"/>
    </row>
    <row r="69" spans="2:17" s="479" customFormat="1" ht="12.75">
      <c r="B69" s="498"/>
      <c r="C69" s="498"/>
      <c r="D69" s="502"/>
      <c r="E69" s="502"/>
      <c r="N69" s="900"/>
      <c r="O69" s="900"/>
      <c r="P69" s="900"/>
      <c r="Q69" s="900"/>
    </row>
    <row r="70" spans="4:17" s="479" customFormat="1" ht="12.75">
      <c r="D70" s="495"/>
      <c r="E70" s="496"/>
      <c r="N70" s="900"/>
      <c r="O70" s="900"/>
      <c r="P70" s="900"/>
      <c r="Q70" s="900"/>
    </row>
    <row r="71" spans="4:17" s="479" customFormat="1" ht="12.75">
      <c r="D71" s="495"/>
      <c r="E71" s="496"/>
      <c r="N71" s="900"/>
      <c r="O71" s="900"/>
      <c r="P71" s="900"/>
      <c r="Q71" s="900"/>
    </row>
    <row r="72" spans="4:17" s="479" customFormat="1" ht="12.75">
      <c r="D72" s="495"/>
      <c r="E72" s="496"/>
      <c r="N72" s="900"/>
      <c r="O72" s="900"/>
      <c r="P72" s="900"/>
      <c r="Q72" s="900"/>
    </row>
    <row r="73" spans="4:17" s="479" customFormat="1" ht="12.75">
      <c r="D73" s="495"/>
      <c r="E73" s="496"/>
      <c r="N73" s="900"/>
      <c r="O73" s="900"/>
      <c r="P73" s="900"/>
      <c r="Q73" s="900"/>
    </row>
    <row r="74" spans="4:17" s="479" customFormat="1" ht="12.75">
      <c r="D74" s="495"/>
      <c r="E74" s="496"/>
      <c r="N74" s="900"/>
      <c r="O74" s="900"/>
      <c r="P74" s="900"/>
      <c r="Q74" s="900"/>
    </row>
    <row r="75" spans="4:17" s="479" customFormat="1" ht="12.75">
      <c r="D75" s="495"/>
      <c r="E75" s="496"/>
      <c r="N75" s="900"/>
      <c r="O75" s="900"/>
      <c r="P75" s="900"/>
      <c r="Q75" s="900"/>
    </row>
    <row r="76" spans="4:17" s="479" customFormat="1" ht="12.75">
      <c r="D76" s="495"/>
      <c r="E76" s="496"/>
      <c r="N76" s="900"/>
      <c r="O76" s="900"/>
      <c r="P76" s="900"/>
      <c r="Q76" s="900"/>
    </row>
    <row r="77" spans="4:17" s="479" customFormat="1" ht="12.75">
      <c r="D77" s="495"/>
      <c r="E77" s="496"/>
      <c r="N77" s="900"/>
      <c r="O77" s="900"/>
      <c r="P77" s="900"/>
      <c r="Q77" s="900"/>
    </row>
    <row r="78" spans="4:17" s="479" customFormat="1" ht="12.75">
      <c r="D78" s="495"/>
      <c r="E78" s="496"/>
      <c r="N78" s="900"/>
      <c r="O78" s="900"/>
      <c r="P78" s="900"/>
      <c r="Q78" s="900"/>
    </row>
    <row r="79" spans="4:17" s="479" customFormat="1" ht="12.75">
      <c r="D79" s="495"/>
      <c r="E79" s="496"/>
      <c r="N79" s="900"/>
      <c r="O79" s="900"/>
      <c r="P79" s="900"/>
      <c r="Q79" s="900"/>
    </row>
    <row r="80" spans="4:17" s="479" customFormat="1" ht="12.75">
      <c r="D80" s="495"/>
      <c r="E80" s="496"/>
      <c r="N80" s="900"/>
      <c r="O80" s="900"/>
      <c r="P80" s="900"/>
      <c r="Q80" s="900"/>
    </row>
    <row r="81" spans="4:17" s="479" customFormat="1" ht="12.75">
      <c r="D81" s="495"/>
      <c r="E81" s="496"/>
      <c r="N81" s="900"/>
      <c r="O81" s="900"/>
      <c r="P81" s="900"/>
      <c r="Q81" s="900"/>
    </row>
    <row r="82" spans="4:17" s="479" customFormat="1" ht="12.75">
      <c r="D82" s="495"/>
      <c r="E82" s="496"/>
      <c r="N82" s="900"/>
      <c r="O82" s="900"/>
      <c r="P82" s="900"/>
      <c r="Q82" s="900"/>
    </row>
    <row r="83" spans="4:17" s="479" customFormat="1" ht="12.75">
      <c r="D83" s="495"/>
      <c r="E83" s="496"/>
      <c r="N83" s="900"/>
      <c r="O83" s="900"/>
      <c r="P83" s="900"/>
      <c r="Q83" s="900"/>
    </row>
    <row r="84" spans="4:17" s="479" customFormat="1" ht="12.75">
      <c r="D84" s="495"/>
      <c r="E84" s="496"/>
      <c r="N84" s="900"/>
      <c r="O84" s="900"/>
      <c r="P84" s="900"/>
      <c r="Q84" s="900"/>
    </row>
    <row r="85" spans="4:17" s="479" customFormat="1" ht="12.75">
      <c r="D85" s="495"/>
      <c r="E85" s="496"/>
      <c r="N85" s="900"/>
      <c r="O85" s="900"/>
      <c r="P85" s="900"/>
      <c r="Q85" s="900"/>
    </row>
    <row r="86" spans="4:17" s="479" customFormat="1" ht="12.75">
      <c r="D86" s="495"/>
      <c r="E86" s="496"/>
      <c r="N86" s="900"/>
      <c r="O86" s="900"/>
      <c r="P86" s="900"/>
      <c r="Q86" s="900"/>
    </row>
    <row r="87" spans="4:17" s="479" customFormat="1" ht="12.75">
      <c r="D87" s="495"/>
      <c r="E87" s="496"/>
      <c r="N87" s="900"/>
      <c r="O87" s="900"/>
      <c r="P87" s="900"/>
      <c r="Q87" s="900"/>
    </row>
    <row r="88" spans="4:17" s="479" customFormat="1" ht="12.75">
      <c r="D88" s="495"/>
      <c r="E88" s="496"/>
      <c r="N88" s="900"/>
      <c r="O88" s="900"/>
      <c r="P88" s="900"/>
      <c r="Q88" s="900"/>
    </row>
    <row r="89" spans="4:17" s="479" customFormat="1" ht="12.75">
      <c r="D89" s="495"/>
      <c r="E89" s="496"/>
      <c r="N89" s="900"/>
      <c r="O89" s="900"/>
      <c r="P89" s="900"/>
      <c r="Q89" s="900"/>
    </row>
    <row r="90" spans="4:17" s="479" customFormat="1" ht="12.75">
      <c r="D90" s="495"/>
      <c r="E90" s="496"/>
      <c r="N90" s="900"/>
      <c r="O90" s="900"/>
      <c r="P90" s="900"/>
      <c r="Q90" s="900"/>
    </row>
    <row r="91" spans="4:17" s="479" customFormat="1" ht="12.75">
      <c r="D91" s="495"/>
      <c r="E91" s="496"/>
      <c r="N91" s="900"/>
      <c r="O91" s="900"/>
      <c r="P91" s="900"/>
      <c r="Q91" s="900"/>
    </row>
    <row r="92" spans="4:17" s="479" customFormat="1" ht="12.75">
      <c r="D92" s="495"/>
      <c r="E92" s="496"/>
      <c r="N92" s="900"/>
      <c r="O92" s="900"/>
      <c r="P92" s="900"/>
      <c r="Q92" s="900"/>
    </row>
    <row r="93" spans="4:17" s="479" customFormat="1" ht="12.75">
      <c r="D93" s="495"/>
      <c r="E93" s="496"/>
      <c r="N93" s="900"/>
      <c r="O93" s="900"/>
      <c r="P93" s="900"/>
      <c r="Q93" s="900"/>
    </row>
    <row r="94" spans="4:17" s="479" customFormat="1" ht="12.75">
      <c r="D94" s="495"/>
      <c r="E94" s="496"/>
      <c r="N94" s="900"/>
      <c r="O94" s="900"/>
      <c r="P94" s="900"/>
      <c r="Q94" s="900"/>
    </row>
    <row r="95" spans="4:17" s="479" customFormat="1" ht="12.75">
      <c r="D95" s="495"/>
      <c r="E95" s="496"/>
      <c r="N95" s="900"/>
      <c r="O95" s="900"/>
      <c r="P95" s="900"/>
      <c r="Q95" s="900"/>
    </row>
    <row r="96" spans="4:17" s="479" customFormat="1" ht="12.75">
      <c r="D96" s="495"/>
      <c r="E96" s="496"/>
      <c r="N96" s="900"/>
      <c r="O96" s="900"/>
      <c r="P96" s="900"/>
      <c r="Q96" s="900"/>
    </row>
    <row r="97" spans="4:17" s="479" customFormat="1" ht="12.75">
      <c r="D97" s="495"/>
      <c r="E97" s="496"/>
      <c r="N97" s="900"/>
      <c r="O97" s="900"/>
      <c r="P97" s="900"/>
      <c r="Q97" s="900"/>
    </row>
    <row r="98" spans="4:17" s="479" customFormat="1" ht="12.75">
      <c r="D98" s="495"/>
      <c r="E98" s="496"/>
      <c r="N98" s="900"/>
      <c r="O98" s="900"/>
      <c r="P98" s="900"/>
      <c r="Q98" s="900"/>
    </row>
    <row r="99" spans="4:17" s="479" customFormat="1" ht="12.75">
      <c r="D99" s="495"/>
      <c r="E99" s="496"/>
      <c r="N99" s="900"/>
      <c r="O99" s="900"/>
      <c r="P99" s="900"/>
      <c r="Q99" s="900"/>
    </row>
    <row r="100" spans="4:17" s="479" customFormat="1" ht="12.75">
      <c r="D100" s="495"/>
      <c r="E100" s="496"/>
      <c r="N100" s="900"/>
      <c r="O100" s="900"/>
      <c r="P100" s="900"/>
      <c r="Q100" s="900"/>
    </row>
    <row r="101" spans="4:17" s="479" customFormat="1" ht="12.75">
      <c r="D101" s="495"/>
      <c r="E101" s="496"/>
      <c r="N101" s="900"/>
      <c r="O101" s="900"/>
      <c r="P101" s="900"/>
      <c r="Q101" s="900"/>
    </row>
    <row r="102" spans="4:17" s="479" customFormat="1" ht="12.75">
      <c r="D102" s="495"/>
      <c r="E102" s="496"/>
      <c r="N102" s="900"/>
      <c r="O102" s="900"/>
      <c r="P102" s="900"/>
      <c r="Q102" s="900"/>
    </row>
    <row r="103" spans="4:17" s="479" customFormat="1" ht="12.75">
      <c r="D103" s="495"/>
      <c r="E103" s="496"/>
      <c r="N103" s="900"/>
      <c r="O103" s="900"/>
      <c r="P103" s="900"/>
      <c r="Q103" s="900"/>
    </row>
    <row r="104" spans="4:17" s="479" customFormat="1" ht="12.75">
      <c r="D104" s="495"/>
      <c r="E104" s="496"/>
      <c r="N104" s="900"/>
      <c r="O104" s="900"/>
      <c r="P104" s="900"/>
      <c r="Q104" s="900"/>
    </row>
    <row r="105" spans="4:17" s="479" customFormat="1" ht="12.75">
      <c r="D105" s="495"/>
      <c r="E105" s="496"/>
      <c r="N105" s="900"/>
      <c r="O105" s="900"/>
      <c r="P105" s="900"/>
      <c r="Q105" s="900"/>
    </row>
    <row r="106" spans="4:17" s="479" customFormat="1" ht="12.75">
      <c r="D106" s="495"/>
      <c r="E106" s="496"/>
      <c r="N106" s="900"/>
      <c r="O106" s="900"/>
      <c r="P106" s="900"/>
      <c r="Q106" s="900"/>
    </row>
    <row r="107" spans="4:17" s="479" customFormat="1" ht="12.75">
      <c r="D107" s="495"/>
      <c r="E107" s="496"/>
      <c r="N107" s="900"/>
      <c r="O107" s="900"/>
      <c r="P107" s="900"/>
      <c r="Q107" s="900"/>
    </row>
    <row r="108" spans="4:17" s="479" customFormat="1" ht="12.75">
      <c r="D108" s="495"/>
      <c r="E108" s="496"/>
      <c r="N108" s="900"/>
      <c r="O108" s="900"/>
      <c r="P108" s="900"/>
      <c r="Q108" s="900"/>
    </row>
    <row r="109" spans="4:17" s="479" customFormat="1" ht="12.75">
      <c r="D109" s="495"/>
      <c r="E109" s="496"/>
      <c r="N109" s="900"/>
      <c r="O109" s="900"/>
      <c r="P109" s="900"/>
      <c r="Q109" s="900"/>
    </row>
    <row r="110" spans="4:17" s="479" customFormat="1" ht="12.75">
      <c r="D110" s="495"/>
      <c r="E110" s="496"/>
      <c r="N110" s="900"/>
      <c r="O110" s="900"/>
      <c r="P110" s="900"/>
      <c r="Q110" s="900"/>
    </row>
    <row r="111" spans="4:17" s="479" customFormat="1" ht="12.75">
      <c r="D111" s="495"/>
      <c r="E111" s="496"/>
      <c r="N111" s="900"/>
      <c r="O111" s="900"/>
      <c r="P111" s="900"/>
      <c r="Q111" s="900"/>
    </row>
    <row r="112" spans="4:17" s="479" customFormat="1" ht="12.75">
      <c r="D112" s="495"/>
      <c r="E112" s="496"/>
      <c r="N112" s="900"/>
      <c r="O112" s="900"/>
      <c r="P112" s="900"/>
      <c r="Q112" s="900"/>
    </row>
    <row r="113" spans="4:17" s="479" customFormat="1" ht="12.75">
      <c r="D113" s="495"/>
      <c r="E113" s="496"/>
      <c r="N113" s="900"/>
      <c r="O113" s="900"/>
      <c r="P113" s="900"/>
      <c r="Q113" s="900"/>
    </row>
    <row r="114" spans="4:17" s="479" customFormat="1" ht="12.75">
      <c r="D114" s="495"/>
      <c r="E114" s="496"/>
      <c r="N114" s="900"/>
      <c r="O114" s="900"/>
      <c r="P114" s="900"/>
      <c r="Q114" s="900"/>
    </row>
    <row r="115" spans="4:17" s="479" customFormat="1" ht="12.75">
      <c r="D115" s="495"/>
      <c r="E115" s="496"/>
      <c r="N115" s="900"/>
      <c r="O115" s="900"/>
      <c r="P115" s="900"/>
      <c r="Q115" s="900"/>
    </row>
    <row r="116" spans="4:17" s="479" customFormat="1" ht="12.75">
      <c r="D116" s="495"/>
      <c r="E116" s="496"/>
      <c r="N116" s="900"/>
      <c r="O116" s="900"/>
      <c r="P116" s="900"/>
      <c r="Q116" s="900"/>
    </row>
    <row r="117" spans="4:17" s="479" customFormat="1" ht="12.75">
      <c r="D117" s="495"/>
      <c r="E117" s="496"/>
      <c r="N117" s="900"/>
      <c r="O117" s="900"/>
      <c r="P117" s="900"/>
      <c r="Q117" s="900"/>
    </row>
    <row r="118" spans="4:17" s="479" customFormat="1" ht="12.75">
      <c r="D118" s="495"/>
      <c r="E118" s="496"/>
      <c r="N118" s="900"/>
      <c r="O118" s="900"/>
      <c r="P118" s="900"/>
      <c r="Q118" s="900"/>
    </row>
    <row r="119" spans="4:17" s="479" customFormat="1" ht="12.75">
      <c r="D119" s="495"/>
      <c r="E119" s="496"/>
      <c r="N119" s="900"/>
      <c r="O119" s="900"/>
      <c r="P119" s="900"/>
      <c r="Q119" s="900"/>
    </row>
    <row r="120" spans="4:17" s="479" customFormat="1" ht="12.75">
      <c r="D120" s="495"/>
      <c r="E120" s="496"/>
      <c r="N120" s="900"/>
      <c r="O120" s="900"/>
      <c r="P120" s="900"/>
      <c r="Q120" s="900"/>
    </row>
    <row r="121" spans="4:17" s="479" customFormat="1" ht="12.75">
      <c r="D121" s="495"/>
      <c r="E121" s="496"/>
      <c r="N121" s="900"/>
      <c r="O121" s="900"/>
      <c r="P121" s="900"/>
      <c r="Q121" s="900"/>
    </row>
    <row r="122" spans="4:17" s="479" customFormat="1" ht="12.75">
      <c r="D122" s="495"/>
      <c r="E122" s="496"/>
      <c r="N122" s="900"/>
      <c r="O122" s="900"/>
      <c r="P122" s="900"/>
      <c r="Q122" s="900"/>
    </row>
    <row r="123" spans="4:17" s="479" customFormat="1" ht="12.75">
      <c r="D123" s="495"/>
      <c r="E123" s="496"/>
      <c r="N123" s="900"/>
      <c r="O123" s="900"/>
      <c r="P123" s="900"/>
      <c r="Q123" s="900"/>
    </row>
    <row r="124" spans="4:17" s="479" customFormat="1" ht="12.75">
      <c r="D124" s="495"/>
      <c r="E124" s="496"/>
      <c r="N124" s="900"/>
      <c r="O124" s="900"/>
      <c r="P124" s="900"/>
      <c r="Q124" s="900"/>
    </row>
    <row r="125" spans="4:17" s="479" customFormat="1" ht="12.75">
      <c r="D125" s="495"/>
      <c r="E125" s="496"/>
      <c r="N125" s="900"/>
      <c r="O125" s="900"/>
      <c r="P125" s="900"/>
      <c r="Q125" s="900"/>
    </row>
    <row r="126" spans="4:17" s="479" customFormat="1" ht="12.75">
      <c r="D126" s="495"/>
      <c r="E126" s="496"/>
      <c r="N126" s="900"/>
      <c r="O126" s="900"/>
      <c r="P126" s="900"/>
      <c r="Q126" s="900"/>
    </row>
    <row r="127" spans="4:17" s="479" customFormat="1" ht="12.75">
      <c r="D127" s="495"/>
      <c r="E127" s="496"/>
      <c r="N127" s="900"/>
      <c r="O127" s="900"/>
      <c r="P127" s="900"/>
      <c r="Q127" s="900"/>
    </row>
    <row r="128" spans="4:17" s="479" customFormat="1" ht="12.75">
      <c r="D128" s="495"/>
      <c r="E128" s="496"/>
      <c r="N128" s="900"/>
      <c r="O128" s="900"/>
      <c r="P128" s="900"/>
      <c r="Q128" s="900"/>
    </row>
    <row r="129" spans="4:17" s="479" customFormat="1" ht="12.75">
      <c r="D129" s="495"/>
      <c r="E129" s="496"/>
      <c r="N129" s="900"/>
      <c r="O129" s="900"/>
      <c r="P129" s="900"/>
      <c r="Q129" s="900"/>
    </row>
    <row r="130" spans="4:17" s="479" customFormat="1" ht="12.75">
      <c r="D130" s="495"/>
      <c r="E130" s="496"/>
      <c r="N130" s="900"/>
      <c r="O130" s="900"/>
      <c r="P130" s="900"/>
      <c r="Q130" s="900"/>
    </row>
    <row r="131" spans="4:17" s="479" customFormat="1" ht="12.75">
      <c r="D131" s="495"/>
      <c r="E131" s="496"/>
      <c r="N131" s="900"/>
      <c r="O131" s="900"/>
      <c r="P131" s="900"/>
      <c r="Q131" s="900"/>
    </row>
    <row r="132" spans="4:17" s="479" customFormat="1" ht="12.75">
      <c r="D132" s="495"/>
      <c r="E132" s="496"/>
      <c r="N132" s="900"/>
      <c r="O132" s="900"/>
      <c r="P132" s="900"/>
      <c r="Q132" s="900"/>
    </row>
    <row r="133" spans="4:17" s="479" customFormat="1" ht="12.75">
      <c r="D133" s="495"/>
      <c r="E133" s="496"/>
      <c r="N133" s="900"/>
      <c r="O133" s="900"/>
      <c r="P133" s="900"/>
      <c r="Q133" s="900"/>
    </row>
    <row r="134" spans="4:17" s="479" customFormat="1" ht="12.75">
      <c r="D134" s="495"/>
      <c r="E134" s="496"/>
      <c r="N134" s="900"/>
      <c r="O134" s="900"/>
      <c r="P134" s="900"/>
      <c r="Q134" s="900"/>
    </row>
    <row r="135" spans="4:17" s="479" customFormat="1" ht="12.75">
      <c r="D135" s="495"/>
      <c r="E135" s="496"/>
      <c r="N135" s="900"/>
      <c r="O135" s="900"/>
      <c r="P135" s="900"/>
      <c r="Q135" s="900"/>
    </row>
    <row r="136" spans="4:17" s="479" customFormat="1" ht="12.75">
      <c r="D136" s="495"/>
      <c r="E136" s="496"/>
      <c r="N136" s="900"/>
      <c r="O136" s="900"/>
      <c r="P136" s="900"/>
      <c r="Q136" s="900"/>
    </row>
    <row r="137" spans="4:17" s="479" customFormat="1" ht="12.75">
      <c r="D137" s="495"/>
      <c r="E137" s="496"/>
      <c r="N137" s="900"/>
      <c r="O137" s="900"/>
      <c r="P137" s="900"/>
      <c r="Q137" s="900"/>
    </row>
    <row r="138" spans="4:17" s="479" customFormat="1" ht="12.75">
      <c r="D138" s="495"/>
      <c r="E138" s="496"/>
      <c r="N138" s="900"/>
      <c r="O138" s="900"/>
      <c r="P138" s="900"/>
      <c r="Q138" s="900"/>
    </row>
    <row r="139" spans="4:17" s="479" customFormat="1" ht="12.75">
      <c r="D139" s="495"/>
      <c r="E139" s="496"/>
      <c r="N139" s="900"/>
      <c r="O139" s="900"/>
      <c r="P139" s="900"/>
      <c r="Q139" s="900"/>
    </row>
    <row r="140" spans="4:17" s="479" customFormat="1" ht="12.75">
      <c r="D140" s="495"/>
      <c r="E140" s="496"/>
      <c r="N140" s="900"/>
      <c r="O140" s="900"/>
      <c r="P140" s="900"/>
      <c r="Q140" s="900"/>
    </row>
    <row r="141" spans="4:17" s="479" customFormat="1" ht="12.75">
      <c r="D141" s="495"/>
      <c r="E141" s="496"/>
      <c r="N141" s="900"/>
      <c r="O141" s="900"/>
      <c r="P141" s="900"/>
      <c r="Q141" s="900"/>
    </row>
    <row r="142" spans="4:17" s="479" customFormat="1" ht="12.75">
      <c r="D142" s="495"/>
      <c r="E142" s="496"/>
      <c r="N142" s="900"/>
      <c r="O142" s="900"/>
      <c r="P142" s="900"/>
      <c r="Q142" s="900"/>
    </row>
    <row r="143" spans="4:17" s="479" customFormat="1" ht="12.75">
      <c r="D143" s="495"/>
      <c r="E143" s="496"/>
      <c r="N143" s="900"/>
      <c r="O143" s="900"/>
      <c r="P143" s="900"/>
      <c r="Q143" s="900"/>
    </row>
    <row r="144" spans="4:17" s="479" customFormat="1" ht="12.75">
      <c r="D144" s="495"/>
      <c r="E144" s="496"/>
      <c r="N144" s="900"/>
      <c r="O144" s="900"/>
      <c r="P144" s="900"/>
      <c r="Q144" s="900"/>
    </row>
    <row r="145" spans="4:17" s="479" customFormat="1" ht="12.75">
      <c r="D145" s="495"/>
      <c r="E145" s="496"/>
      <c r="N145" s="900"/>
      <c r="O145" s="900"/>
      <c r="P145" s="900"/>
      <c r="Q145" s="900"/>
    </row>
    <row r="146" spans="4:17" s="479" customFormat="1" ht="12.75">
      <c r="D146" s="495"/>
      <c r="E146" s="496"/>
      <c r="N146" s="900"/>
      <c r="O146" s="900"/>
      <c r="P146" s="900"/>
      <c r="Q146" s="900"/>
    </row>
    <row r="147" spans="4:17" s="479" customFormat="1" ht="12.75">
      <c r="D147" s="495"/>
      <c r="E147" s="496"/>
      <c r="N147" s="900"/>
      <c r="O147" s="900"/>
      <c r="P147" s="900"/>
      <c r="Q147" s="900"/>
    </row>
    <row r="148" spans="4:17" s="479" customFormat="1" ht="12.75">
      <c r="D148" s="495"/>
      <c r="E148" s="496"/>
      <c r="N148" s="900"/>
      <c r="O148" s="900"/>
      <c r="P148" s="900"/>
      <c r="Q148" s="900"/>
    </row>
    <row r="149" spans="4:17" s="479" customFormat="1" ht="12.75">
      <c r="D149" s="495"/>
      <c r="E149" s="496"/>
      <c r="N149" s="900"/>
      <c r="O149" s="900"/>
      <c r="P149" s="900"/>
      <c r="Q149" s="900"/>
    </row>
    <row r="150" spans="4:17" s="479" customFormat="1" ht="12.75">
      <c r="D150" s="495"/>
      <c r="E150" s="496"/>
      <c r="N150" s="900"/>
      <c r="O150" s="900"/>
      <c r="P150" s="900"/>
      <c r="Q150" s="900"/>
    </row>
    <row r="151" spans="4:17" s="479" customFormat="1" ht="12.75">
      <c r="D151" s="495"/>
      <c r="E151" s="496"/>
      <c r="N151" s="900"/>
      <c r="O151" s="900"/>
      <c r="P151" s="900"/>
      <c r="Q151" s="900"/>
    </row>
    <row r="152" spans="4:17" s="479" customFormat="1" ht="12.75">
      <c r="D152" s="495"/>
      <c r="E152" s="496"/>
      <c r="N152" s="900"/>
      <c r="O152" s="900"/>
      <c r="P152" s="900"/>
      <c r="Q152" s="900"/>
    </row>
    <row r="153" spans="4:17" s="479" customFormat="1" ht="12.75">
      <c r="D153" s="495"/>
      <c r="E153" s="496"/>
      <c r="N153" s="900"/>
      <c r="O153" s="900"/>
      <c r="P153" s="900"/>
      <c r="Q153" s="900"/>
    </row>
    <row r="154" spans="4:17" s="479" customFormat="1" ht="12.75">
      <c r="D154" s="495"/>
      <c r="E154" s="496"/>
      <c r="N154" s="900"/>
      <c r="O154" s="900"/>
      <c r="P154" s="900"/>
      <c r="Q154" s="900"/>
    </row>
    <row r="155" spans="4:17" s="479" customFormat="1" ht="12.75">
      <c r="D155" s="495"/>
      <c r="E155" s="496"/>
      <c r="N155" s="900"/>
      <c r="O155" s="900"/>
      <c r="P155" s="900"/>
      <c r="Q155" s="900"/>
    </row>
    <row r="156" spans="4:17" s="479" customFormat="1" ht="12.75">
      <c r="D156" s="495"/>
      <c r="E156" s="496"/>
      <c r="N156" s="900"/>
      <c r="O156" s="900"/>
      <c r="P156" s="900"/>
      <c r="Q156" s="900"/>
    </row>
    <row r="157" spans="4:17" s="479" customFormat="1" ht="12.75">
      <c r="D157" s="495"/>
      <c r="E157" s="496"/>
      <c r="N157" s="900"/>
      <c r="O157" s="900"/>
      <c r="P157" s="900"/>
      <c r="Q157" s="900"/>
    </row>
    <row r="158" spans="4:17" s="479" customFormat="1" ht="12.75">
      <c r="D158" s="495"/>
      <c r="E158" s="496"/>
      <c r="N158" s="900"/>
      <c r="O158" s="900"/>
      <c r="P158" s="900"/>
      <c r="Q158" s="900"/>
    </row>
    <row r="159" spans="4:17" s="479" customFormat="1" ht="12.75">
      <c r="D159" s="495"/>
      <c r="E159" s="496"/>
      <c r="N159" s="900"/>
      <c r="O159" s="900"/>
      <c r="P159" s="900"/>
      <c r="Q159" s="900"/>
    </row>
    <row r="160" spans="4:17" s="479" customFormat="1" ht="12.75">
      <c r="D160" s="495"/>
      <c r="E160" s="496"/>
      <c r="N160" s="900"/>
      <c r="O160" s="900"/>
      <c r="P160" s="900"/>
      <c r="Q160" s="900"/>
    </row>
    <row r="161" spans="4:17" s="479" customFormat="1" ht="12.75">
      <c r="D161" s="495"/>
      <c r="E161" s="496"/>
      <c r="N161" s="900"/>
      <c r="O161" s="900"/>
      <c r="P161" s="900"/>
      <c r="Q161" s="900"/>
    </row>
    <row r="162" spans="4:17" s="479" customFormat="1" ht="12.75">
      <c r="D162" s="495"/>
      <c r="E162" s="496"/>
      <c r="N162" s="900"/>
      <c r="O162" s="900"/>
      <c r="P162" s="900"/>
      <c r="Q162" s="900"/>
    </row>
    <row r="163" spans="4:17" s="479" customFormat="1" ht="12.75">
      <c r="D163" s="495"/>
      <c r="E163" s="496"/>
      <c r="N163" s="900"/>
      <c r="O163" s="900"/>
      <c r="P163" s="900"/>
      <c r="Q163" s="900"/>
    </row>
    <row r="164" spans="4:17" s="479" customFormat="1" ht="12.75">
      <c r="D164" s="495"/>
      <c r="E164" s="496"/>
      <c r="N164" s="900"/>
      <c r="O164" s="900"/>
      <c r="P164" s="900"/>
      <c r="Q164" s="900"/>
    </row>
    <row r="165" spans="4:17" s="479" customFormat="1" ht="12.75">
      <c r="D165" s="495"/>
      <c r="E165" s="496"/>
      <c r="N165" s="900"/>
      <c r="O165" s="900"/>
      <c r="P165" s="900"/>
      <c r="Q165" s="900"/>
    </row>
    <row r="166" spans="4:17" s="479" customFormat="1" ht="12.75">
      <c r="D166" s="495"/>
      <c r="E166" s="496"/>
      <c r="N166" s="900"/>
      <c r="O166" s="900"/>
      <c r="P166" s="900"/>
      <c r="Q166" s="900"/>
    </row>
    <row r="167" spans="4:17" s="479" customFormat="1" ht="12.75">
      <c r="D167" s="495"/>
      <c r="E167" s="496"/>
      <c r="N167" s="900"/>
      <c r="O167" s="900"/>
      <c r="P167" s="900"/>
      <c r="Q167" s="900"/>
    </row>
    <row r="168" spans="4:17" s="479" customFormat="1" ht="12.75">
      <c r="D168" s="495"/>
      <c r="E168" s="496"/>
      <c r="N168" s="900"/>
      <c r="O168" s="900"/>
      <c r="P168" s="900"/>
      <c r="Q168" s="900"/>
    </row>
    <row r="169" spans="4:17" s="479" customFormat="1" ht="12.75">
      <c r="D169" s="495"/>
      <c r="E169" s="496"/>
      <c r="N169" s="900"/>
      <c r="O169" s="900"/>
      <c r="P169" s="900"/>
      <c r="Q169" s="900"/>
    </row>
    <row r="170" spans="4:17" s="479" customFormat="1" ht="12.75">
      <c r="D170" s="495"/>
      <c r="E170" s="496"/>
      <c r="N170" s="900"/>
      <c r="O170" s="900"/>
      <c r="P170" s="900"/>
      <c r="Q170" s="900"/>
    </row>
    <row r="171" spans="4:17" s="479" customFormat="1" ht="12.75">
      <c r="D171" s="495"/>
      <c r="E171" s="496"/>
      <c r="N171" s="900"/>
      <c r="O171" s="900"/>
      <c r="P171" s="900"/>
      <c r="Q171" s="900"/>
    </row>
    <row r="172" spans="4:17" s="479" customFormat="1" ht="12.75">
      <c r="D172" s="495"/>
      <c r="E172" s="496"/>
      <c r="N172" s="900"/>
      <c r="O172" s="900"/>
      <c r="P172" s="900"/>
      <c r="Q172" s="900"/>
    </row>
    <row r="173" spans="4:17" s="479" customFormat="1" ht="12.75">
      <c r="D173" s="495"/>
      <c r="E173" s="496"/>
      <c r="N173" s="900"/>
      <c r="O173" s="900"/>
      <c r="P173" s="900"/>
      <c r="Q173" s="900"/>
    </row>
    <row r="174" spans="4:17" s="479" customFormat="1" ht="12.75">
      <c r="D174" s="495"/>
      <c r="E174" s="496"/>
      <c r="N174" s="900"/>
      <c r="O174" s="900"/>
      <c r="P174" s="900"/>
      <c r="Q174" s="900"/>
    </row>
    <row r="175" spans="4:17" s="479" customFormat="1" ht="12.75">
      <c r="D175" s="495"/>
      <c r="E175" s="496"/>
      <c r="N175" s="900"/>
      <c r="O175" s="900"/>
      <c r="P175" s="900"/>
      <c r="Q175" s="900"/>
    </row>
    <row r="176" spans="4:17" s="479" customFormat="1" ht="12.75">
      <c r="D176" s="495"/>
      <c r="E176" s="496"/>
      <c r="N176" s="900"/>
      <c r="O176" s="900"/>
      <c r="P176" s="900"/>
      <c r="Q176" s="900"/>
    </row>
    <row r="177" spans="4:17" s="479" customFormat="1" ht="12.75">
      <c r="D177" s="495"/>
      <c r="E177" s="496"/>
      <c r="N177" s="900"/>
      <c r="O177" s="900"/>
      <c r="P177" s="900"/>
      <c r="Q177" s="900"/>
    </row>
    <row r="178" spans="4:17" s="479" customFormat="1" ht="12.75">
      <c r="D178" s="495"/>
      <c r="E178" s="496"/>
      <c r="N178" s="900"/>
      <c r="O178" s="900"/>
      <c r="P178" s="900"/>
      <c r="Q178" s="900"/>
    </row>
    <row r="179" spans="4:17" s="479" customFormat="1" ht="12.75">
      <c r="D179" s="495"/>
      <c r="E179" s="496"/>
      <c r="N179" s="900"/>
      <c r="O179" s="900"/>
      <c r="P179" s="900"/>
      <c r="Q179" s="900"/>
    </row>
    <row r="180" spans="4:17" s="479" customFormat="1" ht="12.75">
      <c r="D180" s="495"/>
      <c r="E180" s="496"/>
      <c r="N180" s="900"/>
      <c r="O180" s="900"/>
      <c r="P180" s="900"/>
      <c r="Q180" s="900"/>
    </row>
    <row r="181" spans="4:17" s="479" customFormat="1" ht="12.75">
      <c r="D181" s="495"/>
      <c r="E181" s="496"/>
      <c r="N181" s="900"/>
      <c r="O181" s="900"/>
      <c r="P181" s="900"/>
      <c r="Q181" s="900"/>
    </row>
    <row r="182" spans="4:17" s="479" customFormat="1" ht="12.75">
      <c r="D182" s="495"/>
      <c r="E182" s="496"/>
      <c r="N182" s="900"/>
      <c r="O182" s="900"/>
      <c r="P182" s="900"/>
      <c r="Q182" s="900"/>
    </row>
    <row r="183" spans="4:17" s="479" customFormat="1" ht="12.75">
      <c r="D183" s="495"/>
      <c r="E183" s="496"/>
      <c r="N183" s="900"/>
      <c r="O183" s="900"/>
      <c r="P183" s="900"/>
      <c r="Q183" s="900"/>
    </row>
    <row r="184" spans="4:17" s="479" customFormat="1" ht="12.75">
      <c r="D184" s="495"/>
      <c r="E184" s="496"/>
      <c r="N184" s="900"/>
      <c r="O184" s="900"/>
      <c r="P184" s="900"/>
      <c r="Q184" s="900"/>
    </row>
    <row r="185" spans="4:17" s="479" customFormat="1" ht="12.75">
      <c r="D185" s="495"/>
      <c r="E185" s="496"/>
      <c r="N185" s="900"/>
      <c r="O185" s="900"/>
      <c r="P185" s="900"/>
      <c r="Q185" s="900"/>
    </row>
    <row r="186" spans="4:17" s="479" customFormat="1" ht="12.75">
      <c r="D186" s="495"/>
      <c r="E186" s="496"/>
      <c r="N186" s="900"/>
      <c r="O186" s="900"/>
      <c r="P186" s="900"/>
      <c r="Q186" s="900"/>
    </row>
    <row r="187" spans="4:17" s="479" customFormat="1" ht="12.75">
      <c r="D187" s="495"/>
      <c r="E187" s="496"/>
      <c r="N187" s="900"/>
      <c r="O187" s="900"/>
      <c r="P187" s="900"/>
      <c r="Q187" s="900"/>
    </row>
    <row r="188" spans="4:17" s="479" customFormat="1" ht="12.75">
      <c r="D188" s="495"/>
      <c r="E188" s="496"/>
      <c r="N188" s="900"/>
      <c r="O188" s="900"/>
      <c r="P188" s="900"/>
      <c r="Q188" s="900"/>
    </row>
    <row r="189" spans="4:17" s="479" customFormat="1" ht="12.75">
      <c r="D189" s="495"/>
      <c r="E189" s="496"/>
      <c r="N189" s="900"/>
      <c r="O189" s="900"/>
      <c r="P189" s="900"/>
      <c r="Q189" s="900"/>
    </row>
    <row r="190" spans="4:17" s="479" customFormat="1" ht="12.75">
      <c r="D190" s="495"/>
      <c r="E190" s="496"/>
      <c r="N190" s="900"/>
      <c r="O190" s="900"/>
      <c r="P190" s="900"/>
      <c r="Q190" s="900"/>
    </row>
    <row r="191" spans="4:17" s="479" customFormat="1" ht="12.75">
      <c r="D191" s="495"/>
      <c r="E191" s="496"/>
      <c r="N191" s="900"/>
      <c r="O191" s="900"/>
      <c r="P191" s="900"/>
      <c r="Q191" s="900"/>
    </row>
    <row r="192" spans="4:17" s="479" customFormat="1" ht="12.75">
      <c r="D192" s="495"/>
      <c r="E192" s="496"/>
      <c r="N192" s="900"/>
      <c r="O192" s="900"/>
      <c r="P192" s="900"/>
      <c r="Q192" s="900"/>
    </row>
    <row r="193" spans="4:17" s="479" customFormat="1" ht="12.75">
      <c r="D193" s="495"/>
      <c r="E193" s="496"/>
      <c r="N193" s="900"/>
      <c r="O193" s="900"/>
      <c r="P193" s="900"/>
      <c r="Q193" s="900"/>
    </row>
    <row r="194" spans="4:17" s="479" customFormat="1" ht="12.75">
      <c r="D194" s="495"/>
      <c r="E194" s="496"/>
      <c r="N194" s="900"/>
      <c r="O194" s="900"/>
      <c r="P194" s="900"/>
      <c r="Q194" s="900"/>
    </row>
    <row r="195" spans="4:17" s="479" customFormat="1" ht="12.75">
      <c r="D195" s="495"/>
      <c r="E195" s="496"/>
      <c r="N195" s="900"/>
      <c r="O195" s="900"/>
      <c r="P195" s="900"/>
      <c r="Q195" s="900"/>
    </row>
    <row r="196" spans="4:17" s="479" customFormat="1" ht="12.75">
      <c r="D196" s="495"/>
      <c r="E196" s="496"/>
      <c r="N196" s="900"/>
      <c r="O196" s="900"/>
      <c r="P196" s="900"/>
      <c r="Q196" s="900"/>
    </row>
    <row r="197" spans="4:17" s="479" customFormat="1" ht="12.75">
      <c r="D197" s="495"/>
      <c r="E197" s="496"/>
      <c r="N197" s="900"/>
      <c r="O197" s="900"/>
      <c r="P197" s="900"/>
      <c r="Q197" s="900"/>
    </row>
    <row r="198" spans="4:17" s="479" customFormat="1" ht="12.75">
      <c r="D198" s="495"/>
      <c r="E198" s="496"/>
      <c r="N198" s="900"/>
      <c r="O198" s="900"/>
      <c r="P198" s="900"/>
      <c r="Q198" s="900"/>
    </row>
    <row r="199" spans="4:17" s="479" customFormat="1" ht="12.75">
      <c r="D199" s="495"/>
      <c r="E199" s="496"/>
      <c r="N199" s="900"/>
      <c r="O199" s="900"/>
      <c r="P199" s="900"/>
      <c r="Q199" s="900"/>
    </row>
    <row r="200" spans="4:17" s="479" customFormat="1" ht="12.75">
      <c r="D200" s="495"/>
      <c r="E200" s="496"/>
      <c r="N200" s="900"/>
      <c r="O200" s="900"/>
      <c r="P200" s="900"/>
      <c r="Q200" s="900"/>
    </row>
    <row r="201" spans="4:17" s="479" customFormat="1" ht="12.75">
      <c r="D201" s="495"/>
      <c r="E201" s="496"/>
      <c r="N201" s="900"/>
      <c r="O201" s="900"/>
      <c r="P201" s="900"/>
      <c r="Q201" s="900"/>
    </row>
    <row r="202" spans="4:17" s="479" customFormat="1" ht="12.75">
      <c r="D202" s="495"/>
      <c r="E202" s="496"/>
      <c r="N202" s="900"/>
      <c r="O202" s="900"/>
      <c r="P202" s="900"/>
      <c r="Q202" s="900"/>
    </row>
    <row r="203" spans="4:17" s="479" customFormat="1" ht="12.75">
      <c r="D203" s="495"/>
      <c r="E203" s="496"/>
      <c r="N203" s="900"/>
      <c r="O203" s="900"/>
      <c r="P203" s="900"/>
      <c r="Q203" s="900"/>
    </row>
    <row r="204" spans="4:17" s="479" customFormat="1" ht="12.75">
      <c r="D204" s="495"/>
      <c r="E204" s="496"/>
      <c r="N204" s="900"/>
      <c r="O204" s="900"/>
      <c r="P204" s="900"/>
      <c r="Q204" s="900"/>
    </row>
    <row r="205" spans="4:17" s="479" customFormat="1" ht="12.75">
      <c r="D205" s="495"/>
      <c r="E205" s="496"/>
      <c r="N205" s="900"/>
      <c r="O205" s="900"/>
      <c r="P205" s="900"/>
      <c r="Q205" s="900"/>
    </row>
    <row r="206" spans="4:17" s="479" customFormat="1" ht="12.75">
      <c r="D206" s="495"/>
      <c r="E206" s="496"/>
      <c r="N206" s="900"/>
      <c r="O206" s="900"/>
      <c r="P206" s="900"/>
      <c r="Q206" s="900"/>
    </row>
    <row r="207" spans="4:17" s="479" customFormat="1" ht="12.75">
      <c r="D207" s="495"/>
      <c r="E207" s="496"/>
      <c r="N207" s="900"/>
      <c r="O207" s="900"/>
      <c r="P207" s="900"/>
      <c r="Q207" s="900"/>
    </row>
    <row r="208" spans="4:17" s="479" customFormat="1" ht="12.75">
      <c r="D208" s="495"/>
      <c r="E208" s="496"/>
      <c r="N208" s="900"/>
      <c r="O208" s="900"/>
      <c r="P208" s="900"/>
      <c r="Q208" s="900"/>
    </row>
    <row r="209" spans="4:17" s="479" customFormat="1" ht="12.75">
      <c r="D209" s="495"/>
      <c r="E209" s="496"/>
      <c r="N209" s="900"/>
      <c r="O209" s="900"/>
      <c r="P209" s="900"/>
      <c r="Q209" s="900"/>
    </row>
    <row r="210" spans="4:17" s="479" customFormat="1" ht="12.75">
      <c r="D210" s="495"/>
      <c r="E210" s="496"/>
      <c r="N210" s="900"/>
      <c r="O210" s="900"/>
      <c r="P210" s="900"/>
      <c r="Q210" s="900"/>
    </row>
    <row r="211" spans="4:17" s="479" customFormat="1" ht="12.75">
      <c r="D211" s="495"/>
      <c r="E211" s="496"/>
      <c r="N211" s="900"/>
      <c r="O211" s="900"/>
      <c r="P211" s="900"/>
      <c r="Q211" s="900"/>
    </row>
    <row r="212" spans="4:17" s="479" customFormat="1" ht="12.75">
      <c r="D212" s="495"/>
      <c r="E212" s="496"/>
      <c r="N212" s="900"/>
      <c r="O212" s="900"/>
      <c r="P212" s="900"/>
      <c r="Q212" s="900"/>
    </row>
    <row r="213" spans="4:17" s="479" customFormat="1" ht="12.75">
      <c r="D213" s="495"/>
      <c r="E213" s="496"/>
      <c r="N213" s="900"/>
      <c r="O213" s="900"/>
      <c r="P213" s="900"/>
      <c r="Q213" s="900"/>
    </row>
    <row r="214" spans="4:17" s="479" customFormat="1" ht="12.75">
      <c r="D214" s="495"/>
      <c r="E214" s="496"/>
      <c r="N214" s="900"/>
      <c r="O214" s="900"/>
      <c r="P214" s="900"/>
      <c r="Q214" s="900"/>
    </row>
    <row r="215" spans="4:17" s="479" customFormat="1" ht="12.75">
      <c r="D215" s="495"/>
      <c r="E215" s="496"/>
      <c r="N215" s="900"/>
      <c r="O215" s="900"/>
      <c r="P215" s="900"/>
      <c r="Q215" s="900"/>
    </row>
    <row r="216" spans="4:17" s="479" customFormat="1" ht="12.75">
      <c r="D216" s="495"/>
      <c r="E216" s="496"/>
      <c r="N216" s="900"/>
      <c r="O216" s="900"/>
      <c r="P216" s="900"/>
      <c r="Q216" s="900"/>
    </row>
    <row r="217" spans="4:17" s="479" customFormat="1" ht="12.75">
      <c r="D217" s="495"/>
      <c r="E217" s="496"/>
      <c r="N217" s="900"/>
      <c r="O217" s="900"/>
      <c r="P217" s="900"/>
      <c r="Q217" s="900"/>
    </row>
    <row r="218" spans="4:17" s="479" customFormat="1" ht="12.75">
      <c r="D218" s="495"/>
      <c r="E218" s="496"/>
      <c r="N218" s="900"/>
      <c r="O218" s="900"/>
      <c r="P218" s="900"/>
      <c r="Q218" s="900"/>
    </row>
    <row r="219" spans="4:17" s="479" customFormat="1" ht="12.75">
      <c r="D219" s="495"/>
      <c r="E219" s="496"/>
      <c r="N219" s="900"/>
      <c r="O219" s="900"/>
      <c r="P219" s="900"/>
      <c r="Q219" s="900"/>
    </row>
    <row r="220" spans="4:17" s="479" customFormat="1" ht="12.75">
      <c r="D220" s="495"/>
      <c r="E220" s="496"/>
      <c r="N220" s="900"/>
      <c r="O220" s="900"/>
      <c r="P220" s="900"/>
      <c r="Q220" s="900"/>
    </row>
    <row r="221" spans="4:17" s="479" customFormat="1" ht="12.75">
      <c r="D221" s="495"/>
      <c r="E221" s="496"/>
      <c r="N221" s="900"/>
      <c r="O221" s="900"/>
      <c r="P221" s="900"/>
      <c r="Q221" s="900"/>
    </row>
    <row r="222" spans="4:17" s="479" customFormat="1" ht="12.75">
      <c r="D222" s="495"/>
      <c r="E222" s="496"/>
      <c r="N222" s="900"/>
      <c r="O222" s="900"/>
      <c r="P222" s="900"/>
      <c r="Q222" s="900"/>
    </row>
    <row r="223" spans="4:17" s="479" customFormat="1" ht="12.75">
      <c r="D223" s="495"/>
      <c r="E223" s="496"/>
      <c r="N223" s="900"/>
      <c r="O223" s="900"/>
      <c r="P223" s="900"/>
      <c r="Q223" s="900"/>
    </row>
    <row r="224" spans="4:17" s="479" customFormat="1" ht="12.75">
      <c r="D224" s="495"/>
      <c r="E224" s="496"/>
      <c r="N224" s="900"/>
      <c r="O224" s="900"/>
      <c r="P224" s="900"/>
      <c r="Q224" s="900"/>
    </row>
    <row r="225" spans="4:17" s="479" customFormat="1" ht="12.75">
      <c r="D225" s="495"/>
      <c r="E225" s="496"/>
      <c r="N225" s="900"/>
      <c r="O225" s="900"/>
      <c r="P225" s="900"/>
      <c r="Q225" s="900"/>
    </row>
    <row r="226" spans="4:17" s="479" customFormat="1" ht="12.75">
      <c r="D226" s="495"/>
      <c r="E226" s="496"/>
      <c r="N226" s="900"/>
      <c r="O226" s="900"/>
      <c r="P226" s="900"/>
      <c r="Q226" s="900"/>
    </row>
    <row r="227" spans="4:17" s="479" customFormat="1" ht="12.75">
      <c r="D227" s="495"/>
      <c r="E227" s="496"/>
      <c r="N227" s="900"/>
      <c r="O227" s="900"/>
      <c r="P227" s="900"/>
      <c r="Q227" s="900"/>
    </row>
    <row r="228" spans="4:17" s="479" customFormat="1" ht="12.75">
      <c r="D228" s="495"/>
      <c r="E228" s="496"/>
      <c r="N228" s="900"/>
      <c r="O228" s="900"/>
      <c r="P228" s="900"/>
      <c r="Q228" s="900"/>
    </row>
    <row r="229" spans="4:17" s="479" customFormat="1" ht="12.75">
      <c r="D229" s="495"/>
      <c r="E229" s="496"/>
      <c r="N229" s="900"/>
      <c r="O229" s="900"/>
      <c r="P229" s="900"/>
      <c r="Q229" s="900"/>
    </row>
    <row r="230" spans="4:17" s="479" customFormat="1" ht="12.75">
      <c r="D230" s="495"/>
      <c r="E230" s="496"/>
      <c r="N230" s="900"/>
      <c r="O230" s="900"/>
      <c r="P230" s="900"/>
      <c r="Q230" s="900"/>
    </row>
    <row r="231" spans="4:17" s="479" customFormat="1" ht="12.75">
      <c r="D231" s="495"/>
      <c r="E231" s="496"/>
      <c r="N231" s="900"/>
      <c r="O231" s="900"/>
      <c r="P231" s="900"/>
      <c r="Q231" s="900"/>
    </row>
    <row r="232" spans="4:17" s="479" customFormat="1" ht="12.75">
      <c r="D232" s="495"/>
      <c r="E232" s="496"/>
      <c r="N232" s="900"/>
      <c r="O232" s="900"/>
      <c r="P232" s="900"/>
      <c r="Q232" s="900"/>
    </row>
    <row r="233" spans="4:17" s="479" customFormat="1" ht="12.75">
      <c r="D233" s="495"/>
      <c r="E233" s="496"/>
      <c r="N233" s="900"/>
      <c r="O233" s="900"/>
      <c r="P233" s="900"/>
      <c r="Q233" s="900"/>
    </row>
    <row r="234" spans="4:17" s="479" customFormat="1" ht="12.75">
      <c r="D234" s="495"/>
      <c r="E234" s="496"/>
      <c r="N234" s="900"/>
      <c r="O234" s="900"/>
      <c r="P234" s="900"/>
      <c r="Q234" s="900"/>
    </row>
    <row r="235" spans="4:17" s="479" customFormat="1" ht="12.75">
      <c r="D235" s="495"/>
      <c r="E235" s="496"/>
      <c r="N235" s="900"/>
      <c r="O235" s="900"/>
      <c r="P235" s="900"/>
      <c r="Q235" s="900"/>
    </row>
    <row r="236" spans="4:17" s="479" customFormat="1" ht="12.75">
      <c r="D236" s="495"/>
      <c r="E236" s="496"/>
      <c r="N236" s="900"/>
      <c r="O236" s="900"/>
      <c r="P236" s="900"/>
      <c r="Q236" s="900"/>
    </row>
    <row r="237" spans="4:17" s="479" customFormat="1" ht="12.75">
      <c r="D237" s="495"/>
      <c r="E237" s="496"/>
      <c r="N237" s="900"/>
      <c r="O237" s="900"/>
      <c r="P237" s="900"/>
      <c r="Q237" s="900"/>
    </row>
    <row r="238" spans="4:17" s="479" customFormat="1" ht="12.75">
      <c r="D238" s="495"/>
      <c r="E238" s="496"/>
      <c r="N238" s="900"/>
      <c r="O238" s="900"/>
      <c r="P238" s="900"/>
      <c r="Q238" s="900"/>
    </row>
    <row r="239" spans="4:17" s="479" customFormat="1" ht="12.75">
      <c r="D239" s="495"/>
      <c r="E239" s="496"/>
      <c r="N239" s="900"/>
      <c r="O239" s="900"/>
      <c r="P239" s="900"/>
      <c r="Q239" s="900"/>
    </row>
    <row r="240" spans="4:17" s="479" customFormat="1" ht="12.75">
      <c r="D240" s="495"/>
      <c r="E240" s="496"/>
      <c r="N240" s="900"/>
      <c r="O240" s="900"/>
      <c r="P240" s="900"/>
      <c r="Q240" s="900"/>
    </row>
    <row r="241" spans="4:17" s="479" customFormat="1" ht="12.75">
      <c r="D241" s="495"/>
      <c r="E241" s="496"/>
      <c r="N241" s="900"/>
      <c r="O241" s="900"/>
      <c r="P241" s="900"/>
      <c r="Q241" s="900"/>
    </row>
    <row r="242" spans="4:17" s="479" customFormat="1" ht="12.75">
      <c r="D242" s="495"/>
      <c r="E242" s="496"/>
      <c r="N242" s="900"/>
      <c r="O242" s="900"/>
      <c r="P242" s="900"/>
      <c r="Q242" s="900"/>
    </row>
    <row r="243" spans="4:17" s="479" customFormat="1" ht="12.75">
      <c r="D243" s="495"/>
      <c r="E243" s="496"/>
      <c r="N243" s="900"/>
      <c r="O243" s="900"/>
      <c r="P243" s="900"/>
      <c r="Q243" s="900"/>
    </row>
    <row r="244" spans="4:17" s="479" customFormat="1" ht="12.75">
      <c r="D244" s="495"/>
      <c r="E244" s="496"/>
      <c r="N244" s="900"/>
      <c r="O244" s="900"/>
      <c r="P244" s="900"/>
      <c r="Q244" s="900"/>
    </row>
    <row r="245" spans="4:17" s="479" customFormat="1" ht="12.75">
      <c r="D245" s="495"/>
      <c r="E245" s="496"/>
      <c r="N245" s="900"/>
      <c r="O245" s="900"/>
      <c r="P245" s="900"/>
      <c r="Q245" s="900"/>
    </row>
    <row r="246" spans="4:17" s="479" customFormat="1" ht="12.75">
      <c r="D246" s="495"/>
      <c r="E246" s="496"/>
      <c r="N246" s="900"/>
      <c r="O246" s="900"/>
      <c r="P246" s="900"/>
      <c r="Q246" s="900"/>
    </row>
    <row r="247" spans="4:17" s="479" customFormat="1" ht="12.75">
      <c r="D247" s="495"/>
      <c r="E247" s="496"/>
      <c r="N247" s="900"/>
      <c r="O247" s="900"/>
      <c r="P247" s="900"/>
      <c r="Q247" s="900"/>
    </row>
    <row r="248" spans="4:17" s="479" customFormat="1" ht="12.75">
      <c r="D248" s="495"/>
      <c r="E248" s="496"/>
      <c r="N248" s="900"/>
      <c r="O248" s="900"/>
      <c r="P248" s="900"/>
      <c r="Q248" s="900"/>
    </row>
    <row r="249" spans="4:17" s="479" customFormat="1" ht="12.75">
      <c r="D249" s="495"/>
      <c r="E249" s="496"/>
      <c r="N249" s="900"/>
      <c r="O249" s="900"/>
      <c r="P249" s="900"/>
      <c r="Q249" s="900"/>
    </row>
    <row r="250" spans="4:17" s="479" customFormat="1" ht="12.75">
      <c r="D250" s="495"/>
      <c r="E250" s="496"/>
      <c r="N250" s="900"/>
      <c r="O250" s="900"/>
      <c r="P250" s="900"/>
      <c r="Q250" s="900"/>
    </row>
    <row r="251" spans="4:17" s="479" customFormat="1" ht="12.75">
      <c r="D251" s="495"/>
      <c r="E251" s="496"/>
      <c r="N251" s="900"/>
      <c r="O251" s="900"/>
      <c r="P251" s="900"/>
      <c r="Q251" s="900"/>
    </row>
    <row r="252" spans="4:17" s="479" customFormat="1" ht="12.75">
      <c r="D252" s="495"/>
      <c r="E252" s="496"/>
      <c r="N252" s="900"/>
      <c r="O252" s="900"/>
      <c r="P252" s="900"/>
      <c r="Q252" s="900"/>
    </row>
    <row r="253" spans="4:17" s="479" customFormat="1" ht="12.75">
      <c r="D253" s="495"/>
      <c r="E253" s="496"/>
      <c r="N253" s="900"/>
      <c r="O253" s="900"/>
      <c r="P253" s="900"/>
      <c r="Q253" s="900"/>
    </row>
    <row r="254" spans="4:17" s="479" customFormat="1" ht="12.75">
      <c r="D254" s="495"/>
      <c r="E254" s="496"/>
      <c r="N254" s="900"/>
      <c r="O254" s="900"/>
      <c r="P254" s="900"/>
      <c r="Q254" s="900"/>
    </row>
    <row r="255" spans="4:17" s="479" customFormat="1" ht="12.75">
      <c r="D255" s="495"/>
      <c r="E255" s="496"/>
      <c r="N255" s="900"/>
      <c r="O255" s="900"/>
      <c r="P255" s="900"/>
      <c r="Q255" s="900"/>
    </row>
    <row r="256" spans="4:17" s="479" customFormat="1" ht="12.75">
      <c r="D256" s="495"/>
      <c r="E256" s="496"/>
      <c r="N256" s="900"/>
      <c r="O256" s="900"/>
      <c r="P256" s="900"/>
      <c r="Q256" s="900"/>
    </row>
    <row r="257" spans="4:17" s="479" customFormat="1" ht="12.75">
      <c r="D257" s="495"/>
      <c r="E257" s="496"/>
      <c r="N257" s="900"/>
      <c r="O257" s="900"/>
      <c r="P257" s="900"/>
      <c r="Q257" s="900"/>
    </row>
    <row r="258" spans="4:17" s="479" customFormat="1" ht="12.75">
      <c r="D258" s="495"/>
      <c r="E258" s="496"/>
      <c r="N258" s="900"/>
      <c r="O258" s="900"/>
      <c r="P258" s="900"/>
      <c r="Q258" s="900"/>
    </row>
    <row r="259" spans="4:17" s="479" customFormat="1" ht="12.75">
      <c r="D259" s="495"/>
      <c r="E259" s="496"/>
      <c r="N259" s="900"/>
      <c r="O259" s="900"/>
      <c r="P259" s="900"/>
      <c r="Q259" s="900"/>
    </row>
    <row r="260" spans="4:17" s="479" customFormat="1" ht="12.75">
      <c r="D260" s="495"/>
      <c r="E260" s="496"/>
      <c r="N260" s="900"/>
      <c r="O260" s="900"/>
      <c r="P260" s="900"/>
      <c r="Q260" s="900"/>
    </row>
    <row r="261" spans="4:17" s="479" customFormat="1" ht="12.75">
      <c r="D261" s="495"/>
      <c r="E261" s="496"/>
      <c r="N261" s="900"/>
      <c r="O261" s="900"/>
      <c r="P261" s="900"/>
      <c r="Q261" s="900"/>
    </row>
    <row r="262" spans="4:17" s="479" customFormat="1" ht="12.75">
      <c r="D262" s="495"/>
      <c r="E262" s="496"/>
      <c r="N262" s="900"/>
      <c r="O262" s="900"/>
      <c r="P262" s="900"/>
      <c r="Q262" s="900"/>
    </row>
    <row r="263" spans="4:17" s="479" customFormat="1" ht="12.75">
      <c r="D263" s="495"/>
      <c r="E263" s="496"/>
      <c r="N263" s="900"/>
      <c r="O263" s="900"/>
      <c r="P263" s="900"/>
      <c r="Q263" s="900"/>
    </row>
    <row r="264" spans="4:17" s="479" customFormat="1" ht="12.75">
      <c r="D264" s="495"/>
      <c r="E264" s="496"/>
      <c r="N264" s="900"/>
      <c r="O264" s="900"/>
      <c r="P264" s="900"/>
      <c r="Q264" s="900"/>
    </row>
    <row r="265" spans="4:17" s="479" customFormat="1" ht="12.75">
      <c r="D265" s="495"/>
      <c r="E265" s="496"/>
      <c r="N265" s="900"/>
      <c r="O265" s="900"/>
      <c r="P265" s="900"/>
      <c r="Q265" s="900"/>
    </row>
    <row r="266" spans="4:17" s="479" customFormat="1" ht="12.75">
      <c r="D266" s="495"/>
      <c r="E266" s="496"/>
      <c r="N266" s="900"/>
      <c r="O266" s="900"/>
      <c r="P266" s="900"/>
      <c r="Q266" s="900"/>
    </row>
    <row r="267" spans="4:17" s="479" customFormat="1" ht="12.75">
      <c r="D267" s="495"/>
      <c r="E267" s="496"/>
      <c r="N267" s="900"/>
      <c r="O267" s="900"/>
      <c r="P267" s="900"/>
      <c r="Q267" s="900"/>
    </row>
    <row r="268" spans="4:17" s="479" customFormat="1" ht="12.75">
      <c r="D268" s="495"/>
      <c r="E268" s="496"/>
      <c r="N268" s="900"/>
      <c r="O268" s="900"/>
      <c r="P268" s="900"/>
      <c r="Q268" s="900"/>
    </row>
    <row r="269" spans="4:17" s="479" customFormat="1" ht="12.75">
      <c r="D269" s="495"/>
      <c r="E269" s="496"/>
      <c r="N269" s="900"/>
      <c r="O269" s="900"/>
      <c r="P269" s="900"/>
      <c r="Q269" s="900"/>
    </row>
    <row r="270" spans="4:17" s="479" customFormat="1" ht="12.75">
      <c r="D270" s="495"/>
      <c r="E270" s="496"/>
      <c r="N270" s="900"/>
      <c r="O270" s="900"/>
      <c r="P270" s="900"/>
      <c r="Q270" s="900"/>
    </row>
    <row r="271" spans="4:17" s="479" customFormat="1" ht="12.75">
      <c r="D271" s="495"/>
      <c r="E271" s="496"/>
      <c r="N271" s="900"/>
      <c r="O271" s="900"/>
      <c r="P271" s="900"/>
      <c r="Q271" s="900"/>
    </row>
    <row r="272" spans="4:17" s="479" customFormat="1" ht="12.75">
      <c r="D272" s="495"/>
      <c r="E272" s="496"/>
      <c r="N272" s="900"/>
      <c r="O272" s="900"/>
      <c r="P272" s="900"/>
      <c r="Q272" s="900"/>
    </row>
    <row r="273" spans="4:17" s="479" customFormat="1" ht="12.75">
      <c r="D273" s="495"/>
      <c r="E273" s="496"/>
      <c r="N273" s="900"/>
      <c r="O273" s="900"/>
      <c r="P273" s="900"/>
      <c r="Q273" s="900"/>
    </row>
    <row r="274" spans="4:17" s="479" customFormat="1" ht="12.75">
      <c r="D274" s="495"/>
      <c r="E274" s="496"/>
      <c r="N274" s="900"/>
      <c r="O274" s="900"/>
      <c r="P274" s="900"/>
      <c r="Q274" s="900"/>
    </row>
    <row r="275" spans="4:17" s="479" customFormat="1" ht="12.75">
      <c r="D275" s="495"/>
      <c r="E275" s="496"/>
      <c r="N275" s="900"/>
      <c r="O275" s="900"/>
      <c r="P275" s="900"/>
      <c r="Q275" s="900"/>
    </row>
    <row r="276" spans="4:17" s="479" customFormat="1" ht="12.75">
      <c r="D276" s="495"/>
      <c r="E276" s="496"/>
      <c r="N276" s="900"/>
      <c r="O276" s="900"/>
      <c r="P276" s="900"/>
      <c r="Q276" s="900"/>
    </row>
    <row r="277" spans="4:17" s="479" customFormat="1" ht="12.75">
      <c r="D277" s="495"/>
      <c r="E277" s="496"/>
      <c r="N277" s="900"/>
      <c r="O277" s="900"/>
      <c r="P277" s="900"/>
      <c r="Q277" s="900"/>
    </row>
    <row r="278" spans="4:17" s="479" customFormat="1" ht="12.75">
      <c r="D278" s="495"/>
      <c r="E278" s="496"/>
      <c r="N278" s="900"/>
      <c r="O278" s="900"/>
      <c r="P278" s="900"/>
      <c r="Q278" s="900"/>
    </row>
    <row r="279" spans="4:17" s="479" customFormat="1" ht="12.75">
      <c r="D279" s="495"/>
      <c r="E279" s="496"/>
      <c r="N279" s="900"/>
      <c r="O279" s="900"/>
      <c r="P279" s="900"/>
      <c r="Q279" s="900"/>
    </row>
    <row r="280" spans="4:17" s="479" customFormat="1" ht="12.75">
      <c r="D280" s="495"/>
      <c r="E280" s="496"/>
      <c r="N280" s="900"/>
      <c r="O280" s="900"/>
      <c r="P280" s="900"/>
      <c r="Q280" s="900"/>
    </row>
    <row r="281" spans="4:17" s="479" customFormat="1" ht="12.75">
      <c r="D281" s="495"/>
      <c r="E281" s="496"/>
      <c r="N281" s="900"/>
      <c r="O281" s="900"/>
      <c r="P281" s="900"/>
      <c r="Q281" s="900"/>
    </row>
    <row r="282" spans="4:17" s="479" customFormat="1" ht="12.75">
      <c r="D282" s="495"/>
      <c r="E282" s="496"/>
      <c r="N282" s="900"/>
      <c r="O282" s="900"/>
      <c r="P282" s="900"/>
      <c r="Q282" s="900"/>
    </row>
    <row r="283" spans="4:17" s="479" customFormat="1" ht="12.75">
      <c r="D283" s="495"/>
      <c r="E283" s="496"/>
      <c r="N283" s="900"/>
      <c r="O283" s="900"/>
      <c r="P283" s="900"/>
      <c r="Q283" s="900"/>
    </row>
    <row r="284" spans="4:17" s="479" customFormat="1" ht="12.75">
      <c r="D284" s="495"/>
      <c r="E284" s="496"/>
      <c r="N284" s="900"/>
      <c r="O284" s="900"/>
      <c r="P284" s="900"/>
      <c r="Q284" s="900"/>
    </row>
    <row r="285" spans="4:17" s="479" customFormat="1" ht="12.75">
      <c r="D285" s="495"/>
      <c r="E285" s="496"/>
      <c r="N285" s="900"/>
      <c r="O285" s="900"/>
      <c r="P285" s="900"/>
      <c r="Q285" s="900"/>
    </row>
    <row r="286" spans="4:17" s="479" customFormat="1" ht="12.75">
      <c r="D286" s="495"/>
      <c r="E286" s="496"/>
      <c r="N286" s="900"/>
      <c r="O286" s="900"/>
      <c r="P286" s="900"/>
      <c r="Q286" s="900"/>
    </row>
    <row r="287" spans="4:17" s="479" customFormat="1" ht="12.75">
      <c r="D287" s="495"/>
      <c r="E287" s="496"/>
      <c r="N287" s="900"/>
      <c r="O287" s="900"/>
      <c r="P287" s="900"/>
      <c r="Q287" s="900"/>
    </row>
    <row r="288" spans="4:17" s="479" customFormat="1" ht="12.75">
      <c r="D288" s="495"/>
      <c r="E288" s="496"/>
      <c r="N288" s="900"/>
      <c r="O288" s="900"/>
      <c r="P288" s="900"/>
      <c r="Q288" s="900"/>
    </row>
    <row r="289" spans="4:17" s="479" customFormat="1" ht="12.75">
      <c r="D289" s="495"/>
      <c r="E289" s="496"/>
      <c r="N289" s="900"/>
      <c r="O289" s="900"/>
      <c r="P289" s="900"/>
      <c r="Q289" s="900"/>
    </row>
    <row r="290" spans="4:17" s="479" customFormat="1" ht="12.75">
      <c r="D290" s="495"/>
      <c r="E290" s="496"/>
      <c r="N290" s="900"/>
      <c r="O290" s="900"/>
      <c r="P290" s="900"/>
      <c r="Q290" s="900"/>
    </row>
    <row r="291" spans="4:17" s="479" customFormat="1" ht="12.75">
      <c r="D291" s="495"/>
      <c r="E291" s="496"/>
      <c r="N291" s="900"/>
      <c r="O291" s="900"/>
      <c r="P291" s="900"/>
      <c r="Q291" s="900"/>
    </row>
    <row r="292" spans="4:17" s="479" customFormat="1" ht="12.75">
      <c r="D292" s="495"/>
      <c r="E292" s="496"/>
      <c r="N292" s="900"/>
      <c r="O292" s="900"/>
      <c r="P292" s="900"/>
      <c r="Q292" s="900"/>
    </row>
    <row r="293" spans="4:17" s="479" customFormat="1" ht="12.75">
      <c r="D293" s="495"/>
      <c r="E293" s="496"/>
      <c r="N293" s="900"/>
      <c r="O293" s="900"/>
      <c r="P293" s="900"/>
      <c r="Q293" s="900"/>
    </row>
    <row r="294" spans="4:17" s="479" customFormat="1" ht="12.75">
      <c r="D294" s="495"/>
      <c r="E294" s="496"/>
      <c r="N294" s="900"/>
      <c r="O294" s="900"/>
      <c r="P294" s="900"/>
      <c r="Q294" s="900"/>
    </row>
    <row r="295" spans="4:17" s="479" customFormat="1" ht="12.75">
      <c r="D295" s="495"/>
      <c r="E295" s="496"/>
      <c r="N295" s="900"/>
      <c r="O295" s="900"/>
      <c r="P295" s="900"/>
      <c r="Q295" s="900"/>
    </row>
    <row r="296" spans="4:17" s="479" customFormat="1" ht="12.75">
      <c r="D296" s="495"/>
      <c r="E296" s="496"/>
      <c r="N296" s="900"/>
      <c r="O296" s="900"/>
      <c r="P296" s="900"/>
      <c r="Q296" s="900"/>
    </row>
    <row r="297" spans="4:17" s="479" customFormat="1" ht="12.75">
      <c r="D297" s="495"/>
      <c r="E297" s="496"/>
      <c r="N297" s="900"/>
      <c r="O297" s="900"/>
      <c r="P297" s="900"/>
      <c r="Q297" s="900"/>
    </row>
    <row r="298" spans="4:17" s="479" customFormat="1" ht="12.75">
      <c r="D298" s="495"/>
      <c r="E298" s="496"/>
      <c r="N298" s="900"/>
      <c r="O298" s="900"/>
      <c r="P298" s="900"/>
      <c r="Q298" s="900"/>
    </row>
    <row r="299" spans="4:17" s="479" customFormat="1" ht="12.75">
      <c r="D299" s="495"/>
      <c r="E299" s="496"/>
      <c r="N299" s="900"/>
      <c r="O299" s="900"/>
      <c r="P299" s="900"/>
      <c r="Q299" s="900"/>
    </row>
    <row r="300" spans="4:17" s="479" customFormat="1" ht="12.75">
      <c r="D300" s="495"/>
      <c r="E300" s="496"/>
      <c r="N300" s="900"/>
      <c r="O300" s="900"/>
      <c r="P300" s="900"/>
      <c r="Q300" s="900"/>
    </row>
    <row r="301" spans="4:17" s="479" customFormat="1" ht="12.75">
      <c r="D301" s="495"/>
      <c r="E301" s="496"/>
      <c r="N301" s="900"/>
      <c r="O301" s="900"/>
      <c r="P301" s="900"/>
      <c r="Q301" s="900"/>
    </row>
    <row r="302" spans="4:17" s="479" customFormat="1" ht="12.75">
      <c r="D302" s="495"/>
      <c r="E302" s="496"/>
      <c r="N302" s="900"/>
      <c r="O302" s="900"/>
      <c r="P302" s="900"/>
      <c r="Q302" s="900"/>
    </row>
    <row r="303" spans="4:17" s="479" customFormat="1" ht="12.75">
      <c r="D303" s="495"/>
      <c r="E303" s="496"/>
      <c r="N303" s="900"/>
      <c r="O303" s="900"/>
      <c r="P303" s="900"/>
      <c r="Q303" s="900"/>
    </row>
    <row r="304" spans="4:17" s="479" customFormat="1" ht="12.75">
      <c r="D304" s="495"/>
      <c r="E304" s="496"/>
      <c r="N304" s="900"/>
      <c r="O304" s="900"/>
      <c r="P304" s="900"/>
      <c r="Q304" s="900"/>
    </row>
    <row r="305" spans="4:17" s="479" customFormat="1" ht="12.75">
      <c r="D305" s="495"/>
      <c r="E305" s="496"/>
      <c r="N305" s="900"/>
      <c r="O305" s="900"/>
      <c r="P305" s="900"/>
      <c r="Q305" s="900"/>
    </row>
    <row r="306" spans="4:17" s="479" customFormat="1" ht="12.75">
      <c r="D306" s="495"/>
      <c r="E306" s="496"/>
      <c r="N306" s="900"/>
      <c r="O306" s="900"/>
      <c r="P306" s="900"/>
      <c r="Q306" s="900"/>
    </row>
    <row r="307" spans="4:17" s="479" customFormat="1" ht="12.75">
      <c r="D307" s="495"/>
      <c r="E307" s="496"/>
      <c r="N307" s="900"/>
      <c r="O307" s="900"/>
      <c r="P307" s="900"/>
      <c r="Q307" s="900"/>
    </row>
    <row r="308" spans="4:17" s="479" customFormat="1" ht="12.75">
      <c r="D308" s="495"/>
      <c r="E308" s="496"/>
      <c r="N308" s="900"/>
      <c r="O308" s="900"/>
      <c r="P308" s="900"/>
      <c r="Q308" s="900"/>
    </row>
    <row r="309" spans="4:17" s="479" customFormat="1" ht="12.75">
      <c r="D309" s="495"/>
      <c r="E309" s="496"/>
      <c r="N309" s="900"/>
      <c r="O309" s="900"/>
      <c r="P309" s="900"/>
      <c r="Q309" s="900"/>
    </row>
    <row r="310" spans="4:17" s="479" customFormat="1" ht="12.75">
      <c r="D310" s="495"/>
      <c r="E310" s="496"/>
      <c r="N310" s="900"/>
      <c r="O310" s="900"/>
      <c r="P310" s="900"/>
      <c r="Q310" s="900"/>
    </row>
    <row r="311" spans="4:17" s="479" customFormat="1" ht="12.75">
      <c r="D311" s="495"/>
      <c r="E311" s="496"/>
      <c r="N311" s="900"/>
      <c r="O311" s="900"/>
      <c r="P311" s="900"/>
      <c r="Q311" s="900"/>
    </row>
    <row r="312" spans="4:17" s="479" customFormat="1" ht="12.75">
      <c r="D312" s="495"/>
      <c r="E312" s="496"/>
      <c r="N312" s="900"/>
      <c r="O312" s="900"/>
      <c r="P312" s="900"/>
      <c r="Q312" s="900"/>
    </row>
    <row r="313" spans="4:17" s="479" customFormat="1" ht="12.75">
      <c r="D313" s="495"/>
      <c r="E313" s="496"/>
      <c r="N313" s="900"/>
      <c r="O313" s="900"/>
      <c r="P313" s="900"/>
      <c r="Q313" s="900"/>
    </row>
    <row r="314" spans="4:17" s="479" customFormat="1" ht="12.75">
      <c r="D314" s="495"/>
      <c r="E314" s="496"/>
      <c r="N314" s="900"/>
      <c r="O314" s="900"/>
      <c r="P314" s="900"/>
      <c r="Q314" s="900"/>
    </row>
    <row r="315" spans="4:17" s="479" customFormat="1" ht="12.75">
      <c r="D315" s="495"/>
      <c r="E315" s="496"/>
      <c r="N315" s="900"/>
      <c r="O315" s="900"/>
      <c r="P315" s="900"/>
      <c r="Q315" s="900"/>
    </row>
    <row r="316" spans="4:17" s="479" customFormat="1" ht="12.75">
      <c r="D316" s="495"/>
      <c r="E316" s="496"/>
      <c r="N316" s="900"/>
      <c r="O316" s="900"/>
      <c r="P316" s="900"/>
      <c r="Q316" s="900"/>
    </row>
    <row r="317" spans="4:17" s="479" customFormat="1" ht="12.75">
      <c r="D317" s="495"/>
      <c r="E317" s="496"/>
      <c r="N317" s="900"/>
      <c r="O317" s="900"/>
      <c r="P317" s="900"/>
      <c r="Q317" s="900"/>
    </row>
    <row r="318" spans="4:17" s="479" customFormat="1" ht="12.75">
      <c r="D318" s="495"/>
      <c r="E318" s="496"/>
      <c r="N318" s="900"/>
      <c r="O318" s="900"/>
      <c r="P318" s="900"/>
      <c r="Q318" s="900"/>
    </row>
    <row r="319" spans="4:17" s="479" customFormat="1" ht="12.75">
      <c r="D319" s="495"/>
      <c r="E319" s="496"/>
      <c r="N319" s="900"/>
      <c r="O319" s="900"/>
      <c r="P319" s="900"/>
      <c r="Q319" s="900"/>
    </row>
    <row r="320" spans="4:17" s="479" customFormat="1" ht="12.75">
      <c r="D320" s="495"/>
      <c r="E320" s="496"/>
      <c r="N320" s="900"/>
      <c r="O320" s="900"/>
      <c r="P320" s="900"/>
      <c r="Q320" s="900"/>
    </row>
    <row r="321" spans="4:17" s="479" customFormat="1" ht="12.75">
      <c r="D321" s="495"/>
      <c r="E321" s="496"/>
      <c r="N321" s="900"/>
      <c r="O321" s="900"/>
      <c r="P321" s="900"/>
      <c r="Q321" s="900"/>
    </row>
    <row r="322" spans="4:17" s="479" customFormat="1" ht="12.75">
      <c r="D322" s="495"/>
      <c r="E322" s="496"/>
      <c r="N322" s="900"/>
      <c r="O322" s="900"/>
      <c r="P322" s="900"/>
      <c r="Q322" s="900"/>
    </row>
    <row r="323" spans="4:17" s="479" customFormat="1" ht="12.75">
      <c r="D323" s="495"/>
      <c r="E323" s="496"/>
      <c r="N323" s="900"/>
      <c r="O323" s="900"/>
      <c r="P323" s="900"/>
      <c r="Q323" s="900"/>
    </row>
    <row r="324" spans="4:17" s="479" customFormat="1" ht="12.75">
      <c r="D324" s="495"/>
      <c r="E324" s="496"/>
      <c r="N324" s="900"/>
      <c r="O324" s="900"/>
      <c r="P324" s="900"/>
      <c r="Q324" s="900"/>
    </row>
    <row r="325" spans="4:17" s="479" customFormat="1" ht="12.75">
      <c r="D325" s="495"/>
      <c r="E325" s="496"/>
      <c r="N325" s="900"/>
      <c r="O325" s="900"/>
      <c r="P325" s="900"/>
      <c r="Q325" s="900"/>
    </row>
    <row r="326" spans="4:17" s="479" customFormat="1" ht="12.75">
      <c r="D326" s="495"/>
      <c r="E326" s="496"/>
      <c r="N326" s="900"/>
      <c r="O326" s="900"/>
      <c r="P326" s="900"/>
      <c r="Q326" s="900"/>
    </row>
    <row r="327" spans="4:17" s="479" customFormat="1" ht="12.75">
      <c r="D327" s="495"/>
      <c r="E327" s="496"/>
      <c r="N327" s="900"/>
      <c r="O327" s="900"/>
      <c r="P327" s="900"/>
      <c r="Q327" s="900"/>
    </row>
    <row r="328" spans="4:17" s="479" customFormat="1" ht="12.75">
      <c r="D328" s="495"/>
      <c r="E328" s="496"/>
      <c r="N328" s="900"/>
      <c r="O328" s="900"/>
      <c r="P328" s="900"/>
      <c r="Q328" s="900"/>
    </row>
    <row r="329" spans="4:17" s="479" customFormat="1" ht="12.75">
      <c r="D329" s="495"/>
      <c r="E329" s="496"/>
      <c r="N329" s="900"/>
      <c r="O329" s="900"/>
      <c r="P329" s="900"/>
      <c r="Q329" s="900"/>
    </row>
    <row r="330" spans="4:17" s="479" customFormat="1" ht="12.75">
      <c r="D330" s="495"/>
      <c r="E330" s="496"/>
      <c r="N330" s="900"/>
      <c r="O330" s="900"/>
      <c r="P330" s="900"/>
      <c r="Q330" s="900"/>
    </row>
    <row r="331" spans="4:17" s="479" customFormat="1" ht="12.75">
      <c r="D331" s="495"/>
      <c r="E331" s="496"/>
      <c r="N331" s="900"/>
      <c r="O331" s="900"/>
      <c r="P331" s="900"/>
      <c r="Q331" s="900"/>
    </row>
    <row r="332" spans="4:17" s="479" customFormat="1" ht="12.75">
      <c r="D332" s="495"/>
      <c r="E332" s="496"/>
      <c r="N332" s="900"/>
      <c r="O332" s="900"/>
      <c r="P332" s="900"/>
      <c r="Q332" s="900"/>
    </row>
    <row r="333" spans="4:17" s="479" customFormat="1" ht="12.75">
      <c r="D333" s="495"/>
      <c r="E333" s="496"/>
      <c r="N333" s="900"/>
      <c r="O333" s="900"/>
      <c r="P333" s="900"/>
      <c r="Q333" s="900"/>
    </row>
    <row r="334" spans="4:17" s="479" customFormat="1" ht="12.75">
      <c r="D334" s="495"/>
      <c r="E334" s="496"/>
      <c r="N334" s="900"/>
      <c r="O334" s="900"/>
      <c r="P334" s="900"/>
      <c r="Q334" s="900"/>
    </row>
    <row r="335" spans="4:17" s="479" customFormat="1" ht="12.75">
      <c r="D335" s="495"/>
      <c r="E335" s="496"/>
      <c r="N335" s="900"/>
      <c r="O335" s="900"/>
      <c r="P335" s="900"/>
      <c r="Q335" s="900"/>
    </row>
    <row r="336" spans="4:17" s="479" customFormat="1" ht="12.75">
      <c r="D336" s="495"/>
      <c r="E336" s="496"/>
      <c r="N336" s="900"/>
      <c r="O336" s="900"/>
      <c r="P336" s="900"/>
      <c r="Q336" s="900"/>
    </row>
    <row r="337" spans="4:17" s="479" customFormat="1" ht="12.75">
      <c r="D337" s="495"/>
      <c r="E337" s="496"/>
      <c r="N337" s="900"/>
      <c r="O337" s="900"/>
      <c r="P337" s="900"/>
      <c r="Q337" s="900"/>
    </row>
    <row r="338" spans="4:17" s="479" customFormat="1" ht="12.75">
      <c r="D338" s="495"/>
      <c r="E338" s="496"/>
      <c r="N338" s="900"/>
      <c r="O338" s="900"/>
      <c r="P338" s="900"/>
      <c r="Q338" s="900"/>
    </row>
    <row r="339" spans="4:17" s="479" customFormat="1" ht="12.75">
      <c r="D339" s="495"/>
      <c r="E339" s="496"/>
      <c r="N339" s="900"/>
      <c r="O339" s="900"/>
      <c r="P339" s="900"/>
      <c r="Q339" s="900"/>
    </row>
    <row r="340" spans="4:17" s="479" customFormat="1" ht="12.75">
      <c r="D340" s="495"/>
      <c r="E340" s="496"/>
      <c r="N340" s="900"/>
      <c r="O340" s="900"/>
      <c r="P340" s="900"/>
      <c r="Q340" s="900"/>
    </row>
    <row r="341" spans="4:17" s="479" customFormat="1" ht="12.75">
      <c r="D341" s="495"/>
      <c r="E341" s="496"/>
      <c r="N341" s="900"/>
      <c r="O341" s="900"/>
      <c r="P341" s="900"/>
      <c r="Q341" s="900"/>
    </row>
    <row r="342" spans="4:17" s="479" customFormat="1" ht="12.75">
      <c r="D342" s="495"/>
      <c r="E342" s="496"/>
      <c r="N342" s="900"/>
      <c r="O342" s="900"/>
      <c r="P342" s="900"/>
      <c r="Q342" s="900"/>
    </row>
    <row r="343" spans="4:17" s="479" customFormat="1" ht="12.75">
      <c r="D343" s="495"/>
      <c r="E343" s="496"/>
      <c r="N343" s="900"/>
      <c r="O343" s="900"/>
      <c r="P343" s="900"/>
      <c r="Q343" s="900"/>
    </row>
    <row r="344" spans="4:17" s="479" customFormat="1" ht="12.75">
      <c r="D344" s="495"/>
      <c r="E344" s="496"/>
      <c r="N344" s="900"/>
      <c r="O344" s="900"/>
      <c r="P344" s="900"/>
      <c r="Q344" s="900"/>
    </row>
    <row r="345" spans="4:17" s="479" customFormat="1" ht="12.75">
      <c r="D345" s="495"/>
      <c r="E345" s="496"/>
      <c r="N345" s="900"/>
      <c r="O345" s="900"/>
      <c r="P345" s="900"/>
      <c r="Q345" s="900"/>
    </row>
    <row r="346" spans="4:17" s="479" customFormat="1" ht="12.75">
      <c r="D346" s="495"/>
      <c r="E346" s="496"/>
      <c r="N346" s="900"/>
      <c r="O346" s="900"/>
      <c r="P346" s="900"/>
      <c r="Q346" s="900"/>
    </row>
    <row r="347" spans="4:17" s="479" customFormat="1" ht="12.75">
      <c r="D347" s="495"/>
      <c r="E347" s="496"/>
      <c r="N347" s="900"/>
      <c r="O347" s="900"/>
      <c r="P347" s="900"/>
      <c r="Q347" s="900"/>
    </row>
    <row r="348" spans="4:17" s="479" customFormat="1" ht="12.75">
      <c r="D348" s="495"/>
      <c r="E348" s="496"/>
      <c r="N348" s="900"/>
      <c r="O348" s="900"/>
      <c r="P348" s="900"/>
      <c r="Q348" s="900"/>
    </row>
    <row r="349" spans="4:17" s="479" customFormat="1" ht="12.75">
      <c r="D349" s="495"/>
      <c r="E349" s="496"/>
      <c r="N349" s="900"/>
      <c r="O349" s="900"/>
      <c r="P349" s="900"/>
      <c r="Q349" s="900"/>
    </row>
    <row r="350" spans="4:17" s="479" customFormat="1" ht="12.75">
      <c r="D350" s="495"/>
      <c r="E350" s="496"/>
      <c r="N350" s="900"/>
      <c r="O350" s="900"/>
      <c r="P350" s="900"/>
      <c r="Q350" s="900"/>
    </row>
    <row r="351" spans="4:17" s="479" customFormat="1" ht="12.75">
      <c r="D351" s="495"/>
      <c r="E351" s="496"/>
      <c r="N351" s="900"/>
      <c r="O351" s="900"/>
      <c r="P351" s="900"/>
      <c r="Q351" s="900"/>
    </row>
    <row r="352" spans="4:17" s="479" customFormat="1" ht="12.75">
      <c r="D352" s="495"/>
      <c r="E352" s="496"/>
      <c r="N352" s="900"/>
      <c r="O352" s="900"/>
      <c r="P352" s="900"/>
      <c r="Q352" s="900"/>
    </row>
    <row r="353" spans="4:17" s="479" customFormat="1" ht="12.75">
      <c r="D353" s="495"/>
      <c r="E353" s="496"/>
      <c r="N353" s="900"/>
      <c r="O353" s="900"/>
      <c r="P353" s="900"/>
      <c r="Q353" s="900"/>
    </row>
    <row r="354" spans="4:17" s="479" customFormat="1" ht="12.75">
      <c r="D354" s="495"/>
      <c r="E354" s="496"/>
      <c r="N354" s="900"/>
      <c r="O354" s="900"/>
      <c r="P354" s="900"/>
      <c r="Q354" s="900"/>
    </row>
    <row r="355" spans="4:17" s="479" customFormat="1" ht="12.75">
      <c r="D355" s="495"/>
      <c r="E355" s="496"/>
      <c r="N355" s="900"/>
      <c r="O355" s="900"/>
      <c r="P355" s="900"/>
      <c r="Q355" s="900"/>
    </row>
    <row r="356" spans="4:17" s="479" customFormat="1" ht="12.75">
      <c r="D356" s="495"/>
      <c r="E356" s="496"/>
      <c r="N356" s="900"/>
      <c r="O356" s="900"/>
      <c r="P356" s="900"/>
      <c r="Q356" s="900"/>
    </row>
    <row r="357" spans="4:17" s="479" customFormat="1" ht="12.75">
      <c r="D357" s="495"/>
      <c r="E357" s="496"/>
      <c r="N357" s="900"/>
      <c r="O357" s="900"/>
      <c r="P357" s="900"/>
      <c r="Q357" s="900"/>
    </row>
    <row r="358" spans="4:17" s="479" customFormat="1" ht="12.75">
      <c r="D358" s="495"/>
      <c r="E358" s="496"/>
      <c r="N358" s="900"/>
      <c r="O358" s="900"/>
      <c r="P358" s="900"/>
      <c r="Q358" s="900"/>
    </row>
    <row r="359" spans="4:17" s="479" customFormat="1" ht="12.75">
      <c r="D359" s="495"/>
      <c r="E359" s="496"/>
      <c r="N359" s="900"/>
      <c r="O359" s="900"/>
      <c r="P359" s="900"/>
      <c r="Q359" s="900"/>
    </row>
    <row r="360" spans="4:17" s="479" customFormat="1" ht="12.75">
      <c r="D360" s="495"/>
      <c r="E360" s="496"/>
      <c r="N360" s="900"/>
      <c r="O360" s="900"/>
      <c r="P360" s="900"/>
      <c r="Q360" s="900"/>
    </row>
    <row r="361" spans="4:17" s="479" customFormat="1" ht="12.75">
      <c r="D361" s="495"/>
      <c r="E361" s="496"/>
      <c r="N361" s="900"/>
      <c r="O361" s="900"/>
      <c r="P361" s="900"/>
      <c r="Q361" s="900"/>
    </row>
    <row r="362" spans="4:17" s="479" customFormat="1" ht="12.75">
      <c r="D362" s="495"/>
      <c r="E362" s="496"/>
      <c r="N362" s="900"/>
      <c r="O362" s="900"/>
      <c r="P362" s="900"/>
      <c r="Q362" s="900"/>
    </row>
    <row r="363" spans="4:17" s="479" customFormat="1" ht="12.75">
      <c r="D363" s="495"/>
      <c r="E363" s="496"/>
      <c r="N363" s="900"/>
      <c r="O363" s="900"/>
      <c r="P363" s="900"/>
      <c r="Q363" s="900"/>
    </row>
    <row r="364" spans="4:17" s="479" customFormat="1" ht="12.75">
      <c r="D364" s="495"/>
      <c r="E364" s="496"/>
      <c r="N364" s="900"/>
      <c r="O364" s="900"/>
      <c r="P364" s="900"/>
      <c r="Q364" s="900"/>
    </row>
    <row r="365" spans="4:17" s="479" customFormat="1" ht="12.75">
      <c r="D365" s="495"/>
      <c r="E365" s="496"/>
      <c r="N365" s="900"/>
      <c r="O365" s="900"/>
      <c r="P365" s="900"/>
      <c r="Q365" s="900"/>
    </row>
    <row r="366" spans="4:17" s="479" customFormat="1" ht="12.75">
      <c r="D366" s="495"/>
      <c r="E366" s="496"/>
      <c r="N366" s="900"/>
      <c r="O366" s="900"/>
      <c r="P366" s="900"/>
      <c r="Q366" s="900"/>
    </row>
    <row r="367" spans="4:17" s="479" customFormat="1" ht="12.75">
      <c r="D367" s="495"/>
      <c r="E367" s="496"/>
      <c r="N367" s="900"/>
      <c r="O367" s="900"/>
      <c r="P367" s="900"/>
      <c r="Q367" s="900"/>
    </row>
    <row r="368" spans="4:17" s="479" customFormat="1" ht="12.75">
      <c r="D368" s="495"/>
      <c r="E368" s="496"/>
      <c r="N368" s="900"/>
      <c r="O368" s="900"/>
      <c r="P368" s="900"/>
      <c r="Q368" s="900"/>
    </row>
    <row r="369" spans="4:17" s="479" customFormat="1" ht="12.75">
      <c r="D369" s="495"/>
      <c r="E369" s="496"/>
      <c r="N369" s="900"/>
      <c r="O369" s="900"/>
      <c r="P369" s="900"/>
      <c r="Q369" s="900"/>
    </row>
    <row r="370" spans="4:17" s="479" customFormat="1" ht="12.75">
      <c r="D370" s="495"/>
      <c r="E370" s="496"/>
      <c r="N370" s="900"/>
      <c r="O370" s="900"/>
      <c r="P370" s="900"/>
      <c r="Q370" s="900"/>
    </row>
    <row r="371" spans="4:17" s="479" customFormat="1" ht="12.75">
      <c r="D371" s="495"/>
      <c r="E371" s="496"/>
      <c r="N371" s="900"/>
      <c r="O371" s="900"/>
      <c r="P371" s="900"/>
      <c r="Q371" s="900"/>
    </row>
    <row r="372" spans="4:17" s="479" customFormat="1" ht="12.75">
      <c r="D372" s="495"/>
      <c r="E372" s="496"/>
      <c r="N372" s="900"/>
      <c r="O372" s="900"/>
      <c r="P372" s="900"/>
      <c r="Q372" s="900"/>
    </row>
    <row r="373" spans="4:17" s="479" customFormat="1" ht="12.75">
      <c r="D373" s="495"/>
      <c r="E373" s="496"/>
      <c r="N373" s="900"/>
      <c r="O373" s="900"/>
      <c r="P373" s="900"/>
      <c r="Q373" s="900"/>
    </row>
    <row r="374" spans="4:17" s="479" customFormat="1" ht="12.75">
      <c r="D374" s="495"/>
      <c r="E374" s="496"/>
      <c r="N374" s="900"/>
      <c r="O374" s="900"/>
      <c r="P374" s="900"/>
      <c r="Q374" s="900"/>
    </row>
    <row r="375" spans="4:17" s="479" customFormat="1" ht="12.75">
      <c r="D375" s="495"/>
      <c r="E375" s="496"/>
      <c r="N375" s="900"/>
      <c r="O375" s="900"/>
      <c r="P375" s="900"/>
      <c r="Q375" s="900"/>
    </row>
    <row r="376" spans="4:17" s="479" customFormat="1" ht="12.75">
      <c r="D376" s="495"/>
      <c r="E376" s="496"/>
      <c r="N376" s="900"/>
      <c r="O376" s="900"/>
      <c r="P376" s="900"/>
      <c r="Q376" s="900"/>
    </row>
    <row r="377" spans="4:17" s="479" customFormat="1" ht="12.75">
      <c r="D377" s="495"/>
      <c r="E377" s="496"/>
      <c r="N377" s="900"/>
      <c r="O377" s="900"/>
      <c r="P377" s="900"/>
      <c r="Q377" s="900"/>
    </row>
    <row r="378" spans="4:17" s="479" customFormat="1" ht="12.75">
      <c r="D378" s="495"/>
      <c r="E378" s="496"/>
      <c r="N378" s="900"/>
      <c r="O378" s="900"/>
      <c r="P378" s="900"/>
      <c r="Q378" s="900"/>
    </row>
    <row r="379" spans="4:17" s="479" customFormat="1" ht="12.75">
      <c r="D379" s="495"/>
      <c r="E379" s="496"/>
      <c r="N379" s="900"/>
      <c r="O379" s="900"/>
      <c r="P379" s="900"/>
      <c r="Q379" s="900"/>
    </row>
    <row r="380" spans="4:17" s="479" customFormat="1" ht="12.75">
      <c r="D380" s="495"/>
      <c r="E380" s="496"/>
      <c r="N380" s="900"/>
      <c r="O380" s="900"/>
      <c r="P380" s="900"/>
      <c r="Q380" s="900"/>
    </row>
    <row r="381" spans="4:17" s="479" customFormat="1" ht="12.75">
      <c r="D381" s="495"/>
      <c r="E381" s="496"/>
      <c r="N381" s="900"/>
      <c r="O381" s="900"/>
      <c r="P381" s="900"/>
      <c r="Q381" s="900"/>
    </row>
    <row r="382" spans="4:17" s="479" customFormat="1" ht="12.75">
      <c r="D382" s="495"/>
      <c r="E382" s="496"/>
      <c r="N382" s="900"/>
      <c r="O382" s="900"/>
      <c r="P382" s="900"/>
      <c r="Q382" s="900"/>
    </row>
    <row r="383" spans="4:17" s="479" customFormat="1" ht="12.75">
      <c r="D383" s="495"/>
      <c r="E383" s="496"/>
      <c r="N383" s="900"/>
      <c r="O383" s="900"/>
      <c r="P383" s="900"/>
      <c r="Q383" s="900"/>
    </row>
    <row r="384" spans="4:17" s="479" customFormat="1" ht="12.75">
      <c r="D384" s="495"/>
      <c r="E384" s="496"/>
      <c r="N384" s="900"/>
      <c r="O384" s="900"/>
      <c r="P384" s="900"/>
      <c r="Q384" s="900"/>
    </row>
    <row r="385" spans="4:17" s="479" customFormat="1" ht="12.75">
      <c r="D385" s="495"/>
      <c r="E385" s="496"/>
      <c r="N385" s="900"/>
      <c r="O385" s="900"/>
      <c r="P385" s="900"/>
      <c r="Q385" s="900"/>
    </row>
    <row r="386" spans="4:17" s="479" customFormat="1" ht="12.75">
      <c r="D386" s="495"/>
      <c r="E386" s="496"/>
      <c r="N386" s="900"/>
      <c r="O386" s="900"/>
      <c r="P386" s="900"/>
      <c r="Q386" s="900"/>
    </row>
    <row r="387" spans="4:17" s="479" customFormat="1" ht="12.75">
      <c r="D387" s="495"/>
      <c r="E387" s="496"/>
      <c r="N387" s="900"/>
      <c r="O387" s="900"/>
      <c r="P387" s="900"/>
      <c r="Q387" s="900"/>
    </row>
    <row r="388" spans="4:17" s="479" customFormat="1" ht="12.75">
      <c r="D388" s="495"/>
      <c r="E388" s="496"/>
      <c r="N388" s="900"/>
      <c r="O388" s="900"/>
      <c r="P388" s="900"/>
      <c r="Q388" s="900"/>
    </row>
    <row r="389" spans="4:17" s="479" customFormat="1" ht="12.75">
      <c r="D389" s="495"/>
      <c r="E389" s="496"/>
      <c r="N389" s="900"/>
      <c r="O389" s="900"/>
      <c r="P389" s="900"/>
      <c r="Q389" s="900"/>
    </row>
    <row r="390" spans="4:17" s="479" customFormat="1" ht="12.75">
      <c r="D390" s="495"/>
      <c r="E390" s="496"/>
      <c r="N390" s="900"/>
      <c r="O390" s="900"/>
      <c r="P390" s="900"/>
      <c r="Q390" s="900"/>
    </row>
    <row r="391" spans="4:17" s="479" customFormat="1" ht="12.75">
      <c r="D391" s="495"/>
      <c r="E391" s="496"/>
      <c r="N391" s="900"/>
      <c r="O391" s="900"/>
      <c r="P391" s="900"/>
      <c r="Q391" s="900"/>
    </row>
    <row r="392" spans="4:17" s="479" customFormat="1" ht="12.75">
      <c r="D392" s="495"/>
      <c r="E392" s="496"/>
      <c r="N392" s="900"/>
      <c r="O392" s="900"/>
      <c r="P392" s="900"/>
      <c r="Q392" s="900"/>
    </row>
    <row r="393" spans="4:17" s="479" customFormat="1" ht="12.75">
      <c r="D393" s="495"/>
      <c r="E393" s="496"/>
      <c r="N393" s="900"/>
      <c r="O393" s="900"/>
      <c r="P393" s="900"/>
      <c r="Q393" s="900"/>
    </row>
    <row r="394" spans="4:17" s="479" customFormat="1" ht="12.75">
      <c r="D394" s="495"/>
      <c r="E394" s="496"/>
      <c r="N394" s="900"/>
      <c r="O394" s="900"/>
      <c r="P394" s="900"/>
      <c r="Q394" s="900"/>
    </row>
    <row r="395" spans="4:17" s="479" customFormat="1" ht="12.75">
      <c r="D395" s="495"/>
      <c r="E395" s="496"/>
      <c r="N395" s="900"/>
      <c r="O395" s="900"/>
      <c r="P395" s="900"/>
      <c r="Q395" s="900"/>
    </row>
    <row r="396" spans="4:17" s="479" customFormat="1" ht="12.75">
      <c r="D396" s="495"/>
      <c r="E396" s="496"/>
      <c r="N396" s="900"/>
      <c r="O396" s="900"/>
      <c r="P396" s="900"/>
      <c r="Q396" s="900"/>
    </row>
    <row r="397" spans="4:17" s="479" customFormat="1" ht="12.75">
      <c r="D397" s="495"/>
      <c r="E397" s="496"/>
      <c r="N397" s="900"/>
      <c r="O397" s="900"/>
      <c r="P397" s="900"/>
      <c r="Q397" s="900"/>
    </row>
    <row r="398" spans="4:17" s="479" customFormat="1" ht="12.75">
      <c r="D398" s="495"/>
      <c r="E398" s="496"/>
      <c r="N398" s="900"/>
      <c r="O398" s="900"/>
      <c r="P398" s="900"/>
      <c r="Q398" s="900"/>
    </row>
    <row r="399" spans="4:17" s="479" customFormat="1" ht="12.75">
      <c r="D399" s="495"/>
      <c r="E399" s="496"/>
      <c r="N399" s="900"/>
      <c r="O399" s="900"/>
      <c r="P399" s="900"/>
      <c r="Q399" s="900"/>
    </row>
    <row r="400" spans="4:17" s="479" customFormat="1" ht="12.75">
      <c r="D400" s="495"/>
      <c r="E400" s="496"/>
      <c r="N400" s="900"/>
      <c r="O400" s="900"/>
      <c r="P400" s="900"/>
      <c r="Q400" s="900"/>
    </row>
    <row r="401" spans="4:17" s="479" customFormat="1" ht="12.75">
      <c r="D401" s="495"/>
      <c r="E401" s="496"/>
      <c r="N401" s="900"/>
      <c r="O401" s="900"/>
      <c r="P401" s="900"/>
      <c r="Q401" s="900"/>
    </row>
    <row r="402" spans="4:17" s="479" customFormat="1" ht="12.75">
      <c r="D402" s="495"/>
      <c r="E402" s="496"/>
      <c r="N402" s="900"/>
      <c r="O402" s="900"/>
      <c r="P402" s="900"/>
      <c r="Q402" s="900"/>
    </row>
    <row r="403" spans="4:17" s="479" customFormat="1" ht="12.75">
      <c r="D403" s="495"/>
      <c r="E403" s="496"/>
      <c r="N403" s="900"/>
      <c r="O403" s="900"/>
      <c r="P403" s="900"/>
      <c r="Q403" s="900"/>
    </row>
    <row r="404" spans="4:17" s="479" customFormat="1" ht="12.75">
      <c r="D404" s="495"/>
      <c r="E404" s="496"/>
      <c r="N404" s="900"/>
      <c r="O404" s="900"/>
      <c r="P404" s="900"/>
      <c r="Q404" s="900"/>
    </row>
    <row r="405" spans="4:17" s="479" customFormat="1" ht="12.75">
      <c r="D405" s="495"/>
      <c r="E405" s="496"/>
      <c r="N405" s="900"/>
      <c r="O405" s="900"/>
      <c r="P405" s="900"/>
      <c r="Q405" s="900"/>
    </row>
    <row r="406" spans="4:17" s="479" customFormat="1" ht="12.75">
      <c r="D406" s="495"/>
      <c r="E406" s="496"/>
      <c r="N406" s="900"/>
      <c r="O406" s="900"/>
      <c r="P406" s="900"/>
      <c r="Q406" s="900"/>
    </row>
    <row r="407" spans="4:17" s="479" customFormat="1" ht="12.75">
      <c r="D407" s="495"/>
      <c r="E407" s="496"/>
      <c r="N407" s="900"/>
      <c r="O407" s="900"/>
      <c r="P407" s="900"/>
      <c r="Q407" s="900"/>
    </row>
    <row r="408" spans="4:17" s="479" customFormat="1" ht="12.75">
      <c r="D408" s="495"/>
      <c r="E408" s="496"/>
      <c r="N408" s="900"/>
      <c r="O408" s="900"/>
      <c r="P408" s="900"/>
      <c r="Q408" s="900"/>
    </row>
    <row r="409" spans="4:17" s="479" customFormat="1" ht="12.75">
      <c r="D409" s="495"/>
      <c r="E409" s="496"/>
      <c r="N409" s="900"/>
      <c r="O409" s="900"/>
      <c r="P409" s="900"/>
      <c r="Q409" s="900"/>
    </row>
    <row r="410" spans="4:17" s="479" customFormat="1" ht="12.75">
      <c r="D410" s="495"/>
      <c r="E410" s="496"/>
      <c r="N410" s="900"/>
      <c r="O410" s="900"/>
      <c r="P410" s="900"/>
      <c r="Q410" s="900"/>
    </row>
    <row r="411" spans="4:17" s="479" customFormat="1" ht="12.75">
      <c r="D411" s="495"/>
      <c r="E411" s="496"/>
      <c r="N411" s="900"/>
      <c r="O411" s="900"/>
      <c r="P411" s="900"/>
      <c r="Q411" s="900"/>
    </row>
    <row r="412" spans="4:17" s="479" customFormat="1" ht="12.75">
      <c r="D412" s="495"/>
      <c r="E412" s="496"/>
      <c r="N412" s="900"/>
      <c r="O412" s="900"/>
      <c r="P412" s="900"/>
      <c r="Q412" s="900"/>
    </row>
    <row r="413" spans="4:17" s="479" customFormat="1" ht="12.75">
      <c r="D413" s="495"/>
      <c r="E413" s="496"/>
      <c r="N413" s="900"/>
      <c r="O413" s="900"/>
      <c r="P413" s="900"/>
      <c r="Q413" s="900"/>
    </row>
    <row r="414" spans="4:17" s="479" customFormat="1" ht="12.75">
      <c r="D414" s="495"/>
      <c r="E414" s="496"/>
      <c r="N414" s="900"/>
      <c r="O414" s="900"/>
      <c r="P414" s="900"/>
      <c r="Q414" s="900"/>
    </row>
    <row r="415" spans="4:17" s="479" customFormat="1" ht="12.75">
      <c r="D415" s="495"/>
      <c r="E415" s="496"/>
      <c r="N415" s="900"/>
      <c r="O415" s="900"/>
      <c r="P415" s="900"/>
      <c r="Q415" s="900"/>
    </row>
    <row r="416" spans="4:17" s="479" customFormat="1" ht="12.75">
      <c r="D416" s="495"/>
      <c r="E416" s="496"/>
      <c r="N416" s="900"/>
      <c r="O416" s="900"/>
      <c r="P416" s="900"/>
      <c r="Q416" s="900"/>
    </row>
    <row r="417" spans="4:17" s="479" customFormat="1" ht="12.75">
      <c r="D417" s="495"/>
      <c r="E417" s="496"/>
      <c r="N417" s="900"/>
      <c r="O417" s="900"/>
      <c r="P417" s="900"/>
      <c r="Q417" s="900"/>
    </row>
    <row r="418" spans="4:17" s="479" customFormat="1" ht="12.75">
      <c r="D418" s="495"/>
      <c r="E418" s="496"/>
      <c r="N418" s="900"/>
      <c r="O418" s="900"/>
      <c r="P418" s="900"/>
      <c r="Q418" s="900"/>
    </row>
    <row r="419" spans="4:17" s="479" customFormat="1" ht="12.75">
      <c r="D419" s="495"/>
      <c r="E419" s="496"/>
      <c r="N419" s="900"/>
      <c r="O419" s="900"/>
      <c r="P419" s="900"/>
      <c r="Q419" s="900"/>
    </row>
    <row r="420" spans="4:17" s="479" customFormat="1" ht="12.75">
      <c r="D420" s="495"/>
      <c r="E420" s="496"/>
      <c r="N420" s="900"/>
      <c r="O420" s="900"/>
      <c r="P420" s="900"/>
      <c r="Q420" s="900"/>
    </row>
    <row r="421" spans="4:17" s="479" customFormat="1" ht="12.75">
      <c r="D421" s="495"/>
      <c r="E421" s="496"/>
      <c r="N421" s="900"/>
      <c r="O421" s="900"/>
      <c r="P421" s="900"/>
      <c r="Q421" s="900"/>
    </row>
    <row r="422" spans="4:17" s="479" customFormat="1" ht="12.75">
      <c r="D422" s="495"/>
      <c r="E422" s="496"/>
      <c r="N422" s="900"/>
      <c r="O422" s="900"/>
      <c r="P422" s="900"/>
      <c r="Q422" s="900"/>
    </row>
    <row r="423" spans="4:17" s="479" customFormat="1" ht="12.75">
      <c r="D423" s="495"/>
      <c r="E423" s="496"/>
      <c r="N423" s="900"/>
      <c r="O423" s="900"/>
      <c r="P423" s="900"/>
      <c r="Q423" s="900"/>
    </row>
    <row r="424" spans="4:17" s="479" customFormat="1" ht="12.75">
      <c r="D424" s="495"/>
      <c r="E424" s="496"/>
      <c r="N424" s="900"/>
      <c r="O424" s="900"/>
      <c r="P424" s="900"/>
      <c r="Q424" s="900"/>
    </row>
    <row r="425" spans="4:17" s="479" customFormat="1" ht="12.75">
      <c r="D425" s="495"/>
      <c r="E425" s="496"/>
      <c r="N425" s="900"/>
      <c r="O425" s="900"/>
      <c r="P425" s="900"/>
      <c r="Q425" s="900"/>
    </row>
    <row r="426" spans="4:17" s="479" customFormat="1" ht="12.75">
      <c r="D426" s="495"/>
      <c r="E426" s="496"/>
      <c r="N426" s="900"/>
      <c r="O426" s="900"/>
      <c r="P426" s="900"/>
      <c r="Q426" s="900"/>
    </row>
    <row r="427" spans="4:17" s="479" customFormat="1" ht="12.75">
      <c r="D427" s="495"/>
      <c r="E427" s="496"/>
      <c r="N427" s="900"/>
      <c r="O427" s="900"/>
      <c r="P427" s="900"/>
      <c r="Q427" s="900"/>
    </row>
    <row r="428" spans="4:17" s="479" customFormat="1" ht="12.75">
      <c r="D428" s="495"/>
      <c r="E428" s="496"/>
      <c r="N428" s="900"/>
      <c r="O428" s="900"/>
      <c r="P428" s="900"/>
      <c r="Q428" s="900"/>
    </row>
    <row r="429" spans="4:17" s="479" customFormat="1" ht="12.75">
      <c r="D429" s="495"/>
      <c r="E429" s="496"/>
      <c r="N429" s="900"/>
      <c r="O429" s="900"/>
      <c r="P429" s="900"/>
      <c r="Q429" s="900"/>
    </row>
    <row r="430" spans="4:17" s="479" customFormat="1" ht="12.75">
      <c r="D430" s="495"/>
      <c r="E430" s="496"/>
      <c r="N430" s="900"/>
      <c r="O430" s="900"/>
      <c r="P430" s="900"/>
      <c r="Q430" s="900"/>
    </row>
    <row r="431" spans="4:17" s="479" customFormat="1" ht="12.75">
      <c r="D431" s="495"/>
      <c r="E431" s="496"/>
      <c r="N431" s="900"/>
      <c r="O431" s="900"/>
      <c r="P431" s="900"/>
      <c r="Q431" s="900"/>
    </row>
    <row r="432" spans="4:17" s="479" customFormat="1" ht="12.75">
      <c r="D432" s="495"/>
      <c r="E432" s="496"/>
      <c r="N432" s="900"/>
      <c r="O432" s="900"/>
      <c r="P432" s="900"/>
      <c r="Q432" s="900"/>
    </row>
    <row r="433" spans="4:17" s="479" customFormat="1" ht="12.75">
      <c r="D433" s="495"/>
      <c r="E433" s="496"/>
      <c r="N433" s="900"/>
      <c r="O433" s="900"/>
      <c r="P433" s="900"/>
      <c r="Q433" s="900"/>
    </row>
    <row r="434" spans="4:17" s="479" customFormat="1" ht="12.75">
      <c r="D434" s="495"/>
      <c r="E434" s="496"/>
      <c r="N434" s="900"/>
      <c r="O434" s="900"/>
      <c r="P434" s="900"/>
      <c r="Q434" s="900"/>
    </row>
    <row r="435" spans="4:17" s="479" customFormat="1" ht="12.75">
      <c r="D435" s="495"/>
      <c r="E435" s="496"/>
      <c r="N435" s="900"/>
      <c r="O435" s="900"/>
      <c r="P435" s="900"/>
      <c r="Q435" s="900"/>
    </row>
    <row r="436" spans="4:17" s="479" customFormat="1" ht="12.75">
      <c r="D436" s="495"/>
      <c r="E436" s="496"/>
      <c r="N436" s="900"/>
      <c r="O436" s="900"/>
      <c r="P436" s="900"/>
      <c r="Q436" s="900"/>
    </row>
    <row r="437" spans="4:17" s="479" customFormat="1" ht="12.75">
      <c r="D437" s="495"/>
      <c r="E437" s="496"/>
      <c r="N437" s="900"/>
      <c r="O437" s="900"/>
      <c r="P437" s="900"/>
      <c r="Q437" s="900"/>
    </row>
    <row r="438" spans="4:17" s="479" customFormat="1" ht="12.75">
      <c r="D438" s="495"/>
      <c r="E438" s="496"/>
      <c r="N438" s="900"/>
      <c r="O438" s="900"/>
      <c r="P438" s="900"/>
      <c r="Q438" s="900"/>
    </row>
    <row r="439" spans="4:17" s="479" customFormat="1" ht="12.75">
      <c r="D439" s="495"/>
      <c r="E439" s="496"/>
      <c r="N439" s="900"/>
      <c r="O439" s="900"/>
      <c r="P439" s="900"/>
      <c r="Q439" s="900"/>
    </row>
    <row r="440" spans="4:17" s="479" customFormat="1" ht="12.75">
      <c r="D440" s="495"/>
      <c r="E440" s="496"/>
      <c r="N440" s="900"/>
      <c r="O440" s="900"/>
      <c r="P440" s="900"/>
      <c r="Q440" s="900"/>
    </row>
    <row r="441" spans="4:17" s="479" customFormat="1" ht="12.75">
      <c r="D441" s="495"/>
      <c r="E441" s="496"/>
      <c r="N441" s="900"/>
      <c r="O441" s="900"/>
      <c r="P441" s="900"/>
      <c r="Q441" s="900"/>
    </row>
    <row r="442" spans="4:17" s="479" customFormat="1" ht="12.75">
      <c r="D442" s="495"/>
      <c r="E442" s="496"/>
      <c r="N442" s="900"/>
      <c r="O442" s="900"/>
      <c r="P442" s="900"/>
      <c r="Q442" s="900"/>
    </row>
    <row r="443" spans="4:17" s="479" customFormat="1" ht="12.75">
      <c r="D443" s="495"/>
      <c r="E443" s="496"/>
      <c r="N443" s="900"/>
      <c r="O443" s="900"/>
      <c r="P443" s="900"/>
      <c r="Q443" s="900"/>
    </row>
    <row r="444" spans="4:17" s="479" customFormat="1" ht="12.75">
      <c r="D444" s="495"/>
      <c r="E444" s="496"/>
      <c r="N444" s="900"/>
      <c r="O444" s="900"/>
      <c r="P444" s="900"/>
      <c r="Q444" s="900"/>
    </row>
    <row r="445" spans="4:17" s="479" customFormat="1" ht="12.75">
      <c r="D445" s="495"/>
      <c r="E445" s="496"/>
      <c r="N445" s="900"/>
      <c r="O445" s="900"/>
      <c r="P445" s="900"/>
      <c r="Q445" s="900"/>
    </row>
    <row r="446" spans="4:17" s="479" customFormat="1" ht="12.75">
      <c r="D446" s="495"/>
      <c r="E446" s="496"/>
      <c r="N446" s="900"/>
      <c r="O446" s="900"/>
      <c r="P446" s="900"/>
      <c r="Q446" s="900"/>
    </row>
    <row r="447" spans="4:17" s="479" customFormat="1" ht="12.75">
      <c r="D447" s="495"/>
      <c r="E447" s="496"/>
      <c r="N447" s="900"/>
      <c r="O447" s="900"/>
      <c r="P447" s="900"/>
      <c r="Q447" s="900"/>
    </row>
    <row r="448" spans="4:17" s="479" customFormat="1" ht="12.75">
      <c r="D448" s="495"/>
      <c r="E448" s="496"/>
      <c r="N448" s="900"/>
      <c r="O448" s="900"/>
      <c r="P448" s="900"/>
      <c r="Q448" s="900"/>
    </row>
    <row r="449" spans="4:17" s="479" customFormat="1" ht="12.75">
      <c r="D449" s="495"/>
      <c r="E449" s="496"/>
      <c r="N449" s="900"/>
      <c r="O449" s="900"/>
      <c r="P449" s="900"/>
      <c r="Q449" s="900"/>
    </row>
    <row r="450" spans="4:17" s="479" customFormat="1" ht="12.75">
      <c r="D450" s="495"/>
      <c r="E450" s="496"/>
      <c r="N450" s="900"/>
      <c r="O450" s="900"/>
      <c r="P450" s="900"/>
      <c r="Q450" s="900"/>
    </row>
    <row r="451" spans="4:17" s="479" customFormat="1" ht="12.75">
      <c r="D451" s="495"/>
      <c r="E451" s="496"/>
      <c r="N451" s="900"/>
      <c r="O451" s="900"/>
      <c r="P451" s="900"/>
      <c r="Q451" s="900"/>
    </row>
    <row r="452" spans="4:17" s="479" customFormat="1" ht="12.75">
      <c r="D452" s="495"/>
      <c r="E452" s="496"/>
      <c r="N452" s="900"/>
      <c r="O452" s="900"/>
      <c r="P452" s="900"/>
      <c r="Q452" s="900"/>
    </row>
    <row r="453" spans="4:17" s="479" customFormat="1" ht="12.75">
      <c r="D453" s="495"/>
      <c r="E453" s="496"/>
      <c r="N453" s="900"/>
      <c r="O453" s="900"/>
      <c r="P453" s="900"/>
      <c r="Q453" s="900"/>
    </row>
    <row r="454" spans="4:17" s="479" customFormat="1" ht="12.75">
      <c r="D454" s="495"/>
      <c r="E454" s="496"/>
      <c r="N454" s="900"/>
      <c r="O454" s="900"/>
      <c r="P454" s="900"/>
      <c r="Q454" s="900"/>
    </row>
    <row r="455" spans="4:17" s="479" customFormat="1" ht="12.75">
      <c r="D455" s="495"/>
      <c r="E455" s="496"/>
      <c r="N455" s="900"/>
      <c r="O455" s="900"/>
      <c r="P455" s="900"/>
      <c r="Q455" s="900"/>
    </row>
    <row r="456" spans="4:17" s="479" customFormat="1" ht="12.75">
      <c r="D456" s="495"/>
      <c r="E456" s="496"/>
      <c r="N456" s="900"/>
      <c r="O456" s="900"/>
      <c r="P456" s="900"/>
      <c r="Q456" s="900"/>
    </row>
    <row r="457" spans="4:17" s="479" customFormat="1" ht="12.75">
      <c r="D457" s="495"/>
      <c r="E457" s="496"/>
      <c r="N457" s="900"/>
      <c r="O457" s="900"/>
      <c r="P457" s="900"/>
      <c r="Q457" s="900"/>
    </row>
    <row r="458" spans="4:17" s="479" customFormat="1" ht="12.75">
      <c r="D458" s="495"/>
      <c r="E458" s="496"/>
      <c r="N458" s="900"/>
      <c r="O458" s="900"/>
      <c r="P458" s="900"/>
      <c r="Q458" s="900"/>
    </row>
    <row r="459" spans="4:17" s="479" customFormat="1" ht="12.75">
      <c r="D459" s="495"/>
      <c r="E459" s="496"/>
      <c r="N459" s="900"/>
      <c r="O459" s="900"/>
      <c r="P459" s="900"/>
      <c r="Q459" s="900"/>
    </row>
    <row r="460" spans="4:17" s="479" customFormat="1" ht="12.75">
      <c r="D460" s="495"/>
      <c r="E460" s="496"/>
      <c r="N460" s="900"/>
      <c r="O460" s="900"/>
      <c r="P460" s="900"/>
      <c r="Q460" s="900"/>
    </row>
    <row r="461" spans="4:17" s="479" customFormat="1" ht="12.75">
      <c r="D461" s="495"/>
      <c r="E461" s="496"/>
      <c r="N461" s="900"/>
      <c r="O461" s="900"/>
      <c r="P461" s="900"/>
      <c r="Q461" s="900"/>
    </row>
    <row r="462" spans="4:17" s="479" customFormat="1" ht="12.75">
      <c r="D462" s="495"/>
      <c r="E462" s="496"/>
      <c r="N462" s="900"/>
      <c r="O462" s="900"/>
      <c r="P462" s="900"/>
      <c r="Q462" s="900"/>
    </row>
    <row r="463" spans="4:17" s="479" customFormat="1" ht="12.75">
      <c r="D463" s="495"/>
      <c r="E463" s="496"/>
      <c r="N463" s="900"/>
      <c r="O463" s="900"/>
      <c r="P463" s="900"/>
      <c r="Q463" s="900"/>
    </row>
    <row r="464" spans="4:17" s="479" customFormat="1" ht="12.75">
      <c r="D464" s="495"/>
      <c r="E464" s="496"/>
      <c r="N464" s="900"/>
      <c r="O464" s="900"/>
      <c r="P464" s="900"/>
      <c r="Q464" s="900"/>
    </row>
    <row r="465" spans="4:17" s="479" customFormat="1" ht="12.75">
      <c r="D465" s="495"/>
      <c r="E465" s="496"/>
      <c r="N465" s="900"/>
      <c r="O465" s="900"/>
      <c r="P465" s="900"/>
      <c r="Q465" s="900"/>
    </row>
    <row r="466" spans="4:17" s="479" customFormat="1" ht="12.75">
      <c r="D466" s="495"/>
      <c r="E466" s="496"/>
      <c r="N466" s="900"/>
      <c r="O466" s="900"/>
      <c r="P466" s="900"/>
      <c r="Q466" s="900"/>
    </row>
    <row r="467" spans="4:17" s="479" customFormat="1" ht="12.75">
      <c r="D467" s="495"/>
      <c r="E467" s="496"/>
      <c r="N467" s="900"/>
      <c r="O467" s="900"/>
      <c r="P467" s="900"/>
      <c r="Q467" s="900"/>
    </row>
    <row r="468" spans="4:17" s="479" customFormat="1" ht="12.75">
      <c r="D468" s="495"/>
      <c r="E468" s="496"/>
      <c r="N468" s="900"/>
      <c r="O468" s="900"/>
      <c r="P468" s="900"/>
      <c r="Q468" s="900"/>
    </row>
    <row r="469" spans="4:17" s="479" customFormat="1" ht="12.75">
      <c r="D469" s="495"/>
      <c r="E469" s="496"/>
      <c r="N469" s="900"/>
      <c r="O469" s="900"/>
      <c r="P469" s="900"/>
      <c r="Q469" s="900"/>
    </row>
    <row r="470" spans="4:17" s="479" customFormat="1" ht="12.75">
      <c r="D470" s="495"/>
      <c r="E470" s="496"/>
      <c r="N470" s="900"/>
      <c r="O470" s="900"/>
      <c r="P470" s="900"/>
      <c r="Q470" s="900"/>
    </row>
    <row r="471" spans="4:17" s="479" customFormat="1" ht="12.75">
      <c r="D471" s="495"/>
      <c r="E471" s="496"/>
      <c r="N471" s="900"/>
      <c r="O471" s="900"/>
      <c r="P471" s="900"/>
      <c r="Q471" s="900"/>
    </row>
    <row r="472" spans="4:17" s="479" customFormat="1" ht="12.75">
      <c r="D472" s="495"/>
      <c r="E472" s="496"/>
      <c r="N472" s="900"/>
      <c r="O472" s="900"/>
      <c r="P472" s="900"/>
      <c r="Q472" s="900"/>
    </row>
    <row r="473" spans="4:17" s="479" customFormat="1" ht="12.75">
      <c r="D473" s="495"/>
      <c r="E473" s="496"/>
      <c r="N473" s="900"/>
      <c r="O473" s="900"/>
      <c r="P473" s="900"/>
      <c r="Q473" s="900"/>
    </row>
    <row r="474" spans="4:17" s="479" customFormat="1" ht="12.75">
      <c r="D474" s="495"/>
      <c r="E474" s="496"/>
      <c r="N474" s="900"/>
      <c r="O474" s="900"/>
      <c r="P474" s="900"/>
      <c r="Q474" s="900"/>
    </row>
    <row r="475" spans="4:17" s="479" customFormat="1" ht="12.75">
      <c r="D475" s="495"/>
      <c r="E475" s="496"/>
      <c r="N475" s="900"/>
      <c r="O475" s="900"/>
      <c r="P475" s="900"/>
      <c r="Q475" s="900"/>
    </row>
    <row r="476" spans="4:17" s="479" customFormat="1" ht="12.75">
      <c r="D476" s="495"/>
      <c r="E476" s="496"/>
      <c r="N476" s="900"/>
      <c r="O476" s="900"/>
      <c r="P476" s="900"/>
      <c r="Q476" s="900"/>
    </row>
    <row r="477" spans="4:17" s="479" customFormat="1" ht="12.75">
      <c r="D477" s="495"/>
      <c r="E477" s="496"/>
      <c r="N477" s="900"/>
      <c r="O477" s="900"/>
      <c r="P477" s="900"/>
      <c r="Q477" s="900"/>
    </row>
    <row r="478" spans="4:17" s="479" customFormat="1" ht="12.75">
      <c r="D478" s="495"/>
      <c r="E478" s="496"/>
      <c r="N478" s="900"/>
      <c r="O478" s="900"/>
      <c r="P478" s="900"/>
      <c r="Q478" s="900"/>
    </row>
    <row r="479" spans="4:17" s="479" customFormat="1" ht="12.75">
      <c r="D479" s="495"/>
      <c r="E479" s="496"/>
      <c r="N479" s="900"/>
      <c r="O479" s="900"/>
      <c r="P479" s="900"/>
      <c r="Q479" s="900"/>
    </row>
    <row r="480" spans="4:17" s="479" customFormat="1" ht="12.75">
      <c r="D480" s="495"/>
      <c r="E480" s="496"/>
      <c r="N480" s="900"/>
      <c r="O480" s="900"/>
      <c r="P480" s="900"/>
      <c r="Q480" s="900"/>
    </row>
    <row r="481" spans="4:17" s="479" customFormat="1" ht="12.75">
      <c r="D481" s="495"/>
      <c r="E481" s="496"/>
      <c r="N481" s="900"/>
      <c r="O481" s="900"/>
      <c r="P481" s="900"/>
      <c r="Q481" s="900"/>
    </row>
    <row r="482" spans="4:17" s="479" customFormat="1" ht="12.75">
      <c r="D482" s="495"/>
      <c r="E482" s="496"/>
      <c r="N482" s="900"/>
      <c r="O482" s="900"/>
      <c r="P482" s="900"/>
      <c r="Q482" s="900"/>
    </row>
    <row r="483" spans="4:17" s="479" customFormat="1" ht="12.75">
      <c r="D483" s="495"/>
      <c r="E483" s="496"/>
      <c r="N483" s="900"/>
      <c r="O483" s="900"/>
      <c r="P483" s="900"/>
      <c r="Q483" s="900"/>
    </row>
    <row r="484" spans="4:17" s="479" customFormat="1" ht="12.75">
      <c r="D484" s="495"/>
      <c r="E484" s="496"/>
      <c r="N484" s="900"/>
      <c r="O484" s="900"/>
      <c r="P484" s="900"/>
      <c r="Q484" s="900"/>
    </row>
    <row r="485" spans="4:17" s="479" customFormat="1" ht="12.75">
      <c r="D485" s="495"/>
      <c r="E485" s="496"/>
      <c r="N485" s="900"/>
      <c r="O485" s="900"/>
      <c r="P485" s="900"/>
      <c r="Q485" s="900"/>
    </row>
    <row r="486" spans="4:17" s="479" customFormat="1" ht="12.75">
      <c r="D486" s="495"/>
      <c r="E486" s="496"/>
      <c r="N486" s="900"/>
      <c r="O486" s="900"/>
      <c r="P486" s="900"/>
      <c r="Q486" s="900"/>
    </row>
    <row r="487" spans="4:17" s="479" customFormat="1" ht="12.75">
      <c r="D487" s="495"/>
      <c r="E487" s="496"/>
      <c r="N487" s="900"/>
      <c r="O487" s="900"/>
      <c r="P487" s="900"/>
      <c r="Q487" s="900"/>
    </row>
    <row r="488" spans="4:17" s="479" customFormat="1" ht="12.75">
      <c r="D488" s="495"/>
      <c r="E488" s="496"/>
      <c r="N488" s="900"/>
      <c r="O488" s="900"/>
      <c r="P488" s="900"/>
      <c r="Q488" s="900"/>
    </row>
    <row r="489" spans="4:17" s="479" customFormat="1" ht="12.75">
      <c r="D489" s="495"/>
      <c r="E489" s="496"/>
      <c r="N489" s="900"/>
      <c r="O489" s="900"/>
      <c r="P489" s="900"/>
      <c r="Q489" s="900"/>
    </row>
    <row r="490" spans="4:17" s="479" customFormat="1" ht="12.75">
      <c r="D490" s="495"/>
      <c r="E490" s="496"/>
      <c r="N490" s="900"/>
      <c r="O490" s="900"/>
      <c r="P490" s="900"/>
      <c r="Q490" s="900"/>
    </row>
    <row r="491" spans="4:17" s="479" customFormat="1" ht="12.75">
      <c r="D491" s="495"/>
      <c r="E491" s="496"/>
      <c r="N491" s="900"/>
      <c r="O491" s="900"/>
      <c r="P491" s="900"/>
      <c r="Q491" s="900"/>
    </row>
    <row r="492" spans="4:17" s="479" customFormat="1" ht="12.75">
      <c r="D492" s="495"/>
      <c r="E492" s="496"/>
      <c r="N492" s="900"/>
      <c r="O492" s="900"/>
      <c r="P492" s="900"/>
      <c r="Q492" s="900"/>
    </row>
    <row r="493" spans="4:17" s="479" customFormat="1" ht="12.75">
      <c r="D493" s="495"/>
      <c r="E493" s="496"/>
      <c r="N493" s="900"/>
      <c r="O493" s="900"/>
      <c r="P493" s="900"/>
      <c r="Q493" s="900"/>
    </row>
    <row r="494" spans="4:17" s="479" customFormat="1" ht="12.75">
      <c r="D494" s="495"/>
      <c r="E494" s="496"/>
      <c r="N494" s="900"/>
      <c r="O494" s="900"/>
      <c r="P494" s="900"/>
      <c r="Q494" s="900"/>
    </row>
    <row r="495" spans="4:17" s="479" customFormat="1" ht="12.75">
      <c r="D495" s="495"/>
      <c r="E495" s="496"/>
      <c r="N495" s="900"/>
      <c r="O495" s="900"/>
      <c r="P495" s="900"/>
      <c r="Q495" s="900"/>
    </row>
    <row r="496" spans="4:17" s="479" customFormat="1" ht="12.75">
      <c r="D496" s="495"/>
      <c r="E496" s="496"/>
      <c r="N496" s="900"/>
      <c r="O496" s="900"/>
      <c r="P496" s="900"/>
      <c r="Q496" s="900"/>
    </row>
    <row r="497" spans="4:17" s="479" customFormat="1" ht="12.75">
      <c r="D497" s="495"/>
      <c r="E497" s="496"/>
      <c r="N497" s="900"/>
      <c r="O497" s="900"/>
      <c r="P497" s="900"/>
      <c r="Q497" s="900"/>
    </row>
    <row r="498" spans="4:17" s="479" customFormat="1" ht="12.75">
      <c r="D498" s="495"/>
      <c r="E498" s="496"/>
      <c r="N498" s="900"/>
      <c r="O498" s="900"/>
      <c r="P498" s="900"/>
      <c r="Q498" s="900"/>
    </row>
    <row r="499" spans="4:17" s="479" customFormat="1" ht="12.75">
      <c r="D499" s="495"/>
      <c r="E499" s="496"/>
      <c r="N499" s="900"/>
      <c r="O499" s="900"/>
      <c r="P499" s="900"/>
      <c r="Q499" s="900"/>
    </row>
    <row r="500" spans="4:17" s="479" customFormat="1" ht="12.75">
      <c r="D500" s="495"/>
      <c r="E500" s="496"/>
      <c r="N500" s="900"/>
      <c r="O500" s="900"/>
      <c r="P500" s="900"/>
      <c r="Q500" s="900"/>
    </row>
    <row r="501" spans="4:17" s="479" customFormat="1" ht="12.75">
      <c r="D501" s="495"/>
      <c r="E501" s="496"/>
      <c r="N501" s="900"/>
      <c r="O501" s="900"/>
      <c r="P501" s="900"/>
      <c r="Q501" s="900"/>
    </row>
    <row r="502" spans="4:17" s="479" customFormat="1" ht="12.75">
      <c r="D502" s="495"/>
      <c r="E502" s="496"/>
      <c r="N502" s="900"/>
      <c r="O502" s="900"/>
      <c r="P502" s="900"/>
      <c r="Q502" s="900"/>
    </row>
    <row r="503" spans="4:17" s="479" customFormat="1" ht="12.75">
      <c r="D503" s="495"/>
      <c r="E503" s="496"/>
      <c r="N503" s="900"/>
      <c r="O503" s="900"/>
      <c r="P503" s="900"/>
      <c r="Q503" s="900"/>
    </row>
    <row r="504" spans="4:17" s="479" customFormat="1" ht="12.75">
      <c r="D504" s="495"/>
      <c r="E504" s="496"/>
      <c r="N504" s="900"/>
      <c r="O504" s="900"/>
      <c r="P504" s="900"/>
      <c r="Q504" s="900"/>
    </row>
    <row r="505" spans="4:17" s="479" customFormat="1" ht="12.75">
      <c r="D505" s="495"/>
      <c r="E505" s="496"/>
      <c r="N505" s="900"/>
      <c r="O505" s="900"/>
      <c r="P505" s="900"/>
      <c r="Q505" s="900"/>
    </row>
    <row r="506" spans="4:17" s="479" customFormat="1" ht="12.75">
      <c r="D506" s="495"/>
      <c r="E506" s="496"/>
      <c r="N506" s="900"/>
      <c r="O506" s="900"/>
      <c r="P506" s="900"/>
      <c r="Q506" s="900"/>
    </row>
    <row r="507" spans="4:17" s="479" customFormat="1" ht="12.75">
      <c r="D507" s="495"/>
      <c r="E507" s="496"/>
      <c r="N507" s="900"/>
      <c r="O507" s="900"/>
      <c r="P507" s="900"/>
      <c r="Q507" s="900"/>
    </row>
    <row r="508" spans="4:17" s="479" customFormat="1" ht="12.75">
      <c r="D508" s="495"/>
      <c r="E508" s="496"/>
      <c r="N508" s="900"/>
      <c r="O508" s="900"/>
      <c r="P508" s="900"/>
      <c r="Q508" s="900"/>
    </row>
    <row r="509" spans="4:17" s="479" customFormat="1" ht="12.75">
      <c r="D509" s="495"/>
      <c r="E509" s="496"/>
      <c r="N509" s="900"/>
      <c r="O509" s="900"/>
      <c r="P509" s="900"/>
      <c r="Q509" s="900"/>
    </row>
    <row r="510" spans="4:17" s="479" customFormat="1" ht="12.75">
      <c r="D510" s="495"/>
      <c r="E510" s="496"/>
      <c r="N510" s="900"/>
      <c r="O510" s="900"/>
      <c r="P510" s="900"/>
      <c r="Q510" s="900"/>
    </row>
    <row r="511" spans="4:17" s="479" customFormat="1" ht="12.75">
      <c r="D511" s="495"/>
      <c r="E511" s="496"/>
      <c r="N511" s="900"/>
      <c r="O511" s="900"/>
      <c r="P511" s="900"/>
      <c r="Q511" s="900"/>
    </row>
    <row r="512" spans="4:17" s="479" customFormat="1" ht="12.75">
      <c r="D512" s="495"/>
      <c r="E512" s="496"/>
      <c r="N512" s="900"/>
      <c r="O512" s="900"/>
      <c r="P512" s="900"/>
      <c r="Q512" s="900"/>
    </row>
    <row r="513" spans="4:17" s="479" customFormat="1" ht="12.75">
      <c r="D513" s="495"/>
      <c r="E513" s="496"/>
      <c r="N513" s="900"/>
      <c r="O513" s="900"/>
      <c r="P513" s="900"/>
      <c r="Q513" s="900"/>
    </row>
    <row r="514" spans="4:17" s="479" customFormat="1" ht="12.75">
      <c r="D514" s="495"/>
      <c r="E514" s="496"/>
      <c r="N514" s="900"/>
      <c r="O514" s="900"/>
      <c r="P514" s="900"/>
      <c r="Q514" s="900"/>
    </row>
    <row r="515" spans="4:17" s="479" customFormat="1" ht="12.75">
      <c r="D515" s="495"/>
      <c r="E515" s="496"/>
      <c r="N515" s="900"/>
      <c r="O515" s="900"/>
      <c r="P515" s="900"/>
      <c r="Q515" s="900"/>
    </row>
    <row r="516" spans="4:17" s="479" customFormat="1" ht="12.75">
      <c r="D516" s="495"/>
      <c r="E516" s="496"/>
      <c r="N516" s="900"/>
      <c r="O516" s="900"/>
      <c r="P516" s="900"/>
      <c r="Q516" s="900"/>
    </row>
    <row r="517" spans="4:17" s="479" customFormat="1" ht="12.75">
      <c r="D517" s="495"/>
      <c r="E517" s="496"/>
      <c r="N517" s="900"/>
      <c r="O517" s="900"/>
      <c r="P517" s="900"/>
      <c r="Q517" s="900"/>
    </row>
    <row r="518" spans="4:17" s="479" customFormat="1" ht="12.75">
      <c r="D518" s="495"/>
      <c r="E518" s="496"/>
      <c r="N518" s="900"/>
      <c r="O518" s="900"/>
      <c r="P518" s="900"/>
      <c r="Q518" s="900"/>
    </row>
    <row r="519" spans="4:17" s="479" customFormat="1" ht="12.75">
      <c r="D519" s="495"/>
      <c r="E519" s="496"/>
      <c r="N519" s="900"/>
      <c r="O519" s="900"/>
      <c r="P519" s="900"/>
      <c r="Q519" s="900"/>
    </row>
    <row r="520" spans="4:17" s="479" customFormat="1" ht="12.75">
      <c r="D520" s="495"/>
      <c r="E520" s="496"/>
      <c r="N520" s="900"/>
      <c r="O520" s="900"/>
      <c r="P520" s="900"/>
      <c r="Q520" s="900"/>
    </row>
    <row r="521" spans="4:17" s="479" customFormat="1" ht="12.75">
      <c r="D521" s="495"/>
      <c r="E521" s="496"/>
      <c r="N521" s="900"/>
      <c r="O521" s="900"/>
      <c r="P521" s="900"/>
      <c r="Q521" s="900"/>
    </row>
    <row r="522" spans="4:17" s="479" customFormat="1" ht="12.75">
      <c r="D522" s="495"/>
      <c r="E522" s="496"/>
      <c r="N522" s="900"/>
      <c r="O522" s="900"/>
      <c r="P522" s="900"/>
      <c r="Q522" s="900"/>
    </row>
    <row r="523" spans="4:17" s="479" customFormat="1" ht="12.75">
      <c r="D523" s="495"/>
      <c r="E523" s="496"/>
      <c r="N523" s="900"/>
      <c r="O523" s="900"/>
      <c r="P523" s="900"/>
      <c r="Q523" s="900"/>
    </row>
    <row r="524" spans="4:17" s="479" customFormat="1" ht="12.75">
      <c r="D524" s="495"/>
      <c r="E524" s="496"/>
      <c r="N524" s="900"/>
      <c r="O524" s="900"/>
      <c r="P524" s="900"/>
      <c r="Q524" s="900"/>
    </row>
    <row r="525" spans="4:17" s="479" customFormat="1" ht="12.75">
      <c r="D525" s="495"/>
      <c r="E525" s="496"/>
      <c r="N525" s="900"/>
      <c r="O525" s="900"/>
      <c r="P525" s="900"/>
      <c r="Q525" s="900"/>
    </row>
    <row r="526" spans="4:17" s="479" customFormat="1" ht="12.75">
      <c r="D526" s="495"/>
      <c r="E526" s="496"/>
      <c r="N526" s="900"/>
      <c r="O526" s="900"/>
      <c r="P526" s="900"/>
      <c r="Q526" s="900"/>
    </row>
    <row r="527" spans="4:17" s="479" customFormat="1" ht="12.75">
      <c r="D527" s="495"/>
      <c r="E527" s="496"/>
      <c r="N527" s="900"/>
      <c r="O527" s="900"/>
      <c r="P527" s="900"/>
      <c r="Q527" s="900"/>
    </row>
    <row r="528" spans="4:17" s="479" customFormat="1" ht="12.75">
      <c r="D528" s="495"/>
      <c r="E528" s="496"/>
      <c r="N528" s="900"/>
      <c r="O528" s="900"/>
      <c r="P528" s="900"/>
      <c r="Q528" s="900"/>
    </row>
    <row r="529" spans="4:17" s="479" customFormat="1" ht="12.75">
      <c r="D529" s="495"/>
      <c r="E529" s="496"/>
      <c r="N529" s="900"/>
      <c r="O529" s="900"/>
      <c r="P529" s="900"/>
      <c r="Q529" s="900"/>
    </row>
    <row r="530" spans="4:17" s="479" customFormat="1" ht="12.75">
      <c r="D530" s="495"/>
      <c r="E530" s="496"/>
      <c r="N530" s="900"/>
      <c r="O530" s="900"/>
      <c r="P530" s="900"/>
      <c r="Q530" s="900"/>
    </row>
    <row r="531" spans="4:17" s="479" customFormat="1" ht="12.75">
      <c r="D531" s="495"/>
      <c r="E531" s="496"/>
      <c r="N531" s="900"/>
      <c r="O531" s="900"/>
      <c r="P531" s="900"/>
      <c r="Q531" s="900"/>
    </row>
    <row r="532" spans="4:17" s="479" customFormat="1" ht="12.75">
      <c r="D532" s="495"/>
      <c r="E532" s="496"/>
      <c r="N532" s="900"/>
      <c r="O532" s="900"/>
      <c r="P532" s="900"/>
      <c r="Q532" s="900"/>
    </row>
    <row r="533" spans="4:17" s="479" customFormat="1" ht="12.75">
      <c r="D533" s="495"/>
      <c r="E533" s="496"/>
      <c r="N533" s="900"/>
      <c r="O533" s="900"/>
      <c r="P533" s="900"/>
      <c r="Q533" s="900"/>
    </row>
    <row r="534" spans="4:17" s="479" customFormat="1" ht="12.75">
      <c r="D534" s="495"/>
      <c r="E534" s="496"/>
      <c r="N534" s="900"/>
      <c r="O534" s="900"/>
      <c r="P534" s="900"/>
      <c r="Q534" s="900"/>
    </row>
    <row r="535" spans="4:17" s="479" customFormat="1" ht="12.75">
      <c r="D535" s="495"/>
      <c r="E535" s="496"/>
      <c r="N535" s="900"/>
      <c r="O535" s="900"/>
      <c r="P535" s="900"/>
      <c r="Q535" s="900"/>
    </row>
    <row r="536" spans="4:17" s="479" customFormat="1" ht="12.75">
      <c r="D536" s="495"/>
      <c r="E536" s="496"/>
      <c r="N536" s="900"/>
      <c r="O536" s="900"/>
      <c r="P536" s="900"/>
      <c r="Q536" s="900"/>
    </row>
    <row r="537" spans="4:17" s="479" customFormat="1" ht="12.75">
      <c r="D537" s="495"/>
      <c r="E537" s="496"/>
      <c r="N537" s="900"/>
      <c r="O537" s="900"/>
      <c r="P537" s="900"/>
      <c r="Q537" s="900"/>
    </row>
    <row r="538" spans="4:17" s="479" customFormat="1" ht="12.75">
      <c r="D538" s="495"/>
      <c r="E538" s="496"/>
      <c r="N538" s="900"/>
      <c r="O538" s="900"/>
      <c r="P538" s="900"/>
      <c r="Q538" s="900"/>
    </row>
    <row r="539" spans="4:17" s="479" customFormat="1" ht="12.75">
      <c r="D539" s="495"/>
      <c r="E539" s="496"/>
      <c r="N539" s="900"/>
      <c r="O539" s="900"/>
      <c r="P539" s="900"/>
      <c r="Q539" s="900"/>
    </row>
    <row r="540" spans="4:17" s="479" customFormat="1" ht="12.75">
      <c r="D540" s="495"/>
      <c r="E540" s="496"/>
      <c r="N540" s="900"/>
      <c r="O540" s="900"/>
      <c r="P540" s="900"/>
      <c r="Q540" s="900"/>
    </row>
    <row r="541" spans="4:17" s="479" customFormat="1" ht="12.75">
      <c r="D541" s="495"/>
      <c r="E541" s="496"/>
      <c r="N541" s="900"/>
      <c r="O541" s="900"/>
      <c r="P541" s="900"/>
      <c r="Q541" s="900"/>
    </row>
    <row r="542" spans="4:17" s="479" customFormat="1" ht="12.75">
      <c r="D542" s="495"/>
      <c r="E542" s="496"/>
      <c r="N542" s="900"/>
      <c r="O542" s="900"/>
      <c r="P542" s="900"/>
      <c r="Q542" s="900"/>
    </row>
    <row r="543" spans="4:17" s="479" customFormat="1" ht="12.75">
      <c r="D543" s="495"/>
      <c r="E543" s="496"/>
      <c r="N543" s="900"/>
      <c r="O543" s="900"/>
      <c r="P543" s="900"/>
      <c r="Q543" s="900"/>
    </row>
    <row r="544" spans="4:17" s="479" customFormat="1" ht="12.75">
      <c r="D544" s="495"/>
      <c r="E544" s="496"/>
      <c r="N544" s="900"/>
      <c r="O544" s="900"/>
      <c r="P544" s="900"/>
      <c r="Q544" s="900"/>
    </row>
    <row r="545" spans="4:17" s="479" customFormat="1" ht="12.75">
      <c r="D545" s="495"/>
      <c r="E545" s="496"/>
      <c r="N545" s="900"/>
      <c r="O545" s="900"/>
      <c r="P545" s="900"/>
      <c r="Q545" s="900"/>
    </row>
    <row r="546" spans="4:17" s="479" customFormat="1" ht="12.75">
      <c r="D546" s="495"/>
      <c r="E546" s="496"/>
      <c r="N546" s="900"/>
      <c r="O546" s="900"/>
      <c r="P546" s="900"/>
      <c r="Q546" s="900"/>
    </row>
    <row r="547" spans="4:17" s="479" customFormat="1" ht="12.75">
      <c r="D547" s="495"/>
      <c r="E547" s="496"/>
      <c r="N547" s="900"/>
      <c r="O547" s="900"/>
      <c r="P547" s="900"/>
      <c r="Q547" s="900"/>
    </row>
    <row r="548" spans="4:17" s="479" customFormat="1" ht="12.75">
      <c r="D548" s="495"/>
      <c r="E548" s="496"/>
      <c r="N548" s="900"/>
      <c r="O548" s="900"/>
      <c r="P548" s="900"/>
      <c r="Q548" s="900"/>
    </row>
    <row r="549" spans="4:17" s="479" customFormat="1" ht="12.75">
      <c r="D549" s="495"/>
      <c r="E549" s="496"/>
      <c r="N549" s="900"/>
      <c r="O549" s="900"/>
      <c r="P549" s="900"/>
      <c r="Q549" s="900"/>
    </row>
    <row r="550" spans="4:17" s="479" customFormat="1" ht="12.75">
      <c r="D550" s="495"/>
      <c r="E550" s="496"/>
      <c r="N550" s="900"/>
      <c r="O550" s="900"/>
      <c r="P550" s="900"/>
      <c r="Q550" s="900"/>
    </row>
    <row r="551" spans="1:17" s="479" customFormat="1" ht="12.75">
      <c r="A551" s="503"/>
      <c r="B551" s="503"/>
      <c r="C551" s="503"/>
      <c r="D551" s="504"/>
      <c r="E551" s="505"/>
      <c r="N551" s="900"/>
      <c r="O551" s="900"/>
      <c r="P551" s="900"/>
      <c r="Q551" s="900"/>
    </row>
    <row r="552" spans="1:17" s="479" customFormat="1" ht="12.75">
      <c r="A552" s="503"/>
      <c r="B552" s="503"/>
      <c r="C552" s="503"/>
      <c r="D552" s="504"/>
      <c r="E552" s="505"/>
      <c r="N552" s="900"/>
      <c r="O552" s="900"/>
      <c r="P552" s="900"/>
      <c r="Q552" s="900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rgb="FFFFFF00"/>
    <pageSetUpPr fitToPage="1"/>
  </sheetPr>
  <dimension ref="A1:G569"/>
  <sheetViews>
    <sheetView showGridLines="0" zoomScale="85" zoomScaleNormal="85" zoomScalePageLayoutView="0" workbookViewId="0" topLeftCell="A1">
      <selection activeCell="B4" sqref="B4"/>
    </sheetView>
  </sheetViews>
  <sheetFormatPr defaultColWidth="10.7109375" defaultRowHeight="12.75"/>
  <cols>
    <col min="1" max="1" width="54.28125" style="503" customWidth="1"/>
    <col min="2" max="2" width="18.140625" style="503" customWidth="1"/>
    <col min="3" max="3" width="17.421875" style="503" customWidth="1"/>
    <col min="4" max="4" width="18.140625" style="503" customWidth="1"/>
    <col min="5" max="5" width="2.421875" style="506" customWidth="1"/>
    <col min="6" max="6" width="10.7109375" style="503" customWidth="1"/>
    <col min="7" max="7" width="11.7109375" style="503" bestFit="1" customWidth="1"/>
    <col min="8" max="16384" width="10.7109375" style="503" customWidth="1"/>
  </cols>
  <sheetData>
    <row r="1" spans="1:3" ht="12.75">
      <c r="A1" s="420"/>
      <c r="B1" s="808" t="s">
        <v>829</v>
      </c>
      <c r="C1" s="420"/>
    </row>
    <row r="2" spans="1:3" ht="12.75">
      <c r="A2" s="420"/>
      <c r="B2" s="809" t="s">
        <v>830</v>
      </c>
      <c r="C2" s="420"/>
    </row>
    <row r="3" spans="1:3" ht="12.75">
      <c r="A3" s="420"/>
      <c r="B3" s="420"/>
      <c r="C3" s="420"/>
    </row>
    <row r="4" spans="1:3" ht="12.75">
      <c r="A4" s="805" t="s">
        <v>678</v>
      </c>
      <c r="B4" s="810">
        <v>42339</v>
      </c>
      <c r="C4" s="420"/>
    </row>
    <row r="5" spans="1:3" ht="12.75">
      <c r="A5" s="805" t="s">
        <v>828</v>
      </c>
      <c r="B5" s="811" t="s">
        <v>831</v>
      </c>
      <c r="C5" s="420"/>
    </row>
    <row r="7" spans="1:5" s="479" customFormat="1" ht="49.5" customHeight="1">
      <c r="A7" s="1054" t="s">
        <v>463</v>
      </c>
      <c r="B7" s="1055"/>
      <c r="C7" s="1056"/>
      <c r="D7" s="478">
        <f>CPYG!D7</f>
        <v>2016</v>
      </c>
      <c r="E7" s="507"/>
    </row>
    <row r="8" spans="1:5" s="479" customFormat="1" ht="25.5" customHeight="1">
      <c r="A8" s="1063" t="str">
        <f>CPYG!A8</f>
        <v>TRANSPORTES INTERURBANOS DE TENERIFE, S.A.U.</v>
      </c>
      <c r="B8" s="1064"/>
      <c r="C8" s="1064"/>
      <c r="D8" s="478" t="s">
        <v>465</v>
      </c>
      <c r="E8" s="422"/>
    </row>
    <row r="9" spans="1:5" s="479" customFormat="1" ht="24.75" customHeight="1">
      <c r="A9" s="1062" t="s">
        <v>832</v>
      </c>
      <c r="B9" s="1062"/>
      <c r="C9" s="1062"/>
      <c r="D9" s="1062"/>
      <c r="E9" s="480"/>
    </row>
    <row r="10" spans="1:5" s="479" customFormat="1" ht="40.5" customHeight="1">
      <c r="A10" s="481" t="s">
        <v>807</v>
      </c>
      <c r="B10" s="227" t="s">
        <v>49</v>
      </c>
      <c r="C10" s="508" t="s">
        <v>834</v>
      </c>
      <c r="D10" s="508" t="s">
        <v>50</v>
      </c>
      <c r="E10" s="509"/>
    </row>
    <row r="11" spans="1:5" s="479" customFormat="1" ht="22.5" customHeight="1">
      <c r="A11" s="510" t="s">
        <v>501</v>
      </c>
      <c r="B11" s="554">
        <f>B12+B28+B32</f>
        <v>37213257.81</v>
      </c>
      <c r="C11" s="554">
        <f>C12+C28+C32</f>
        <v>34188109.900000006</v>
      </c>
      <c r="D11" s="554">
        <f>D12+D28+D32</f>
        <v>31557320.633</v>
      </c>
      <c r="E11" s="486"/>
    </row>
    <row r="12" spans="1:5" s="479" customFormat="1" ht="19.5" customHeight="1">
      <c r="A12" s="511" t="s">
        <v>502</v>
      </c>
      <c r="B12" s="590">
        <f>+B13+B16+B17+B20+B21+B24+B25+B26+B27</f>
        <v>15549861.879999999</v>
      </c>
      <c r="C12" s="590">
        <f>+C13+C16+C17+C20+C21+C24+C25+C26+C27</f>
        <v>15708201.430000009</v>
      </c>
      <c r="D12" s="590">
        <f>+D13+D16+D17+D20+D21+D24+D25+D26+D27</f>
        <v>15729577.223000001</v>
      </c>
      <c r="E12" s="501"/>
    </row>
    <row r="13" spans="1:5" s="479" customFormat="1" ht="19.5" customHeight="1">
      <c r="A13" s="511" t="s">
        <v>503</v>
      </c>
      <c r="B13" s="591">
        <f>SUM(B14:B15)</f>
        <v>5409100</v>
      </c>
      <c r="C13" s="591">
        <f>SUM(C14:C15)</f>
        <v>5409100</v>
      </c>
      <c r="D13" s="591">
        <f>SUM(D14:D15)</f>
        <v>5409100</v>
      </c>
      <c r="E13" s="497"/>
    </row>
    <row r="14" spans="1:5" s="479" customFormat="1" ht="19.5" customHeight="1">
      <c r="A14" s="512" t="s">
        <v>269</v>
      </c>
      <c r="B14" s="822">
        <v>5409100</v>
      </c>
      <c r="C14" s="585">
        <v>5409100</v>
      </c>
      <c r="D14" s="585">
        <v>5409100</v>
      </c>
      <c r="E14" s="497"/>
    </row>
    <row r="15" spans="1:5" s="479" customFormat="1" ht="19.5" customHeight="1">
      <c r="A15" s="512" t="s">
        <v>270</v>
      </c>
      <c r="B15" s="822">
        <v>0</v>
      </c>
      <c r="C15" s="585">
        <v>0</v>
      </c>
      <c r="D15" s="585">
        <v>0</v>
      </c>
      <c r="E15" s="497"/>
    </row>
    <row r="16" spans="1:5" s="479" customFormat="1" ht="19.5" customHeight="1">
      <c r="A16" s="511" t="s">
        <v>466</v>
      </c>
      <c r="B16" s="909">
        <v>0</v>
      </c>
      <c r="C16" s="585">
        <v>0</v>
      </c>
      <c r="D16" s="585">
        <v>0</v>
      </c>
      <c r="E16" s="497"/>
    </row>
    <row r="17" spans="1:5" s="479" customFormat="1" ht="19.5" customHeight="1">
      <c r="A17" s="511" t="s">
        <v>504</v>
      </c>
      <c r="B17" s="591">
        <f>SUM(B18:B19)</f>
        <v>17663004.07</v>
      </c>
      <c r="C17" s="591">
        <f>SUM(C18:C19)</f>
        <v>17664043.51</v>
      </c>
      <c r="D17" s="591">
        <f>SUM(D18:D19)</f>
        <v>17664043.51</v>
      </c>
      <c r="E17" s="497"/>
    </row>
    <row r="18" spans="1:5" s="479" customFormat="1" ht="19.5" customHeight="1">
      <c r="A18" s="512" t="s">
        <v>271</v>
      </c>
      <c r="B18" s="822">
        <v>1081821.79</v>
      </c>
      <c r="C18" s="585">
        <v>1081821.79</v>
      </c>
      <c r="D18" s="585">
        <v>1081821.79</v>
      </c>
      <c r="E18" s="497"/>
    </row>
    <row r="19" spans="1:5" s="479" customFormat="1" ht="19.5" customHeight="1">
      <c r="A19" s="512" t="s">
        <v>272</v>
      </c>
      <c r="B19" s="822">
        <v>16581182.28</v>
      </c>
      <c r="C19" s="585">
        <v>16582221.72</v>
      </c>
      <c r="D19" s="585">
        <v>16582221.72</v>
      </c>
      <c r="E19" s="497"/>
    </row>
    <row r="20" spans="1:5" s="479" customFormat="1" ht="19.5" customHeight="1">
      <c r="A20" s="817" t="s">
        <v>273</v>
      </c>
      <c r="B20" s="585">
        <v>0</v>
      </c>
      <c r="C20" s="585">
        <v>0</v>
      </c>
      <c r="D20" s="585">
        <v>0</v>
      </c>
      <c r="E20" s="497"/>
    </row>
    <row r="21" spans="1:5" s="479" customFormat="1" ht="19.5" customHeight="1">
      <c r="A21" s="511" t="s">
        <v>467</v>
      </c>
      <c r="B21" s="591">
        <f>SUM(B22:B23)</f>
        <v>-7691050.63</v>
      </c>
      <c r="C21" s="591">
        <f>SUM(C22:C23)</f>
        <v>-7487074.4799999995</v>
      </c>
      <c r="D21" s="591">
        <f>SUM(D22:D23)</f>
        <v>-7364942.069999999</v>
      </c>
      <c r="E21" s="497"/>
    </row>
    <row r="22" spans="1:5" s="479" customFormat="1" ht="19.5" customHeight="1">
      <c r="A22" s="512" t="s">
        <v>274</v>
      </c>
      <c r="B22" s="822">
        <v>18036.45</v>
      </c>
      <c r="C22" s="585">
        <v>18036.45</v>
      </c>
      <c r="D22" s="585">
        <v>18036.45</v>
      </c>
      <c r="E22" s="497"/>
    </row>
    <row r="23" spans="1:5" s="479" customFormat="1" ht="19.5" customHeight="1">
      <c r="A23" s="512" t="s">
        <v>505</v>
      </c>
      <c r="B23" s="822">
        <v>-7709087.08</v>
      </c>
      <c r="C23" s="586">
        <v>-7505110.93</v>
      </c>
      <c r="D23" s="586">
        <v>-7382978.52</v>
      </c>
      <c r="E23" s="497"/>
    </row>
    <row r="24" spans="1:5" s="479" customFormat="1" ht="19.5" customHeight="1">
      <c r="A24" s="511" t="s">
        <v>276</v>
      </c>
      <c r="B24" s="586">
        <v>0</v>
      </c>
      <c r="C24" s="586">
        <v>0</v>
      </c>
      <c r="D24" s="586">
        <v>0</v>
      </c>
      <c r="E24" s="497"/>
    </row>
    <row r="25" spans="1:5" s="479" customFormat="1" ht="19.5" customHeight="1">
      <c r="A25" s="511" t="s">
        <v>277</v>
      </c>
      <c r="B25" s="587">
        <f>CPYG!B112</f>
        <v>168808.43999999773</v>
      </c>
      <c r="C25" s="588">
        <f>+CPYG!C112</f>
        <v>122132.4000000087</v>
      </c>
      <c r="D25" s="588">
        <f>+CPYG!D112</f>
        <v>21375.782999999683</v>
      </c>
      <c r="E25" s="513"/>
    </row>
    <row r="26" spans="1:5" s="479" customFormat="1" ht="19.5" customHeight="1">
      <c r="A26" s="511" t="s">
        <v>278</v>
      </c>
      <c r="B26" s="585">
        <v>0</v>
      </c>
      <c r="C26" s="585">
        <v>0</v>
      </c>
      <c r="D26" s="585">
        <v>0</v>
      </c>
      <c r="E26" s="497"/>
    </row>
    <row r="27" spans="1:5" s="479" customFormat="1" ht="19.5" customHeight="1">
      <c r="A27" s="511" t="s">
        <v>379</v>
      </c>
      <c r="B27" s="585">
        <v>0</v>
      </c>
      <c r="C27" s="585">
        <v>0</v>
      </c>
      <c r="D27" s="585">
        <v>0</v>
      </c>
      <c r="E27" s="497"/>
    </row>
    <row r="28" spans="1:5" s="479" customFormat="1" ht="19.5" customHeight="1">
      <c r="A28" s="511" t="s">
        <v>380</v>
      </c>
      <c r="B28" s="590">
        <f>SUM(B29:B31)</f>
        <v>0</v>
      </c>
      <c r="C28" s="590">
        <f>SUM(C29:C31)</f>
        <v>0</v>
      </c>
      <c r="D28" s="590">
        <f>SUM(D29:D31)</f>
        <v>0</v>
      </c>
      <c r="E28" s="501"/>
    </row>
    <row r="29" spans="1:5" s="479" customFormat="1" ht="19.5" customHeight="1">
      <c r="A29" s="511" t="s">
        <v>381</v>
      </c>
      <c r="B29" s="585">
        <v>0</v>
      </c>
      <c r="C29" s="585">
        <v>0</v>
      </c>
      <c r="D29" s="585">
        <v>0</v>
      </c>
      <c r="E29" s="497"/>
    </row>
    <row r="30" spans="1:5" s="479" customFormat="1" ht="19.5" customHeight="1">
      <c r="A30" s="511" t="s">
        <v>382</v>
      </c>
      <c r="B30" s="585">
        <v>0</v>
      </c>
      <c r="C30" s="585">
        <v>0</v>
      </c>
      <c r="D30" s="585">
        <v>0</v>
      </c>
      <c r="E30" s="497"/>
    </row>
    <row r="31" spans="1:5" s="479" customFormat="1" ht="19.5" customHeight="1">
      <c r="A31" s="511" t="s">
        <v>383</v>
      </c>
      <c r="B31" s="585">
        <v>0</v>
      </c>
      <c r="C31" s="586">
        <v>0</v>
      </c>
      <c r="D31" s="586">
        <v>0</v>
      </c>
      <c r="E31" s="497"/>
    </row>
    <row r="32" spans="1:7" s="479" customFormat="1" ht="19.5" customHeight="1">
      <c r="A32" s="511" t="s">
        <v>384</v>
      </c>
      <c r="B32" s="910">
        <v>21663395.93</v>
      </c>
      <c r="C32" s="589">
        <v>18479908.47</v>
      </c>
      <c r="D32" s="589">
        <v>15827743.41</v>
      </c>
      <c r="E32" s="497"/>
      <c r="G32" s="489"/>
    </row>
    <row r="33" spans="1:5" s="479" customFormat="1" ht="19.5" customHeight="1">
      <c r="A33" s="510" t="s">
        <v>506</v>
      </c>
      <c r="B33" s="590">
        <f>B34+B38+B43+B44+B45+B46+B9+B47</f>
        <v>8392742.82</v>
      </c>
      <c r="C33" s="590">
        <f>C34+C38+C43+C44+C45+C46+C9+C47</f>
        <v>6660554.33</v>
      </c>
      <c r="D33" s="590">
        <f>D34+D38+D43+D44+D45+D46+D9+D47</f>
        <v>5665298.56</v>
      </c>
      <c r="E33" s="501"/>
    </row>
    <row r="34" spans="1:5" s="479" customFormat="1" ht="19.5" customHeight="1">
      <c r="A34" s="485" t="s">
        <v>385</v>
      </c>
      <c r="B34" s="592">
        <f>SUM(B35:B37)</f>
        <v>13310.21</v>
      </c>
      <c r="C34" s="592">
        <f>SUM(C35:C37)</f>
        <v>11258.21</v>
      </c>
      <c r="D34" s="592">
        <f>SUM(D35:D37)</f>
        <v>9206.21</v>
      </c>
      <c r="E34" s="497"/>
    </row>
    <row r="35" spans="1:5" s="479" customFormat="1" ht="19.5" customHeight="1">
      <c r="A35" s="488" t="s">
        <v>810</v>
      </c>
      <c r="B35" s="822">
        <v>13310.21</v>
      </c>
      <c r="C35" s="586">
        <v>11258.21</v>
      </c>
      <c r="D35" s="586">
        <v>9206.21</v>
      </c>
      <c r="E35" s="497"/>
    </row>
    <row r="36" spans="1:5" s="479" customFormat="1" ht="28.5" customHeight="1">
      <c r="A36" s="514" t="s">
        <v>811</v>
      </c>
      <c r="B36" s="822">
        <v>0</v>
      </c>
      <c r="C36" s="586">
        <v>0</v>
      </c>
      <c r="D36" s="586">
        <v>0</v>
      </c>
      <c r="E36" s="497"/>
    </row>
    <row r="37" spans="1:5" s="479" customFormat="1" ht="19.5" customHeight="1">
      <c r="A37" s="488" t="s">
        <v>812</v>
      </c>
      <c r="B37" s="822">
        <v>0</v>
      </c>
      <c r="C37" s="589">
        <v>0</v>
      </c>
      <c r="D37" s="589">
        <v>0</v>
      </c>
      <c r="E37" s="501"/>
    </row>
    <row r="38" spans="1:5" s="479" customFormat="1" ht="19.5" customHeight="1">
      <c r="A38" s="485" t="s">
        <v>386</v>
      </c>
      <c r="B38" s="592">
        <f>SUM(B39:B42)</f>
        <v>1158300.6400000001</v>
      </c>
      <c r="C38" s="592">
        <f>SUM(C39:C42)</f>
        <v>489326.63</v>
      </c>
      <c r="D38" s="592">
        <f>SUM(D39:D42)</f>
        <v>380177.89</v>
      </c>
      <c r="E38" s="497"/>
    </row>
    <row r="39" spans="1:5" s="479" customFormat="1" ht="19.5" customHeight="1">
      <c r="A39" s="488" t="s">
        <v>388</v>
      </c>
      <c r="B39" s="822">
        <v>0</v>
      </c>
      <c r="C39" s="589">
        <v>0</v>
      </c>
      <c r="D39" s="589">
        <v>0</v>
      </c>
      <c r="E39" s="501"/>
    </row>
    <row r="40" spans="1:5" s="479" customFormat="1" ht="19.5" customHeight="1">
      <c r="A40" s="488" t="s">
        <v>399</v>
      </c>
      <c r="B40" s="822">
        <v>700464.79</v>
      </c>
      <c r="C40" s="586">
        <v>92746.04</v>
      </c>
      <c r="D40" s="586">
        <v>42746.04</v>
      </c>
      <c r="E40" s="497"/>
    </row>
    <row r="41" spans="1:5" s="479" customFormat="1" ht="19.5" customHeight="1">
      <c r="A41" s="488" t="s">
        <v>389</v>
      </c>
      <c r="B41" s="822">
        <v>294001.27</v>
      </c>
      <c r="C41" s="586">
        <v>233540.01</v>
      </c>
      <c r="D41" s="586">
        <v>171841.27</v>
      </c>
      <c r="E41" s="497"/>
    </row>
    <row r="42" spans="1:5" s="479" customFormat="1" ht="19.5" customHeight="1">
      <c r="A42" s="488" t="s">
        <v>813</v>
      </c>
      <c r="B42" s="822">
        <v>163834.58</v>
      </c>
      <c r="C42" s="586">
        <v>163040.58</v>
      </c>
      <c r="D42" s="586">
        <v>165590.58</v>
      </c>
      <c r="E42" s="497"/>
    </row>
    <row r="43" spans="1:5" s="479" customFormat="1" ht="19.5" customHeight="1">
      <c r="A43" s="816" t="s">
        <v>390</v>
      </c>
      <c r="B43" s="589">
        <v>0</v>
      </c>
      <c r="C43" s="589">
        <v>0</v>
      </c>
      <c r="D43" s="589">
        <v>0</v>
      </c>
      <c r="E43" s="497"/>
    </row>
    <row r="44" spans="1:5" s="479" customFormat="1" ht="19.5" customHeight="1">
      <c r="A44" s="485" t="s">
        <v>391</v>
      </c>
      <c r="B44" s="823">
        <v>7221131.97</v>
      </c>
      <c r="C44" s="589">
        <v>6159969.49</v>
      </c>
      <c r="D44" s="589">
        <v>5275914.46</v>
      </c>
      <c r="E44" s="497"/>
    </row>
    <row r="45" spans="1:5" s="479" customFormat="1" ht="19.5" customHeight="1">
      <c r="A45" s="485" t="s">
        <v>392</v>
      </c>
      <c r="B45" s="589">
        <v>0</v>
      </c>
      <c r="C45" s="589">
        <v>0</v>
      </c>
      <c r="D45" s="589">
        <v>0</v>
      </c>
      <c r="E45" s="501"/>
    </row>
    <row r="46" spans="1:5" s="479" customFormat="1" ht="19.5" customHeight="1">
      <c r="A46" s="485" t="s">
        <v>814</v>
      </c>
      <c r="B46" s="589">
        <v>0</v>
      </c>
      <c r="C46" s="589">
        <v>0</v>
      </c>
      <c r="D46" s="589">
        <v>0</v>
      </c>
      <c r="E46" s="501"/>
    </row>
    <row r="47" spans="1:5" s="479" customFormat="1" ht="19.5" customHeight="1">
      <c r="A47" s="485" t="s">
        <v>815</v>
      </c>
      <c r="B47" s="589">
        <v>0</v>
      </c>
      <c r="C47" s="589">
        <v>0</v>
      </c>
      <c r="D47" s="589">
        <v>0</v>
      </c>
      <c r="E47" s="501"/>
    </row>
    <row r="48" spans="1:5" s="479" customFormat="1" ht="19.5" customHeight="1">
      <c r="A48" s="510" t="s">
        <v>461</v>
      </c>
      <c r="B48" s="592">
        <f>+B49+B50+B54+B59+B60+B63+B64</f>
        <v>27140526.87</v>
      </c>
      <c r="C48" s="592">
        <f>+C49+C50+C54+C59+C60+C63+C64</f>
        <v>14264101.259999998</v>
      </c>
      <c r="D48" s="592">
        <f>+D49+D50+D54+D59+D60+D63+D64</f>
        <v>13812618.46</v>
      </c>
      <c r="E48" s="501"/>
    </row>
    <row r="49" spans="1:5" s="479" customFormat="1" ht="30" customHeight="1">
      <c r="A49" s="515" t="s">
        <v>396</v>
      </c>
      <c r="B49" s="589">
        <v>0</v>
      </c>
      <c r="C49" s="589">
        <v>0</v>
      </c>
      <c r="D49" s="589">
        <v>0</v>
      </c>
      <c r="E49" s="501"/>
    </row>
    <row r="50" spans="1:5" s="479" customFormat="1" ht="19.5" customHeight="1">
      <c r="A50" s="485" t="s">
        <v>397</v>
      </c>
      <c r="B50" s="592">
        <f>+B51+B52+B53</f>
        <v>2052</v>
      </c>
      <c r="C50" s="592">
        <f>+C51+C52+C53</f>
        <v>2052</v>
      </c>
      <c r="D50" s="592">
        <f>+D51+D52+D53</f>
        <v>2052</v>
      </c>
      <c r="E50" s="501"/>
    </row>
    <row r="51" spans="1:5" s="479" customFormat="1" ht="19.5" customHeight="1">
      <c r="A51" s="488" t="s">
        <v>810</v>
      </c>
      <c r="B51" s="823">
        <v>2052</v>
      </c>
      <c r="C51" s="589">
        <v>2052</v>
      </c>
      <c r="D51" s="589">
        <v>2052</v>
      </c>
      <c r="E51" s="501"/>
    </row>
    <row r="52" spans="1:5" s="479" customFormat="1" ht="28.5" customHeight="1">
      <c r="A52" s="514" t="s">
        <v>811</v>
      </c>
      <c r="B52" s="589">
        <v>0</v>
      </c>
      <c r="C52" s="589">
        <v>0</v>
      </c>
      <c r="D52" s="589">
        <v>0</v>
      </c>
      <c r="E52" s="501"/>
    </row>
    <row r="53" spans="1:5" s="479" customFormat="1" ht="19.5" customHeight="1">
      <c r="A53" s="488" t="s">
        <v>812</v>
      </c>
      <c r="B53" s="589">
        <v>0</v>
      </c>
      <c r="C53" s="589">
        <v>0</v>
      </c>
      <c r="D53" s="589">
        <v>0</v>
      </c>
      <c r="E53" s="501"/>
    </row>
    <row r="54" spans="1:5" s="479" customFormat="1" ht="19.5" customHeight="1">
      <c r="A54" s="485" t="s">
        <v>398</v>
      </c>
      <c r="B54" s="592">
        <f>SUM(B55:B58)</f>
        <v>13809998.08</v>
      </c>
      <c r="C54" s="592">
        <f>SUM(C55:C58)</f>
        <v>4592368.399999999</v>
      </c>
      <c r="D54" s="592">
        <f>SUM(D55:D58)</f>
        <v>3683243.6100000003</v>
      </c>
      <c r="E54" s="497"/>
    </row>
    <row r="55" spans="1:5" s="479" customFormat="1" ht="19.5" customHeight="1">
      <c r="A55" s="488" t="s">
        <v>388</v>
      </c>
      <c r="B55" s="822">
        <v>0</v>
      </c>
      <c r="C55" s="586">
        <v>0</v>
      </c>
      <c r="D55" s="586">
        <v>0</v>
      </c>
      <c r="E55" s="497"/>
    </row>
    <row r="56" spans="1:4" s="479" customFormat="1" ht="19.5" customHeight="1">
      <c r="A56" s="488" t="s">
        <v>399</v>
      </c>
      <c r="B56" s="822">
        <v>13407472.61</v>
      </c>
      <c r="C56" s="586">
        <v>4179261.88</v>
      </c>
      <c r="D56" s="586">
        <v>3265676.61</v>
      </c>
    </row>
    <row r="57" spans="1:5" s="479" customFormat="1" ht="19.5" customHeight="1">
      <c r="A57" s="488" t="s">
        <v>389</v>
      </c>
      <c r="B57" s="822">
        <v>59248.58</v>
      </c>
      <c r="C57" s="586">
        <v>60461.26</v>
      </c>
      <c r="D57" s="586">
        <v>61698.74</v>
      </c>
      <c r="E57" s="501"/>
    </row>
    <row r="58" spans="1:5" s="479" customFormat="1" ht="19.5" customHeight="1">
      <c r="A58" s="488" t="s">
        <v>816</v>
      </c>
      <c r="B58" s="822">
        <v>343276.89</v>
      </c>
      <c r="C58" s="586">
        <v>352645.26</v>
      </c>
      <c r="D58" s="586">
        <v>355868.26</v>
      </c>
      <c r="E58" s="501"/>
    </row>
    <row r="59" spans="1:5" s="479" customFormat="1" ht="19.5" customHeight="1">
      <c r="A59" s="816" t="s">
        <v>400</v>
      </c>
      <c r="B59" s="589">
        <v>0</v>
      </c>
      <c r="C59" s="589">
        <v>0</v>
      </c>
      <c r="D59" s="589">
        <v>0</v>
      </c>
      <c r="E59" s="501"/>
    </row>
    <row r="60" spans="1:5" s="479" customFormat="1" ht="19.5" customHeight="1">
      <c r="A60" s="485" t="s">
        <v>401</v>
      </c>
      <c r="B60" s="592">
        <f>SUM(B61:B62)</f>
        <v>12774124.99</v>
      </c>
      <c r="C60" s="592">
        <f>SUM(C61:C62)</f>
        <v>9669680.86</v>
      </c>
      <c r="D60" s="592">
        <f>SUM(D61:D62)</f>
        <v>10127322.85</v>
      </c>
      <c r="E60" s="497"/>
    </row>
    <row r="61" spans="1:5" s="479" customFormat="1" ht="19.5" customHeight="1">
      <c r="A61" s="488" t="s">
        <v>402</v>
      </c>
      <c r="B61" s="822">
        <v>2795760.91</v>
      </c>
      <c r="C61" s="586">
        <v>1674749.28</v>
      </c>
      <c r="D61" s="586">
        <f>1757391.27+190000</f>
        <v>1947391.27</v>
      </c>
      <c r="E61" s="497"/>
    </row>
    <row r="62" spans="1:5" s="479" customFormat="1" ht="19.5" customHeight="1">
      <c r="A62" s="488" t="s">
        <v>817</v>
      </c>
      <c r="B62" s="822">
        <f>2500586.59+3423951.07+4027884.92+25941.5</f>
        <v>9978364.08</v>
      </c>
      <c r="C62" s="586">
        <f>1778852.22+3423951.07+2866621.79+25506.5-100000</f>
        <v>7994931.58</v>
      </c>
      <c r="D62" s="586">
        <f>1863852.22+3423951.07+2866621.79+25506.5</f>
        <v>8179931.58</v>
      </c>
      <c r="E62" s="497"/>
    </row>
    <row r="63" spans="1:5" s="479" customFormat="1" ht="19.5" customHeight="1">
      <c r="A63" s="485" t="s">
        <v>423</v>
      </c>
      <c r="B63" s="823">
        <v>554351.8</v>
      </c>
      <c r="C63" s="589">
        <v>0</v>
      </c>
      <c r="D63" s="589">
        <v>0</v>
      </c>
      <c r="E63" s="501"/>
    </row>
    <row r="64" spans="1:5" s="479" customFormat="1" ht="19.5" customHeight="1">
      <c r="A64" s="485" t="s">
        <v>818</v>
      </c>
      <c r="B64" s="823">
        <v>0</v>
      </c>
      <c r="C64" s="589">
        <v>0</v>
      </c>
      <c r="D64" s="589">
        <v>0</v>
      </c>
      <c r="E64" s="501"/>
    </row>
    <row r="65" spans="1:5" s="479" customFormat="1" ht="30" customHeight="1">
      <c r="A65" s="491" t="s">
        <v>462</v>
      </c>
      <c r="B65" s="593">
        <f>B48+B33+B11</f>
        <v>72746527.5</v>
      </c>
      <c r="C65" s="593">
        <f>C48+C33+C11</f>
        <v>55112765.49</v>
      </c>
      <c r="D65" s="593">
        <f>D48+D33+D11</f>
        <v>51035237.653</v>
      </c>
      <c r="E65" s="486"/>
    </row>
    <row r="66" spans="2:5" s="479" customFormat="1" ht="12.75">
      <c r="B66" s="489"/>
      <c r="C66" s="489"/>
      <c r="D66" s="489"/>
      <c r="E66" s="516"/>
    </row>
    <row r="67" spans="2:5" s="479" customFormat="1" ht="12.75">
      <c r="B67" s="489"/>
      <c r="C67" s="489"/>
      <c r="D67" s="489"/>
      <c r="E67" s="516"/>
    </row>
    <row r="68" spans="1:5" s="479" customFormat="1" ht="12.75" hidden="1">
      <c r="A68" s="494" t="s">
        <v>403</v>
      </c>
      <c r="B68" s="489"/>
      <c r="C68" s="489"/>
      <c r="D68" s="489"/>
      <c r="E68" s="516"/>
    </row>
    <row r="69" s="479" customFormat="1" ht="12.75">
      <c r="E69" s="490"/>
    </row>
    <row r="70" spans="2:5" s="479" customFormat="1" ht="12.75">
      <c r="B70" s="489"/>
      <c r="C70" s="489"/>
      <c r="D70" s="489"/>
      <c r="E70" s="516"/>
    </row>
    <row r="71" spans="2:5" s="479" customFormat="1" ht="12.75" hidden="1">
      <c r="B71" s="489"/>
      <c r="C71" s="489"/>
      <c r="D71" s="489"/>
      <c r="E71" s="516"/>
    </row>
    <row r="72" spans="1:5" s="479" customFormat="1" ht="12.75" hidden="1">
      <c r="A72" s="479" t="s">
        <v>424</v>
      </c>
      <c r="B72" s="489">
        <f>+ACTIVO!B48</f>
        <v>72746527.5</v>
      </c>
      <c r="C72" s="489">
        <f>+ACTIVO!C48</f>
        <v>55112765.49000001</v>
      </c>
      <c r="D72" s="489">
        <f>+ACTIVO!D48</f>
        <v>51035237.650000006</v>
      </c>
      <c r="E72" s="516"/>
    </row>
    <row r="73" spans="1:5" s="479" customFormat="1" ht="12.75" hidden="1">
      <c r="A73" s="490" t="s">
        <v>422</v>
      </c>
      <c r="B73" s="499">
        <f>+B65-B72</f>
        <v>0</v>
      </c>
      <c r="C73" s="499">
        <f>+C65-C72</f>
        <v>0</v>
      </c>
      <c r="D73" s="499">
        <f>+D65-D72</f>
        <v>0.0029999911785125732</v>
      </c>
      <c r="E73" s="497"/>
    </row>
    <row r="74" s="479" customFormat="1" ht="12.75" hidden="1">
      <c r="E74" s="490"/>
    </row>
    <row r="75" spans="4:5" s="479" customFormat="1" ht="12.75" hidden="1">
      <c r="D75" s="489"/>
      <c r="E75" s="516"/>
    </row>
    <row r="76" s="479" customFormat="1" ht="12.75">
      <c r="E76" s="490"/>
    </row>
    <row r="77" s="479" customFormat="1" ht="12.75">
      <c r="E77" s="490"/>
    </row>
    <row r="78" s="479" customFormat="1" ht="12.75">
      <c r="E78" s="490"/>
    </row>
    <row r="79" s="479" customFormat="1" ht="12.75">
      <c r="E79" s="490"/>
    </row>
    <row r="80" s="479" customFormat="1" ht="12.75">
      <c r="E80" s="490"/>
    </row>
    <row r="81" s="479" customFormat="1" ht="12.75">
      <c r="E81" s="490"/>
    </row>
    <row r="82" s="479" customFormat="1" ht="12.75">
      <c r="E82" s="490"/>
    </row>
    <row r="83" s="479" customFormat="1" ht="12.75">
      <c r="E83" s="490"/>
    </row>
    <row r="84" s="479" customFormat="1" ht="12.75">
      <c r="E84" s="490"/>
    </row>
    <row r="85" s="479" customFormat="1" ht="12.75">
      <c r="E85" s="490"/>
    </row>
    <row r="86" s="479" customFormat="1" ht="12.75">
      <c r="E86" s="490"/>
    </row>
    <row r="87" s="479" customFormat="1" ht="12.75">
      <c r="E87" s="490"/>
    </row>
    <row r="88" s="479" customFormat="1" ht="12.75">
      <c r="E88" s="490"/>
    </row>
    <row r="89" s="479" customFormat="1" ht="12.75">
      <c r="E89" s="490"/>
    </row>
    <row r="90" s="479" customFormat="1" ht="12.75">
      <c r="E90" s="490"/>
    </row>
    <row r="91" s="479" customFormat="1" ht="12.75">
      <c r="E91" s="490"/>
    </row>
    <row r="92" s="479" customFormat="1" ht="12.75">
      <c r="E92" s="490"/>
    </row>
    <row r="93" s="479" customFormat="1" ht="12.75">
      <c r="E93" s="490"/>
    </row>
    <row r="94" s="479" customFormat="1" ht="12.75">
      <c r="E94" s="490"/>
    </row>
    <row r="95" s="479" customFormat="1" ht="12.75">
      <c r="E95" s="490"/>
    </row>
    <row r="96" s="479" customFormat="1" ht="12.75">
      <c r="E96" s="490"/>
    </row>
    <row r="97" s="479" customFormat="1" ht="12.75">
      <c r="E97" s="490"/>
    </row>
    <row r="98" s="479" customFormat="1" ht="12.75">
      <c r="E98" s="490"/>
    </row>
    <row r="99" s="479" customFormat="1" ht="12.75">
      <c r="E99" s="490"/>
    </row>
    <row r="100" s="479" customFormat="1" ht="12.75">
      <c r="E100" s="490"/>
    </row>
    <row r="101" s="479" customFormat="1" ht="12.75">
      <c r="E101" s="490"/>
    </row>
    <row r="102" s="479" customFormat="1" ht="12.75">
      <c r="E102" s="490"/>
    </row>
    <row r="103" s="479" customFormat="1" ht="12.75">
      <c r="E103" s="490"/>
    </row>
    <row r="104" s="479" customFormat="1" ht="12.75">
      <c r="E104" s="490"/>
    </row>
    <row r="105" s="479" customFormat="1" ht="12.75">
      <c r="E105" s="490"/>
    </row>
    <row r="106" s="479" customFormat="1" ht="12.75">
      <c r="E106" s="490"/>
    </row>
    <row r="107" s="479" customFormat="1" ht="12.75">
      <c r="E107" s="490"/>
    </row>
    <row r="108" s="479" customFormat="1" ht="12.75">
      <c r="E108" s="490"/>
    </row>
    <row r="109" s="479" customFormat="1" ht="12.75">
      <c r="E109" s="490"/>
    </row>
    <row r="110" s="479" customFormat="1" ht="12.75">
      <c r="E110" s="490"/>
    </row>
    <row r="111" s="479" customFormat="1" ht="12.75">
      <c r="E111" s="490"/>
    </row>
    <row r="112" s="479" customFormat="1" ht="12.75">
      <c r="E112" s="490"/>
    </row>
    <row r="113" s="479" customFormat="1" ht="12.75">
      <c r="E113" s="490"/>
    </row>
    <row r="114" s="479" customFormat="1" ht="12.75">
      <c r="E114" s="490"/>
    </row>
    <row r="115" s="479" customFormat="1" ht="12.75">
      <c r="E115" s="490"/>
    </row>
    <row r="116" s="479" customFormat="1" ht="12.75">
      <c r="E116" s="490"/>
    </row>
    <row r="117" s="479" customFormat="1" ht="12.75">
      <c r="E117" s="490"/>
    </row>
    <row r="118" s="479" customFormat="1" ht="12.75">
      <c r="E118" s="490"/>
    </row>
    <row r="119" s="479" customFormat="1" ht="12.75">
      <c r="E119" s="490"/>
    </row>
    <row r="120" s="479" customFormat="1" ht="12.75">
      <c r="E120" s="490"/>
    </row>
    <row r="121" s="479" customFormat="1" ht="12.75">
      <c r="E121" s="490"/>
    </row>
    <row r="122" s="479" customFormat="1" ht="12.75">
      <c r="E122" s="490"/>
    </row>
    <row r="123" s="479" customFormat="1" ht="12.75">
      <c r="E123" s="490"/>
    </row>
    <row r="124" s="479" customFormat="1" ht="12.75">
      <c r="E124" s="490"/>
    </row>
    <row r="125" s="479" customFormat="1" ht="12.75">
      <c r="E125" s="490"/>
    </row>
    <row r="126" s="479" customFormat="1" ht="12.75">
      <c r="E126" s="490"/>
    </row>
    <row r="127" s="479" customFormat="1" ht="12.75">
      <c r="E127" s="490"/>
    </row>
    <row r="128" s="479" customFormat="1" ht="12.75">
      <c r="E128" s="490"/>
    </row>
    <row r="129" s="479" customFormat="1" ht="12.75">
      <c r="E129" s="490"/>
    </row>
    <row r="130" s="479" customFormat="1" ht="12.75">
      <c r="E130" s="490"/>
    </row>
    <row r="131" s="479" customFormat="1" ht="12.75">
      <c r="E131" s="490"/>
    </row>
    <row r="132" s="479" customFormat="1" ht="12.75">
      <c r="E132" s="490"/>
    </row>
    <row r="133" s="479" customFormat="1" ht="12.75">
      <c r="E133" s="490"/>
    </row>
    <row r="134" s="479" customFormat="1" ht="12.75">
      <c r="E134" s="490"/>
    </row>
    <row r="135" s="479" customFormat="1" ht="12.75">
      <c r="E135" s="490"/>
    </row>
    <row r="136" s="479" customFormat="1" ht="12.75">
      <c r="E136" s="490"/>
    </row>
    <row r="137" s="479" customFormat="1" ht="12.75">
      <c r="E137" s="490"/>
    </row>
    <row r="138" s="479" customFormat="1" ht="12.75">
      <c r="E138" s="490"/>
    </row>
    <row r="139" s="479" customFormat="1" ht="12.75">
      <c r="E139" s="490"/>
    </row>
    <row r="140" s="479" customFormat="1" ht="12.75">
      <c r="E140" s="490"/>
    </row>
    <row r="141" s="479" customFormat="1" ht="12.75">
      <c r="E141" s="490"/>
    </row>
    <row r="142" s="479" customFormat="1" ht="12.75">
      <c r="E142" s="490"/>
    </row>
    <row r="143" s="479" customFormat="1" ht="12.75">
      <c r="E143" s="490"/>
    </row>
    <row r="144" s="479" customFormat="1" ht="12.75">
      <c r="E144" s="490"/>
    </row>
    <row r="145" s="479" customFormat="1" ht="12.75">
      <c r="E145" s="490"/>
    </row>
    <row r="146" s="479" customFormat="1" ht="12.75">
      <c r="E146" s="490"/>
    </row>
    <row r="147" s="479" customFormat="1" ht="12.75">
      <c r="E147" s="490"/>
    </row>
    <row r="148" s="479" customFormat="1" ht="12.75">
      <c r="E148" s="490"/>
    </row>
    <row r="149" s="479" customFormat="1" ht="12.75">
      <c r="E149" s="490"/>
    </row>
    <row r="150" s="479" customFormat="1" ht="12.75">
      <c r="E150" s="490"/>
    </row>
    <row r="151" s="479" customFormat="1" ht="12.75">
      <c r="E151" s="490"/>
    </row>
    <row r="152" s="479" customFormat="1" ht="12.75">
      <c r="E152" s="490"/>
    </row>
    <row r="153" s="479" customFormat="1" ht="12.75">
      <c r="E153" s="490"/>
    </row>
    <row r="154" s="479" customFormat="1" ht="12.75">
      <c r="E154" s="490"/>
    </row>
    <row r="155" s="479" customFormat="1" ht="12.75">
      <c r="E155" s="490"/>
    </row>
    <row r="156" s="479" customFormat="1" ht="12.75">
      <c r="E156" s="490"/>
    </row>
    <row r="157" s="479" customFormat="1" ht="12.75">
      <c r="E157" s="490"/>
    </row>
    <row r="158" s="479" customFormat="1" ht="12.75">
      <c r="E158" s="490"/>
    </row>
    <row r="159" s="479" customFormat="1" ht="12.75">
      <c r="E159" s="490"/>
    </row>
    <row r="160" s="479" customFormat="1" ht="12.75">
      <c r="E160" s="490"/>
    </row>
    <row r="161" s="479" customFormat="1" ht="12.75">
      <c r="E161" s="490"/>
    </row>
    <row r="162" s="479" customFormat="1" ht="12.75">
      <c r="E162" s="490"/>
    </row>
    <row r="163" s="479" customFormat="1" ht="12.75">
      <c r="E163" s="490"/>
    </row>
    <row r="164" s="479" customFormat="1" ht="12.75">
      <c r="E164" s="490"/>
    </row>
    <row r="165" s="479" customFormat="1" ht="12.75">
      <c r="E165" s="490"/>
    </row>
    <row r="166" s="479" customFormat="1" ht="12.75">
      <c r="E166" s="490"/>
    </row>
    <row r="167" s="479" customFormat="1" ht="12.75">
      <c r="E167" s="490"/>
    </row>
    <row r="168" s="479" customFormat="1" ht="12.75">
      <c r="E168" s="490"/>
    </row>
    <row r="169" s="479" customFormat="1" ht="12.75">
      <c r="E169" s="490"/>
    </row>
    <row r="170" s="479" customFormat="1" ht="12.75">
      <c r="E170" s="490"/>
    </row>
    <row r="171" s="479" customFormat="1" ht="12.75">
      <c r="E171" s="490"/>
    </row>
    <row r="172" s="479" customFormat="1" ht="12.75">
      <c r="E172" s="490"/>
    </row>
    <row r="173" s="479" customFormat="1" ht="12.75">
      <c r="E173" s="490"/>
    </row>
    <row r="174" s="479" customFormat="1" ht="12.75">
      <c r="E174" s="490"/>
    </row>
    <row r="175" s="479" customFormat="1" ht="12.75">
      <c r="E175" s="490"/>
    </row>
    <row r="176" s="479" customFormat="1" ht="12.75">
      <c r="E176" s="490"/>
    </row>
    <row r="177" s="479" customFormat="1" ht="12.75">
      <c r="E177" s="490"/>
    </row>
    <row r="178" s="479" customFormat="1" ht="12.75">
      <c r="E178" s="490"/>
    </row>
    <row r="179" s="479" customFormat="1" ht="12.75">
      <c r="E179" s="490"/>
    </row>
    <row r="180" s="479" customFormat="1" ht="12.75">
      <c r="E180" s="490"/>
    </row>
    <row r="181" s="479" customFormat="1" ht="12.75">
      <c r="E181" s="490"/>
    </row>
    <row r="182" s="479" customFormat="1" ht="12.75">
      <c r="E182" s="490"/>
    </row>
    <row r="183" s="479" customFormat="1" ht="12.75">
      <c r="E183" s="490"/>
    </row>
    <row r="184" s="479" customFormat="1" ht="12.75">
      <c r="E184" s="490"/>
    </row>
    <row r="185" s="479" customFormat="1" ht="12.75">
      <c r="E185" s="490"/>
    </row>
    <row r="186" s="479" customFormat="1" ht="12.75">
      <c r="E186" s="490"/>
    </row>
    <row r="187" s="479" customFormat="1" ht="12.75">
      <c r="E187" s="490"/>
    </row>
    <row r="188" s="479" customFormat="1" ht="12.75">
      <c r="E188" s="490"/>
    </row>
    <row r="189" s="479" customFormat="1" ht="12.75">
      <c r="E189" s="490"/>
    </row>
    <row r="190" s="479" customFormat="1" ht="12.75">
      <c r="E190" s="490"/>
    </row>
    <row r="191" s="479" customFormat="1" ht="12.75">
      <c r="E191" s="490"/>
    </row>
    <row r="192" s="479" customFormat="1" ht="12.75">
      <c r="E192" s="490"/>
    </row>
    <row r="193" s="479" customFormat="1" ht="12.75">
      <c r="E193" s="490"/>
    </row>
    <row r="194" s="479" customFormat="1" ht="12.75">
      <c r="E194" s="490"/>
    </row>
    <row r="195" s="479" customFormat="1" ht="12.75">
      <c r="E195" s="490"/>
    </row>
    <row r="196" s="479" customFormat="1" ht="12.75">
      <c r="E196" s="490"/>
    </row>
    <row r="197" s="479" customFormat="1" ht="12.75">
      <c r="E197" s="490"/>
    </row>
    <row r="198" s="479" customFormat="1" ht="12.75">
      <c r="E198" s="490"/>
    </row>
    <row r="199" s="479" customFormat="1" ht="12.75">
      <c r="E199" s="490"/>
    </row>
    <row r="200" s="479" customFormat="1" ht="12.75">
      <c r="E200" s="490"/>
    </row>
    <row r="201" s="479" customFormat="1" ht="12.75">
      <c r="E201" s="490"/>
    </row>
    <row r="202" s="479" customFormat="1" ht="12.75">
      <c r="E202" s="490"/>
    </row>
    <row r="203" s="479" customFormat="1" ht="12.75">
      <c r="E203" s="490"/>
    </row>
    <row r="204" s="479" customFormat="1" ht="12.75">
      <c r="E204" s="490"/>
    </row>
    <row r="205" s="479" customFormat="1" ht="12.75">
      <c r="E205" s="490"/>
    </row>
    <row r="206" s="479" customFormat="1" ht="12.75">
      <c r="E206" s="490"/>
    </row>
    <row r="207" s="479" customFormat="1" ht="12.75">
      <c r="E207" s="490"/>
    </row>
    <row r="208" s="479" customFormat="1" ht="12.75">
      <c r="E208" s="490"/>
    </row>
    <row r="209" s="479" customFormat="1" ht="12.75">
      <c r="E209" s="490"/>
    </row>
    <row r="210" s="479" customFormat="1" ht="12.75">
      <c r="E210" s="490"/>
    </row>
    <row r="211" s="479" customFormat="1" ht="12.75">
      <c r="E211" s="490"/>
    </row>
    <row r="212" s="479" customFormat="1" ht="12.75">
      <c r="E212" s="490"/>
    </row>
    <row r="213" s="479" customFormat="1" ht="12.75">
      <c r="E213" s="490"/>
    </row>
    <row r="214" s="479" customFormat="1" ht="12.75">
      <c r="E214" s="490"/>
    </row>
    <row r="215" s="479" customFormat="1" ht="12.75">
      <c r="E215" s="490"/>
    </row>
    <row r="216" s="479" customFormat="1" ht="12.75">
      <c r="E216" s="490"/>
    </row>
    <row r="217" s="479" customFormat="1" ht="12.75">
      <c r="E217" s="490"/>
    </row>
    <row r="218" s="479" customFormat="1" ht="12.75">
      <c r="E218" s="490"/>
    </row>
    <row r="219" s="479" customFormat="1" ht="12.75">
      <c r="E219" s="490"/>
    </row>
    <row r="220" s="479" customFormat="1" ht="12.75">
      <c r="E220" s="490"/>
    </row>
    <row r="221" s="479" customFormat="1" ht="12.75">
      <c r="E221" s="490"/>
    </row>
    <row r="222" s="479" customFormat="1" ht="12.75">
      <c r="E222" s="490"/>
    </row>
    <row r="223" s="479" customFormat="1" ht="12.75">
      <c r="E223" s="490"/>
    </row>
    <row r="224" s="479" customFormat="1" ht="12.75">
      <c r="E224" s="490"/>
    </row>
    <row r="225" s="479" customFormat="1" ht="12.75">
      <c r="E225" s="490"/>
    </row>
    <row r="226" s="479" customFormat="1" ht="12.75">
      <c r="E226" s="490"/>
    </row>
    <row r="227" s="479" customFormat="1" ht="12.75">
      <c r="E227" s="490"/>
    </row>
    <row r="228" s="479" customFormat="1" ht="12.75">
      <c r="E228" s="490"/>
    </row>
    <row r="229" s="479" customFormat="1" ht="12.75">
      <c r="E229" s="490"/>
    </row>
    <row r="230" s="479" customFormat="1" ht="12.75">
      <c r="E230" s="490"/>
    </row>
    <row r="231" s="479" customFormat="1" ht="12.75">
      <c r="E231" s="490"/>
    </row>
    <row r="232" s="479" customFormat="1" ht="12.75">
      <c r="E232" s="490"/>
    </row>
    <row r="233" s="479" customFormat="1" ht="12.75">
      <c r="E233" s="490"/>
    </row>
    <row r="234" s="479" customFormat="1" ht="12.75">
      <c r="E234" s="490"/>
    </row>
    <row r="235" s="479" customFormat="1" ht="12.75">
      <c r="E235" s="490"/>
    </row>
    <row r="236" s="479" customFormat="1" ht="12.75">
      <c r="E236" s="490"/>
    </row>
    <row r="237" s="479" customFormat="1" ht="12.75">
      <c r="E237" s="490"/>
    </row>
    <row r="238" s="479" customFormat="1" ht="12.75">
      <c r="E238" s="490"/>
    </row>
    <row r="239" s="479" customFormat="1" ht="12.75">
      <c r="E239" s="490"/>
    </row>
    <row r="240" s="479" customFormat="1" ht="12.75">
      <c r="E240" s="490"/>
    </row>
    <row r="241" s="479" customFormat="1" ht="12.75">
      <c r="E241" s="490"/>
    </row>
    <row r="242" s="479" customFormat="1" ht="12.75">
      <c r="E242" s="490"/>
    </row>
    <row r="243" s="479" customFormat="1" ht="12.75">
      <c r="E243" s="490"/>
    </row>
    <row r="244" s="479" customFormat="1" ht="12.75">
      <c r="E244" s="490"/>
    </row>
    <row r="245" s="479" customFormat="1" ht="12.75">
      <c r="E245" s="490"/>
    </row>
    <row r="246" s="479" customFormat="1" ht="12.75">
      <c r="E246" s="490"/>
    </row>
    <row r="247" s="479" customFormat="1" ht="12.75">
      <c r="E247" s="490"/>
    </row>
    <row r="248" s="479" customFormat="1" ht="12.75">
      <c r="E248" s="490"/>
    </row>
    <row r="249" s="479" customFormat="1" ht="12.75">
      <c r="E249" s="490"/>
    </row>
    <row r="250" s="479" customFormat="1" ht="12.75">
      <c r="E250" s="490"/>
    </row>
    <row r="251" s="479" customFormat="1" ht="12.75">
      <c r="E251" s="490"/>
    </row>
    <row r="252" s="479" customFormat="1" ht="12.75">
      <c r="E252" s="490"/>
    </row>
    <row r="253" s="479" customFormat="1" ht="12.75">
      <c r="E253" s="490"/>
    </row>
    <row r="254" s="479" customFormat="1" ht="12.75">
      <c r="E254" s="490"/>
    </row>
    <row r="255" s="479" customFormat="1" ht="12.75">
      <c r="E255" s="490"/>
    </row>
    <row r="256" s="479" customFormat="1" ht="12.75">
      <c r="E256" s="490"/>
    </row>
    <row r="257" s="479" customFormat="1" ht="12.75">
      <c r="E257" s="490"/>
    </row>
    <row r="258" s="479" customFormat="1" ht="12.75">
      <c r="E258" s="490"/>
    </row>
    <row r="259" s="479" customFormat="1" ht="12.75">
      <c r="E259" s="490"/>
    </row>
    <row r="260" s="479" customFormat="1" ht="12.75">
      <c r="E260" s="490"/>
    </row>
    <row r="261" s="479" customFormat="1" ht="12.75">
      <c r="E261" s="490"/>
    </row>
    <row r="262" s="479" customFormat="1" ht="12.75">
      <c r="E262" s="490"/>
    </row>
    <row r="263" s="479" customFormat="1" ht="12.75">
      <c r="E263" s="490"/>
    </row>
    <row r="264" s="479" customFormat="1" ht="12.75">
      <c r="E264" s="490"/>
    </row>
    <row r="265" s="479" customFormat="1" ht="12.75">
      <c r="E265" s="490"/>
    </row>
    <row r="266" s="479" customFormat="1" ht="12.75">
      <c r="E266" s="490"/>
    </row>
    <row r="267" s="479" customFormat="1" ht="12.75">
      <c r="E267" s="490"/>
    </row>
    <row r="268" s="479" customFormat="1" ht="12.75">
      <c r="E268" s="490"/>
    </row>
    <row r="269" s="479" customFormat="1" ht="12.75">
      <c r="E269" s="490"/>
    </row>
    <row r="270" s="479" customFormat="1" ht="12.75">
      <c r="E270" s="490"/>
    </row>
    <row r="271" s="479" customFormat="1" ht="12.75">
      <c r="E271" s="490"/>
    </row>
    <row r="272" s="479" customFormat="1" ht="12.75">
      <c r="E272" s="490"/>
    </row>
    <row r="273" s="479" customFormat="1" ht="12.75">
      <c r="E273" s="490"/>
    </row>
    <row r="274" s="479" customFormat="1" ht="12.75">
      <c r="E274" s="490"/>
    </row>
    <row r="275" s="479" customFormat="1" ht="12.75">
      <c r="E275" s="490"/>
    </row>
    <row r="276" s="479" customFormat="1" ht="12.75">
      <c r="E276" s="490"/>
    </row>
    <row r="277" s="479" customFormat="1" ht="12.75">
      <c r="E277" s="490"/>
    </row>
    <row r="278" s="479" customFormat="1" ht="12.75">
      <c r="E278" s="490"/>
    </row>
    <row r="279" s="479" customFormat="1" ht="12.75">
      <c r="E279" s="490"/>
    </row>
    <row r="280" s="479" customFormat="1" ht="12.75">
      <c r="E280" s="490"/>
    </row>
    <row r="281" s="479" customFormat="1" ht="12.75">
      <c r="E281" s="490"/>
    </row>
    <row r="282" s="479" customFormat="1" ht="12.75">
      <c r="E282" s="490"/>
    </row>
    <row r="283" s="479" customFormat="1" ht="12.75">
      <c r="E283" s="490"/>
    </row>
    <row r="284" s="479" customFormat="1" ht="12.75">
      <c r="E284" s="490"/>
    </row>
    <row r="285" s="479" customFormat="1" ht="12.75">
      <c r="E285" s="490"/>
    </row>
    <row r="286" s="479" customFormat="1" ht="12.75">
      <c r="E286" s="490"/>
    </row>
    <row r="287" s="479" customFormat="1" ht="12.75">
      <c r="E287" s="490"/>
    </row>
    <row r="288" s="479" customFormat="1" ht="12.75">
      <c r="E288" s="490"/>
    </row>
    <row r="289" s="479" customFormat="1" ht="12.75">
      <c r="E289" s="490"/>
    </row>
    <row r="290" s="479" customFormat="1" ht="12.75">
      <c r="E290" s="490"/>
    </row>
    <row r="291" s="479" customFormat="1" ht="12.75">
      <c r="E291" s="490"/>
    </row>
    <row r="292" s="479" customFormat="1" ht="12.75">
      <c r="E292" s="490"/>
    </row>
    <row r="293" s="479" customFormat="1" ht="12.75">
      <c r="E293" s="490"/>
    </row>
    <row r="294" s="479" customFormat="1" ht="12.75">
      <c r="E294" s="490"/>
    </row>
    <row r="295" s="479" customFormat="1" ht="12.75">
      <c r="E295" s="490"/>
    </row>
    <row r="296" s="479" customFormat="1" ht="12.75">
      <c r="E296" s="490"/>
    </row>
    <row r="297" s="479" customFormat="1" ht="12.75">
      <c r="E297" s="490"/>
    </row>
    <row r="298" s="479" customFormat="1" ht="12.75">
      <c r="E298" s="490"/>
    </row>
    <row r="299" s="479" customFormat="1" ht="12.75">
      <c r="E299" s="490"/>
    </row>
    <row r="300" s="479" customFormat="1" ht="12.75">
      <c r="E300" s="490"/>
    </row>
    <row r="301" s="479" customFormat="1" ht="12.75">
      <c r="E301" s="490"/>
    </row>
    <row r="302" s="479" customFormat="1" ht="12.75">
      <c r="E302" s="490"/>
    </row>
    <row r="303" s="479" customFormat="1" ht="12.75">
      <c r="E303" s="490"/>
    </row>
    <row r="304" s="479" customFormat="1" ht="12.75">
      <c r="E304" s="490"/>
    </row>
    <row r="305" s="479" customFormat="1" ht="12.75">
      <c r="E305" s="490"/>
    </row>
    <row r="306" s="479" customFormat="1" ht="12.75">
      <c r="E306" s="490"/>
    </row>
    <row r="307" s="479" customFormat="1" ht="12.75">
      <c r="E307" s="490"/>
    </row>
    <row r="308" s="479" customFormat="1" ht="12.75">
      <c r="E308" s="490"/>
    </row>
    <row r="309" s="479" customFormat="1" ht="12.75">
      <c r="E309" s="490"/>
    </row>
    <row r="310" s="479" customFormat="1" ht="12.75">
      <c r="E310" s="490"/>
    </row>
    <row r="311" s="479" customFormat="1" ht="12.75">
      <c r="E311" s="490"/>
    </row>
    <row r="312" s="479" customFormat="1" ht="12.75">
      <c r="E312" s="490"/>
    </row>
    <row r="313" s="479" customFormat="1" ht="12.75">
      <c r="E313" s="490"/>
    </row>
    <row r="314" s="479" customFormat="1" ht="12.75">
      <c r="E314" s="490"/>
    </row>
    <row r="315" s="479" customFormat="1" ht="12.75">
      <c r="E315" s="490"/>
    </row>
    <row r="316" s="479" customFormat="1" ht="12.75">
      <c r="E316" s="490"/>
    </row>
    <row r="317" s="479" customFormat="1" ht="12.75">
      <c r="E317" s="490"/>
    </row>
    <row r="318" s="479" customFormat="1" ht="12.75">
      <c r="E318" s="490"/>
    </row>
    <row r="319" s="479" customFormat="1" ht="12.75">
      <c r="E319" s="490"/>
    </row>
    <row r="320" s="479" customFormat="1" ht="12.75">
      <c r="E320" s="490"/>
    </row>
    <row r="321" s="479" customFormat="1" ht="12.75">
      <c r="E321" s="490"/>
    </row>
    <row r="322" s="479" customFormat="1" ht="12.75">
      <c r="E322" s="490"/>
    </row>
    <row r="323" s="479" customFormat="1" ht="12.75">
      <c r="E323" s="490"/>
    </row>
    <row r="324" s="479" customFormat="1" ht="12.75">
      <c r="E324" s="490"/>
    </row>
    <row r="325" s="479" customFormat="1" ht="12.75">
      <c r="E325" s="490"/>
    </row>
    <row r="326" s="479" customFormat="1" ht="12.75">
      <c r="E326" s="490"/>
    </row>
    <row r="327" s="479" customFormat="1" ht="12.75">
      <c r="E327" s="490"/>
    </row>
    <row r="328" s="479" customFormat="1" ht="12.75">
      <c r="E328" s="490"/>
    </row>
    <row r="329" s="479" customFormat="1" ht="12.75">
      <c r="E329" s="490"/>
    </row>
    <row r="330" s="479" customFormat="1" ht="12.75">
      <c r="E330" s="490"/>
    </row>
    <row r="331" s="479" customFormat="1" ht="12.75">
      <c r="E331" s="490"/>
    </row>
    <row r="332" s="479" customFormat="1" ht="12.75">
      <c r="E332" s="490"/>
    </row>
    <row r="333" s="479" customFormat="1" ht="12.75">
      <c r="E333" s="490"/>
    </row>
    <row r="334" s="479" customFormat="1" ht="12.75">
      <c r="E334" s="490"/>
    </row>
    <row r="335" s="479" customFormat="1" ht="12.75">
      <c r="E335" s="490"/>
    </row>
    <row r="336" s="479" customFormat="1" ht="12.75">
      <c r="E336" s="490"/>
    </row>
    <row r="337" s="479" customFormat="1" ht="12.75">
      <c r="E337" s="490"/>
    </row>
    <row r="338" s="479" customFormat="1" ht="12.75">
      <c r="E338" s="490"/>
    </row>
    <row r="339" s="479" customFormat="1" ht="12.75">
      <c r="E339" s="490"/>
    </row>
    <row r="340" s="479" customFormat="1" ht="12.75">
      <c r="E340" s="490"/>
    </row>
    <row r="341" s="479" customFormat="1" ht="12.75">
      <c r="E341" s="490"/>
    </row>
    <row r="342" s="479" customFormat="1" ht="12.75">
      <c r="E342" s="490"/>
    </row>
    <row r="343" s="479" customFormat="1" ht="12.75">
      <c r="E343" s="490"/>
    </row>
    <row r="344" s="479" customFormat="1" ht="12.75">
      <c r="E344" s="490"/>
    </row>
    <row r="345" s="479" customFormat="1" ht="12.75">
      <c r="E345" s="490"/>
    </row>
    <row r="346" s="479" customFormat="1" ht="12.75">
      <c r="E346" s="490"/>
    </row>
    <row r="347" s="479" customFormat="1" ht="12.75">
      <c r="E347" s="490"/>
    </row>
    <row r="348" s="479" customFormat="1" ht="12.75">
      <c r="E348" s="490"/>
    </row>
    <row r="349" s="479" customFormat="1" ht="12.75">
      <c r="E349" s="490"/>
    </row>
    <row r="350" s="479" customFormat="1" ht="12.75">
      <c r="E350" s="490"/>
    </row>
    <row r="351" s="479" customFormat="1" ht="12.75">
      <c r="E351" s="490"/>
    </row>
    <row r="352" s="479" customFormat="1" ht="12.75">
      <c r="E352" s="490"/>
    </row>
    <row r="353" s="479" customFormat="1" ht="12.75">
      <c r="E353" s="490"/>
    </row>
    <row r="354" s="479" customFormat="1" ht="12.75">
      <c r="E354" s="490"/>
    </row>
    <row r="355" s="479" customFormat="1" ht="12.75">
      <c r="E355" s="490"/>
    </row>
    <row r="356" s="479" customFormat="1" ht="12.75">
      <c r="E356" s="490"/>
    </row>
    <row r="357" s="479" customFormat="1" ht="12.75">
      <c r="E357" s="490"/>
    </row>
    <row r="358" s="479" customFormat="1" ht="12.75">
      <c r="E358" s="490"/>
    </row>
    <row r="359" s="479" customFormat="1" ht="12.75">
      <c r="E359" s="490"/>
    </row>
    <row r="360" s="479" customFormat="1" ht="12.75">
      <c r="E360" s="490"/>
    </row>
    <row r="361" s="479" customFormat="1" ht="12.75">
      <c r="E361" s="490"/>
    </row>
    <row r="362" s="479" customFormat="1" ht="12.75">
      <c r="E362" s="490"/>
    </row>
    <row r="363" s="479" customFormat="1" ht="12.75">
      <c r="E363" s="490"/>
    </row>
    <row r="364" s="479" customFormat="1" ht="12.75">
      <c r="E364" s="490"/>
    </row>
    <row r="365" s="479" customFormat="1" ht="12.75">
      <c r="E365" s="490"/>
    </row>
    <row r="366" s="479" customFormat="1" ht="12.75">
      <c r="E366" s="490"/>
    </row>
    <row r="367" s="479" customFormat="1" ht="12.75">
      <c r="E367" s="490"/>
    </row>
    <row r="368" s="479" customFormat="1" ht="12.75">
      <c r="E368" s="490"/>
    </row>
    <row r="369" s="479" customFormat="1" ht="12.75">
      <c r="E369" s="490"/>
    </row>
    <row r="370" s="479" customFormat="1" ht="12.75">
      <c r="E370" s="490"/>
    </row>
    <row r="371" s="479" customFormat="1" ht="12.75">
      <c r="E371" s="490"/>
    </row>
    <row r="372" s="479" customFormat="1" ht="12.75">
      <c r="E372" s="490"/>
    </row>
    <row r="373" s="479" customFormat="1" ht="12.75">
      <c r="E373" s="490"/>
    </row>
    <row r="374" s="479" customFormat="1" ht="12.75">
      <c r="E374" s="490"/>
    </row>
    <row r="375" s="479" customFormat="1" ht="12.75">
      <c r="E375" s="490"/>
    </row>
    <row r="376" s="479" customFormat="1" ht="12.75">
      <c r="E376" s="490"/>
    </row>
    <row r="377" s="479" customFormat="1" ht="12.75">
      <c r="E377" s="490"/>
    </row>
    <row r="378" s="479" customFormat="1" ht="12.75">
      <c r="E378" s="490"/>
    </row>
    <row r="379" s="479" customFormat="1" ht="12.75">
      <c r="E379" s="490"/>
    </row>
    <row r="380" s="479" customFormat="1" ht="12.75">
      <c r="E380" s="490"/>
    </row>
    <row r="381" s="479" customFormat="1" ht="12.75">
      <c r="E381" s="490"/>
    </row>
    <row r="382" s="479" customFormat="1" ht="12.75">
      <c r="E382" s="490"/>
    </row>
    <row r="383" s="479" customFormat="1" ht="12.75">
      <c r="E383" s="490"/>
    </row>
    <row r="384" s="479" customFormat="1" ht="12.75">
      <c r="E384" s="490"/>
    </row>
    <row r="385" s="479" customFormat="1" ht="12.75">
      <c r="E385" s="490"/>
    </row>
    <row r="386" s="479" customFormat="1" ht="12.75">
      <c r="E386" s="490"/>
    </row>
    <row r="387" s="479" customFormat="1" ht="12.75">
      <c r="E387" s="490"/>
    </row>
    <row r="388" s="479" customFormat="1" ht="12.75">
      <c r="E388" s="490"/>
    </row>
    <row r="389" s="479" customFormat="1" ht="12.75">
      <c r="E389" s="490"/>
    </row>
    <row r="390" s="479" customFormat="1" ht="12.75">
      <c r="E390" s="490"/>
    </row>
    <row r="391" s="479" customFormat="1" ht="12.75">
      <c r="E391" s="490"/>
    </row>
    <row r="392" s="479" customFormat="1" ht="12.75">
      <c r="E392" s="490"/>
    </row>
    <row r="393" s="479" customFormat="1" ht="12.75">
      <c r="E393" s="490"/>
    </row>
    <row r="394" s="479" customFormat="1" ht="12.75">
      <c r="E394" s="490"/>
    </row>
    <row r="395" s="479" customFormat="1" ht="12.75">
      <c r="E395" s="490"/>
    </row>
    <row r="396" s="479" customFormat="1" ht="12.75">
      <c r="E396" s="490"/>
    </row>
    <row r="397" s="479" customFormat="1" ht="12.75">
      <c r="E397" s="490"/>
    </row>
    <row r="398" s="479" customFormat="1" ht="12.75">
      <c r="E398" s="490"/>
    </row>
    <row r="399" s="479" customFormat="1" ht="12.75">
      <c r="E399" s="490"/>
    </row>
    <row r="400" s="479" customFormat="1" ht="12.75">
      <c r="E400" s="490"/>
    </row>
    <row r="401" s="479" customFormat="1" ht="12.75">
      <c r="E401" s="490"/>
    </row>
    <row r="402" s="479" customFormat="1" ht="12.75">
      <c r="E402" s="490"/>
    </row>
    <row r="403" s="479" customFormat="1" ht="12.75">
      <c r="E403" s="490"/>
    </row>
    <row r="404" s="479" customFormat="1" ht="12.75">
      <c r="E404" s="490"/>
    </row>
    <row r="405" s="479" customFormat="1" ht="12.75">
      <c r="E405" s="490"/>
    </row>
    <row r="406" s="479" customFormat="1" ht="12.75">
      <c r="E406" s="490"/>
    </row>
    <row r="407" s="479" customFormat="1" ht="12.75">
      <c r="E407" s="490"/>
    </row>
    <row r="408" s="479" customFormat="1" ht="12.75">
      <c r="E408" s="490"/>
    </row>
    <row r="409" s="479" customFormat="1" ht="12.75">
      <c r="E409" s="490"/>
    </row>
    <row r="410" s="479" customFormat="1" ht="12.75">
      <c r="E410" s="490"/>
    </row>
    <row r="411" s="479" customFormat="1" ht="12.75">
      <c r="E411" s="490"/>
    </row>
    <row r="412" s="479" customFormat="1" ht="12.75">
      <c r="E412" s="490"/>
    </row>
    <row r="413" s="479" customFormat="1" ht="12.75">
      <c r="E413" s="490"/>
    </row>
    <row r="414" s="479" customFormat="1" ht="12.75">
      <c r="E414" s="490"/>
    </row>
    <row r="415" s="479" customFormat="1" ht="12.75">
      <c r="E415" s="490"/>
    </row>
    <row r="416" s="479" customFormat="1" ht="12.75">
      <c r="E416" s="490"/>
    </row>
    <row r="417" s="479" customFormat="1" ht="12.75">
      <c r="E417" s="490"/>
    </row>
    <row r="418" s="479" customFormat="1" ht="12.75">
      <c r="E418" s="490"/>
    </row>
    <row r="419" s="479" customFormat="1" ht="12.75">
      <c r="E419" s="490"/>
    </row>
    <row r="420" s="479" customFormat="1" ht="12.75">
      <c r="E420" s="490"/>
    </row>
    <row r="421" s="479" customFormat="1" ht="12.75">
      <c r="E421" s="490"/>
    </row>
    <row r="422" s="479" customFormat="1" ht="12.75">
      <c r="E422" s="490"/>
    </row>
    <row r="423" s="479" customFormat="1" ht="12.75">
      <c r="E423" s="490"/>
    </row>
    <row r="424" s="479" customFormat="1" ht="12.75">
      <c r="E424" s="490"/>
    </row>
    <row r="425" s="479" customFormat="1" ht="12.75">
      <c r="E425" s="490"/>
    </row>
    <row r="426" s="479" customFormat="1" ht="12.75">
      <c r="E426" s="490"/>
    </row>
    <row r="427" s="479" customFormat="1" ht="12.75">
      <c r="E427" s="490"/>
    </row>
    <row r="428" s="479" customFormat="1" ht="12.75">
      <c r="E428" s="490"/>
    </row>
    <row r="429" s="479" customFormat="1" ht="12.75">
      <c r="E429" s="490"/>
    </row>
    <row r="430" s="479" customFormat="1" ht="12.75">
      <c r="E430" s="490"/>
    </row>
    <row r="431" s="479" customFormat="1" ht="12.75">
      <c r="E431" s="490"/>
    </row>
    <row r="432" s="479" customFormat="1" ht="12.75">
      <c r="E432" s="490"/>
    </row>
    <row r="433" s="479" customFormat="1" ht="12.75">
      <c r="E433" s="490"/>
    </row>
    <row r="434" s="479" customFormat="1" ht="12.75">
      <c r="E434" s="490"/>
    </row>
    <row r="435" s="479" customFormat="1" ht="12.75">
      <c r="E435" s="490"/>
    </row>
    <row r="436" s="479" customFormat="1" ht="12.75">
      <c r="E436" s="490"/>
    </row>
    <row r="437" s="479" customFormat="1" ht="12.75">
      <c r="E437" s="490"/>
    </row>
    <row r="438" s="479" customFormat="1" ht="12.75">
      <c r="E438" s="490"/>
    </row>
    <row r="439" s="479" customFormat="1" ht="12.75">
      <c r="E439" s="490"/>
    </row>
    <row r="440" s="479" customFormat="1" ht="12.75">
      <c r="E440" s="490"/>
    </row>
    <row r="441" s="479" customFormat="1" ht="12.75">
      <c r="E441" s="490"/>
    </row>
    <row r="442" s="479" customFormat="1" ht="12.75">
      <c r="E442" s="490"/>
    </row>
    <row r="443" s="479" customFormat="1" ht="12.75">
      <c r="E443" s="490"/>
    </row>
    <row r="444" s="479" customFormat="1" ht="12.75">
      <c r="E444" s="490"/>
    </row>
    <row r="445" s="479" customFormat="1" ht="12.75">
      <c r="E445" s="490"/>
    </row>
    <row r="446" s="479" customFormat="1" ht="12.75">
      <c r="E446" s="490"/>
    </row>
    <row r="447" s="479" customFormat="1" ht="12.75">
      <c r="E447" s="490"/>
    </row>
    <row r="448" s="479" customFormat="1" ht="12.75">
      <c r="E448" s="490"/>
    </row>
    <row r="449" s="479" customFormat="1" ht="12.75">
      <c r="E449" s="490"/>
    </row>
    <row r="450" s="479" customFormat="1" ht="12.75">
      <c r="E450" s="490"/>
    </row>
    <row r="451" s="479" customFormat="1" ht="12.75">
      <c r="E451" s="490"/>
    </row>
    <row r="452" s="479" customFormat="1" ht="12.75">
      <c r="E452" s="490"/>
    </row>
    <row r="453" s="479" customFormat="1" ht="12.75">
      <c r="E453" s="490"/>
    </row>
    <row r="454" s="479" customFormat="1" ht="12.75">
      <c r="E454" s="490"/>
    </row>
    <row r="455" s="479" customFormat="1" ht="12.75">
      <c r="E455" s="490"/>
    </row>
    <row r="456" s="479" customFormat="1" ht="12.75">
      <c r="E456" s="490"/>
    </row>
    <row r="457" s="479" customFormat="1" ht="12.75">
      <c r="E457" s="490"/>
    </row>
    <row r="458" s="479" customFormat="1" ht="12.75">
      <c r="E458" s="490"/>
    </row>
    <row r="459" s="479" customFormat="1" ht="12.75">
      <c r="E459" s="490"/>
    </row>
    <row r="460" s="479" customFormat="1" ht="12.75">
      <c r="E460" s="490"/>
    </row>
    <row r="461" s="479" customFormat="1" ht="12.75">
      <c r="E461" s="490"/>
    </row>
    <row r="462" s="479" customFormat="1" ht="12.75">
      <c r="E462" s="490"/>
    </row>
    <row r="463" s="479" customFormat="1" ht="12.75">
      <c r="E463" s="490"/>
    </row>
    <row r="464" s="479" customFormat="1" ht="12.75">
      <c r="E464" s="490"/>
    </row>
    <row r="465" s="479" customFormat="1" ht="12.75">
      <c r="E465" s="490"/>
    </row>
    <row r="466" s="479" customFormat="1" ht="12.75">
      <c r="E466" s="490"/>
    </row>
    <row r="467" s="479" customFormat="1" ht="12.75">
      <c r="E467" s="490"/>
    </row>
    <row r="468" s="479" customFormat="1" ht="12.75">
      <c r="E468" s="490"/>
    </row>
    <row r="469" s="479" customFormat="1" ht="12.75">
      <c r="E469" s="490"/>
    </row>
    <row r="470" s="479" customFormat="1" ht="12.75">
      <c r="E470" s="490"/>
    </row>
    <row r="471" s="479" customFormat="1" ht="12.75">
      <c r="E471" s="490"/>
    </row>
    <row r="472" s="479" customFormat="1" ht="12.75">
      <c r="E472" s="490"/>
    </row>
    <row r="473" s="479" customFormat="1" ht="12.75">
      <c r="E473" s="490"/>
    </row>
    <row r="474" s="479" customFormat="1" ht="12.75">
      <c r="E474" s="490"/>
    </row>
    <row r="475" s="479" customFormat="1" ht="12.75">
      <c r="E475" s="490"/>
    </row>
    <row r="476" s="479" customFormat="1" ht="12.75">
      <c r="E476" s="490"/>
    </row>
    <row r="477" s="479" customFormat="1" ht="12.75">
      <c r="E477" s="490"/>
    </row>
    <row r="478" s="479" customFormat="1" ht="12.75">
      <c r="E478" s="490"/>
    </row>
    <row r="479" s="479" customFormat="1" ht="12.75">
      <c r="E479" s="490"/>
    </row>
    <row r="480" s="479" customFormat="1" ht="12.75">
      <c r="E480" s="490"/>
    </row>
    <row r="481" s="479" customFormat="1" ht="12.75">
      <c r="E481" s="490"/>
    </row>
    <row r="482" s="479" customFormat="1" ht="12.75">
      <c r="E482" s="490"/>
    </row>
    <row r="483" s="479" customFormat="1" ht="12.75">
      <c r="E483" s="490"/>
    </row>
    <row r="484" s="479" customFormat="1" ht="12.75">
      <c r="E484" s="490"/>
    </row>
    <row r="485" s="479" customFormat="1" ht="12.75">
      <c r="E485" s="490"/>
    </row>
    <row r="486" s="479" customFormat="1" ht="12.75">
      <c r="E486" s="490"/>
    </row>
    <row r="487" s="479" customFormat="1" ht="12.75">
      <c r="E487" s="490"/>
    </row>
    <row r="488" s="479" customFormat="1" ht="12.75">
      <c r="E488" s="490"/>
    </row>
    <row r="489" s="479" customFormat="1" ht="12.75">
      <c r="E489" s="490"/>
    </row>
    <row r="490" s="479" customFormat="1" ht="12.75">
      <c r="E490" s="490"/>
    </row>
    <row r="491" s="479" customFormat="1" ht="12.75">
      <c r="E491" s="490"/>
    </row>
    <row r="492" s="479" customFormat="1" ht="12.75">
      <c r="E492" s="490"/>
    </row>
    <row r="493" s="479" customFormat="1" ht="12.75">
      <c r="E493" s="490"/>
    </row>
    <row r="494" s="479" customFormat="1" ht="12.75">
      <c r="E494" s="490"/>
    </row>
    <row r="495" s="479" customFormat="1" ht="12.75">
      <c r="E495" s="490"/>
    </row>
    <row r="496" s="479" customFormat="1" ht="12.75">
      <c r="E496" s="490"/>
    </row>
    <row r="497" s="479" customFormat="1" ht="12.75">
      <c r="E497" s="490"/>
    </row>
    <row r="498" s="479" customFormat="1" ht="12.75">
      <c r="E498" s="490"/>
    </row>
    <row r="499" s="479" customFormat="1" ht="12.75">
      <c r="E499" s="490"/>
    </row>
    <row r="500" s="479" customFormat="1" ht="12.75">
      <c r="E500" s="490"/>
    </row>
    <row r="501" s="479" customFormat="1" ht="12.75">
      <c r="E501" s="490"/>
    </row>
    <row r="502" s="479" customFormat="1" ht="12.75">
      <c r="E502" s="490"/>
    </row>
    <row r="503" s="479" customFormat="1" ht="12.75">
      <c r="E503" s="490"/>
    </row>
    <row r="504" s="479" customFormat="1" ht="12.75">
      <c r="E504" s="490"/>
    </row>
    <row r="505" s="479" customFormat="1" ht="12.75">
      <c r="E505" s="490"/>
    </row>
    <row r="506" s="479" customFormat="1" ht="12.75">
      <c r="E506" s="490"/>
    </row>
    <row r="507" s="479" customFormat="1" ht="12.75">
      <c r="E507" s="490"/>
    </row>
    <row r="508" s="479" customFormat="1" ht="12.75">
      <c r="E508" s="490"/>
    </row>
    <row r="509" s="479" customFormat="1" ht="12.75">
      <c r="E509" s="490"/>
    </row>
    <row r="510" s="479" customFormat="1" ht="12.75">
      <c r="E510" s="490"/>
    </row>
    <row r="511" s="479" customFormat="1" ht="12.75">
      <c r="E511" s="490"/>
    </row>
    <row r="512" s="479" customFormat="1" ht="12.75">
      <c r="E512" s="490"/>
    </row>
    <row r="513" s="479" customFormat="1" ht="12.75">
      <c r="E513" s="490"/>
    </row>
    <row r="514" s="479" customFormat="1" ht="12.75">
      <c r="E514" s="490"/>
    </row>
    <row r="515" s="479" customFormat="1" ht="12.75">
      <c r="E515" s="490"/>
    </row>
    <row r="516" s="479" customFormat="1" ht="12.75">
      <c r="E516" s="490"/>
    </row>
    <row r="517" s="479" customFormat="1" ht="12.75">
      <c r="E517" s="490"/>
    </row>
    <row r="518" s="479" customFormat="1" ht="12.75">
      <c r="E518" s="490"/>
    </row>
    <row r="519" s="479" customFormat="1" ht="12.75">
      <c r="E519" s="490"/>
    </row>
    <row r="520" s="479" customFormat="1" ht="12.75">
      <c r="E520" s="490"/>
    </row>
    <row r="521" s="479" customFormat="1" ht="12.75">
      <c r="E521" s="490"/>
    </row>
    <row r="522" s="479" customFormat="1" ht="12.75">
      <c r="E522" s="490"/>
    </row>
    <row r="523" s="479" customFormat="1" ht="12.75">
      <c r="E523" s="490"/>
    </row>
    <row r="524" s="479" customFormat="1" ht="12.75">
      <c r="E524" s="490"/>
    </row>
    <row r="525" s="479" customFormat="1" ht="12.75">
      <c r="E525" s="490"/>
    </row>
    <row r="526" s="479" customFormat="1" ht="12.75">
      <c r="E526" s="490"/>
    </row>
    <row r="527" s="479" customFormat="1" ht="12.75">
      <c r="E527" s="490"/>
    </row>
    <row r="528" s="479" customFormat="1" ht="12.75">
      <c r="E528" s="490"/>
    </row>
    <row r="529" s="479" customFormat="1" ht="12.75">
      <c r="E529" s="490"/>
    </row>
    <row r="530" s="479" customFormat="1" ht="12.75">
      <c r="E530" s="490"/>
    </row>
    <row r="531" s="479" customFormat="1" ht="12.75">
      <c r="E531" s="490"/>
    </row>
    <row r="532" s="479" customFormat="1" ht="12.75">
      <c r="E532" s="490"/>
    </row>
    <row r="533" s="479" customFormat="1" ht="12.75">
      <c r="E533" s="490"/>
    </row>
    <row r="534" s="479" customFormat="1" ht="12.75">
      <c r="E534" s="490"/>
    </row>
    <row r="535" s="479" customFormat="1" ht="12.75">
      <c r="E535" s="490"/>
    </row>
    <row r="536" s="479" customFormat="1" ht="12.75">
      <c r="E536" s="490"/>
    </row>
    <row r="537" s="479" customFormat="1" ht="12.75">
      <c r="E537" s="490"/>
    </row>
    <row r="538" s="479" customFormat="1" ht="12.75">
      <c r="E538" s="490"/>
    </row>
    <row r="539" s="479" customFormat="1" ht="12.75">
      <c r="E539" s="490"/>
    </row>
    <row r="540" s="479" customFormat="1" ht="12.75">
      <c r="E540" s="490"/>
    </row>
    <row r="541" s="479" customFormat="1" ht="12.75">
      <c r="E541" s="490"/>
    </row>
    <row r="542" s="479" customFormat="1" ht="12.75">
      <c r="E542" s="490"/>
    </row>
    <row r="543" s="479" customFormat="1" ht="12.75">
      <c r="E543" s="490"/>
    </row>
    <row r="544" s="479" customFormat="1" ht="12.75">
      <c r="E544" s="490"/>
    </row>
    <row r="545" s="479" customFormat="1" ht="12.75">
      <c r="E545" s="490"/>
    </row>
    <row r="546" s="479" customFormat="1" ht="12.75">
      <c r="E546" s="490"/>
    </row>
    <row r="547" s="479" customFormat="1" ht="12.75">
      <c r="E547" s="490"/>
    </row>
    <row r="548" s="479" customFormat="1" ht="12.75">
      <c r="E548" s="490"/>
    </row>
    <row r="549" s="479" customFormat="1" ht="12.75">
      <c r="E549" s="490"/>
    </row>
    <row r="550" s="479" customFormat="1" ht="12.75">
      <c r="E550" s="490"/>
    </row>
    <row r="551" s="479" customFormat="1" ht="12.75">
      <c r="E551" s="490"/>
    </row>
    <row r="552" s="479" customFormat="1" ht="12.75">
      <c r="E552" s="490"/>
    </row>
    <row r="553" s="479" customFormat="1" ht="12.75">
      <c r="E553" s="490"/>
    </row>
    <row r="554" s="479" customFormat="1" ht="12.75">
      <c r="E554" s="490"/>
    </row>
    <row r="555" s="479" customFormat="1" ht="12.75">
      <c r="E555" s="490"/>
    </row>
    <row r="556" s="479" customFormat="1" ht="12.75">
      <c r="E556" s="490"/>
    </row>
    <row r="557" s="479" customFormat="1" ht="12.75">
      <c r="E557" s="490"/>
    </row>
    <row r="558" s="479" customFormat="1" ht="12.75">
      <c r="E558" s="490"/>
    </row>
    <row r="559" s="479" customFormat="1" ht="12.75">
      <c r="E559" s="490"/>
    </row>
    <row r="560" s="479" customFormat="1" ht="12.75">
      <c r="E560" s="490"/>
    </row>
    <row r="561" s="479" customFormat="1" ht="12.75">
      <c r="E561" s="490"/>
    </row>
    <row r="562" s="479" customFormat="1" ht="12.75">
      <c r="E562" s="490"/>
    </row>
    <row r="563" s="479" customFormat="1" ht="12.75">
      <c r="E563" s="490"/>
    </row>
    <row r="564" s="479" customFormat="1" ht="12.75">
      <c r="E564" s="490"/>
    </row>
    <row r="565" s="479" customFormat="1" ht="12.75">
      <c r="E565" s="490"/>
    </row>
    <row r="566" s="479" customFormat="1" ht="12.75">
      <c r="E566" s="490"/>
    </row>
    <row r="567" s="479" customFormat="1" ht="12.75">
      <c r="E567" s="490"/>
    </row>
    <row r="568" s="479" customFormat="1" ht="12.75">
      <c r="E568" s="490"/>
    </row>
    <row r="569" spans="1:5" ht="12.75">
      <c r="A569" s="479"/>
      <c r="B569" s="479"/>
      <c r="C569" s="479"/>
      <c r="D569" s="479"/>
      <c r="E569" s="490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fitToHeight="1" fitToWidth="1"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showGridLines="0" zoomScale="85" zoomScaleNormal="85" zoomScalePageLayoutView="0" workbookViewId="0" topLeftCell="A1">
      <selection activeCell="C4" sqref="C4"/>
    </sheetView>
  </sheetViews>
  <sheetFormatPr defaultColWidth="11.57421875" defaultRowHeight="12.75"/>
  <cols>
    <col min="1" max="1" width="66.00390625" style="376" customWidth="1"/>
    <col min="2" max="2" width="0.42578125" style="376" hidden="1" customWidth="1"/>
    <col min="3" max="3" width="15.8515625" style="376" customWidth="1"/>
    <col min="4" max="4" width="20.7109375" style="376" customWidth="1"/>
    <col min="5" max="5" width="10.28125" style="376" customWidth="1"/>
    <col min="6" max="6" width="11.57421875" style="378" customWidth="1"/>
    <col min="7" max="16384" width="11.57421875" style="376" customWidth="1"/>
  </cols>
  <sheetData>
    <row r="1" spans="1:7" ht="12.75">
      <c r="A1" s="805"/>
      <c r="B1" s="805"/>
      <c r="C1" s="808" t="s">
        <v>829</v>
      </c>
      <c r="E1" s="805"/>
      <c r="F1" s="805"/>
      <c r="G1" s="805"/>
    </row>
    <row r="2" spans="1:7" ht="25.5" customHeight="1">
      <c r="A2" s="805"/>
      <c r="B2" s="805"/>
      <c r="C2" s="1065" t="s">
        <v>830</v>
      </c>
      <c r="D2" s="1065"/>
      <c r="E2" s="805"/>
      <c r="F2" s="805"/>
      <c r="G2" s="805"/>
    </row>
    <row r="3" spans="1:7" ht="12.75">
      <c r="A3" s="805"/>
      <c r="B3" s="809"/>
      <c r="C3" s="805"/>
      <c r="D3" s="805"/>
      <c r="E3" s="805"/>
      <c r="F3" s="805"/>
      <c r="G3" s="805"/>
    </row>
    <row r="4" spans="1:6" ht="12.75">
      <c r="A4" s="805" t="s">
        <v>678</v>
      </c>
      <c r="B4" s="805"/>
      <c r="C4" s="810">
        <v>42339</v>
      </c>
      <c r="D4" s="805"/>
      <c r="E4" s="805"/>
      <c r="F4" s="805"/>
    </row>
    <row r="5" spans="1:6" ht="12.75">
      <c r="A5" s="805" t="s">
        <v>828</v>
      </c>
      <c r="B5" s="805"/>
      <c r="C5" s="811" t="s">
        <v>831</v>
      </c>
      <c r="D5" s="805"/>
      <c r="E5" s="805"/>
      <c r="F5" s="805"/>
    </row>
    <row r="6" spans="1:4" ht="13.5" thickBot="1">
      <c r="A6" s="377"/>
      <c r="B6" s="377"/>
      <c r="C6" s="377"/>
      <c r="D6" s="377"/>
    </row>
    <row r="7" spans="1:6" s="380" customFormat="1" ht="35.25" customHeight="1">
      <c r="A7" s="1068" t="s">
        <v>463</v>
      </c>
      <c r="B7" s="1069"/>
      <c r="C7" s="1070"/>
      <c r="D7" s="379">
        <v>2016</v>
      </c>
      <c r="F7" s="381"/>
    </row>
    <row r="8" spans="1:4" ht="25.5" customHeight="1" thickBot="1">
      <c r="A8" s="1071" t="str">
        <f>CPYG!A8</f>
        <v>TRANSPORTES INTERURBANOS DE TENERIFE, S.A.U.</v>
      </c>
      <c r="B8" s="1072"/>
      <c r="C8" s="1072"/>
      <c r="D8" s="382" t="s">
        <v>568</v>
      </c>
    </row>
    <row r="9" spans="1:4" ht="30" customHeight="1">
      <c r="A9" s="1073" t="s">
        <v>823</v>
      </c>
      <c r="B9" s="1074"/>
      <c r="C9" s="1074"/>
      <c r="D9" s="1075"/>
    </row>
    <row r="10" spans="1:4" ht="36" customHeight="1" thickBot="1">
      <c r="A10" s="383"/>
      <c r="B10" s="384"/>
      <c r="C10" s="385" t="s">
        <v>53</v>
      </c>
      <c r="D10" s="386" t="s">
        <v>54</v>
      </c>
    </row>
    <row r="11" spans="1:4" ht="17.25" customHeight="1" thickBot="1">
      <c r="A11" s="387" t="s">
        <v>835</v>
      </c>
      <c r="B11" s="388"/>
      <c r="C11" s="389"/>
      <c r="D11" s="390"/>
    </row>
    <row r="12" spans="1:4" ht="12.75">
      <c r="A12" s="391" t="s">
        <v>569</v>
      </c>
      <c r="B12" s="392"/>
      <c r="C12" s="607">
        <f>+CPYG!D112</f>
        <v>21375.782999999683</v>
      </c>
      <c r="D12" s="608">
        <f>+CPYG!C112</f>
        <v>122132.4000000087</v>
      </c>
    </row>
    <row r="13" spans="1:4" ht="12.75">
      <c r="A13" s="393" t="s">
        <v>570</v>
      </c>
      <c r="B13" s="394"/>
      <c r="C13" s="617">
        <f>SUM(C14:C24)</f>
        <v>428645.6200000003</v>
      </c>
      <c r="D13" s="743">
        <f>SUM(D14:D24)</f>
        <v>504124.3599999998</v>
      </c>
    </row>
    <row r="14" spans="1:4" ht="12.75">
      <c r="A14" s="395" t="s">
        <v>571</v>
      </c>
      <c r="B14" s="394"/>
      <c r="C14" s="609">
        <v>4554115.91</v>
      </c>
      <c r="D14" s="610">
        <v>5636917.99</v>
      </c>
    </row>
    <row r="15" spans="1:4" ht="12.75">
      <c r="A15" s="395" t="s">
        <v>572</v>
      </c>
      <c r="B15" s="394"/>
      <c r="C15" s="609"/>
      <c r="D15" s="610"/>
    </row>
    <row r="16" spans="1:4" ht="12.75">
      <c r="A16" s="395" t="s">
        <v>573</v>
      </c>
      <c r="B16" s="394"/>
      <c r="C16" s="609"/>
      <c r="D16" s="610"/>
    </row>
    <row r="17" spans="1:4" ht="12.75">
      <c r="A17" s="395" t="s">
        <v>574</v>
      </c>
      <c r="B17" s="394"/>
      <c r="C17" s="609"/>
      <c r="D17" s="610"/>
    </row>
    <row r="18" spans="1:4" ht="12.75">
      <c r="A18" s="395" t="s">
        <v>575</v>
      </c>
      <c r="B18" s="394"/>
      <c r="C18" s="609">
        <v>-4130070.09</v>
      </c>
      <c r="D18" s="610">
        <v>-5194541.94</v>
      </c>
    </row>
    <row r="19" spans="1:4" ht="12.75">
      <c r="A19" s="395" t="s">
        <v>576</v>
      </c>
      <c r="B19" s="394"/>
      <c r="C19" s="609"/>
      <c r="D19" s="610">
        <v>20941.37</v>
      </c>
    </row>
    <row r="20" spans="1:4" ht="12.75">
      <c r="A20" s="395" t="s">
        <v>577</v>
      </c>
      <c r="B20" s="394"/>
      <c r="C20" s="609">
        <v>-308500</v>
      </c>
      <c r="D20" s="610">
        <v>-340000</v>
      </c>
    </row>
    <row r="21" spans="1:4" ht="12.75">
      <c r="A21" s="395" t="s">
        <v>578</v>
      </c>
      <c r="B21" s="394"/>
      <c r="C21" s="609">
        <v>313099.8</v>
      </c>
      <c r="D21" s="610">
        <v>344599.8</v>
      </c>
    </row>
    <row r="22" spans="1:4" ht="12.75">
      <c r="A22" s="395" t="s">
        <v>579</v>
      </c>
      <c r="B22" s="394"/>
      <c r="C22" s="609"/>
      <c r="D22" s="610"/>
    </row>
    <row r="23" spans="1:4" ht="12.75">
      <c r="A23" s="396" t="s">
        <v>580</v>
      </c>
      <c r="B23" s="394"/>
      <c r="C23" s="609"/>
      <c r="D23" s="610"/>
    </row>
    <row r="24" spans="1:4" ht="12.75">
      <c r="A24" s="396" t="s">
        <v>581</v>
      </c>
      <c r="B24" s="394"/>
      <c r="C24" s="609"/>
      <c r="D24" s="610">
        <v>36207.14</v>
      </c>
    </row>
    <row r="25" spans="1:5" ht="12.75">
      <c r="A25" s="393" t="s">
        <v>582</v>
      </c>
      <c r="B25" s="394"/>
      <c r="C25" s="617">
        <f>SUM(C26:C31)</f>
        <v>1285660.24</v>
      </c>
      <c r="D25" s="743">
        <f>SUM(D26:D31)</f>
        <v>8906382.380000003</v>
      </c>
      <c r="E25" s="397"/>
    </row>
    <row r="26" spans="1:5" ht="12.75" customHeight="1">
      <c r="A26" s="395" t="s">
        <v>583</v>
      </c>
      <c r="B26" s="394"/>
      <c r="C26" s="609">
        <v>-63660</v>
      </c>
      <c r="D26" s="610">
        <v>-63476.27</v>
      </c>
      <c r="E26" s="397"/>
    </row>
    <row r="27" spans="1:5" ht="12.75" customHeight="1">
      <c r="A27" s="395" t="s">
        <v>584</v>
      </c>
      <c r="B27" s="394"/>
      <c r="C27" s="609">
        <v>887217.77</v>
      </c>
      <c r="D27" s="610">
        <v>12613497.71</v>
      </c>
      <c r="E27" s="397"/>
    </row>
    <row r="28" spans="1:5" ht="12.75" customHeight="1">
      <c r="A28" s="395" t="s">
        <v>585</v>
      </c>
      <c r="B28" s="394"/>
      <c r="C28" s="609"/>
      <c r="D28" s="610">
        <v>4575.82</v>
      </c>
      <c r="E28" s="397"/>
    </row>
    <row r="29" spans="1:5" ht="12.75" customHeight="1">
      <c r="A29" s="395" t="s">
        <v>586</v>
      </c>
      <c r="B29" s="394"/>
      <c r="C29" s="609">
        <v>457641.99</v>
      </c>
      <c r="D29" s="610">
        <v>-3104444.13</v>
      </c>
      <c r="E29" s="397"/>
    </row>
    <row r="30" spans="1:5" ht="12.75" customHeight="1">
      <c r="A30" s="395" t="s">
        <v>587</v>
      </c>
      <c r="B30" s="394"/>
      <c r="C30" s="609">
        <v>4460.48</v>
      </c>
      <c r="D30" s="610">
        <v>-543770.75</v>
      </c>
      <c r="E30" s="397"/>
    </row>
    <row r="31" spans="1:5" ht="12.75" customHeight="1">
      <c r="A31" s="395" t="s">
        <v>588</v>
      </c>
      <c r="B31" s="394"/>
      <c r="C31" s="609"/>
      <c r="D31" s="610"/>
      <c r="E31" s="397"/>
    </row>
    <row r="32" spans="1:5" ht="12.75">
      <c r="A32" s="393" t="s">
        <v>591</v>
      </c>
      <c r="B32" s="394"/>
      <c r="C32" s="617">
        <f>SUM(C33:C37)</f>
        <v>-4599.799999999988</v>
      </c>
      <c r="D32" s="743">
        <f>SUM(D33:D37)</f>
        <v>-4599.799999999988</v>
      </c>
      <c r="E32" s="397"/>
    </row>
    <row r="33" spans="1:5" ht="12.75" customHeight="1">
      <c r="A33" s="395" t="s">
        <v>592</v>
      </c>
      <c r="B33" s="394"/>
      <c r="C33" s="609">
        <v>-313099.8</v>
      </c>
      <c r="D33" s="610">
        <v>-344599.8</v>
      </c>
      <c r="E33" s="397"/>
    </row>
    <row r="34" spans="1:5" ht="12.75" customHeight="1">
      <c r="A34" s="395" t="s">
        <v>593</v>
      </c>
      <c r="B34" s="394"/>
      <c r="C34" s="609"/>
      <c r="D34" s="610"/>
      <c r="E34" s="397"/>
    </row>
    <row r="35" spans="1:4" ht="12.75" customHeight="1">
      <c r="A35" s="395" t="s">
        <v>594</v>
      </c>
      <c r="B35" s="394"/>
      <c r="C35" s="609"/>
      <c r="D35" s="610"/>
    </row>
    <row r="36" spans="1:4" ht="12.75" customHeight="1">
      <c r="A36" s="395" t="s">
        <v>595</v>
      </c>
      <c r="B36" s="394"/>
      <c r="C36" s="609">
        <v>308500</v>
      </c>
      <c r="D36" s="610">
        <v>340000</v>
      </c>
    </row>
    <row r="37" spans="1:4" ht="13.5" thickBot="1">
      <c r="A37" s="395" t="s">
        <v>596</v>
      </c>
      <c r="B37" s="398"/>
      <c r="C37" s="609"/>
      <c r="D37" s="610"/>
    </row>
    <row r="38" spans="1:4" ht="15" customHeight="1" thickBot="1" thickTop="1">
      <c r="A38" s="1076" t="s">
        <v>597</v>
      </c>
      <c r="B38" s="1077"/>
      <c r="C38" s="618">
        <f>C12+C13+C25+C32</f>
        <v>1731081.8429999999</v>
      </c>
      <c r="D38" s="619">
        <f>D12+D13+D25+D32</f>
        <v>9528039.340000011</v>
      </c>
    </row>
    <row r="39" spans="1:4" ht="17.25" customHeight="1" thickBot="1">
      <c r="A39" s="387" t="s">
        <v>605</v>
      </c>
      <c r="B39" s="388"/>
      <c r="C39" s="620"/>
      <c r="D39" s="621"/>
    </row>
    <row r="40" spans="1:4" ht="12.75">
      <c r="A40" s="391" t="s">
        <v>606</v>
      </c>
      <c r="B40" s="399"/>
      <c r="C40" s="622">
        <f>SUM(C41:C48)</f>
        <v>-1287824.8</v>
      </c>
      <c r="D40" s="744">
        <f>SUM(D41:D48)</f>
        <v>-950806.4</v>
      </c>
    </row>
    <row r="41" spans="1:4" ht="12.75">
      <c r="A41" s="395" t="s">
        <v>607</v>
      </c>
      <c r="B41" s="400"/>
      <c r="C41" s="609"/>
      <c r="D41" s="610"/>
    </row>
    <row r="42" spans="1:4" ht="12.75">
      <c r="A42" s="395" t="s">
        <v>608</v>
      </c>
      <c r="B42" s="400"/>
      <c r="C42" s="609"/>
      <c r="D42" s="610"/>
    </row>
    <row r="43" spans="1:4" ht="12.75">
      <c r="A43" s="395" t="s">
        <v>609</v>
      </c>
      <c r="B43" s="400"/>
      <c r="C43" s="609">
        <v>-1287824.8</v>
      </c>
      <c r="D43" s="610">
        <v>-949892</v>
      </c>
    </row>
    <row r="44" spans="1:4" ht="12.75">
      <c r="A44" s="395" t="s">
        <v>610</v>
      </c>
      <c r="B44" s="400"/>
      <c r="C44" s="609"/>
      <c r="D44" s="610"/>
    </row>
    <row r="45" spans="1:4" ht="12.75">
      <c r="A45" s="395" t="s">
        <v>611</v>
      </c>
      <c r="B45" s="400"/>
      <c r="C45" s="609"/>
      <c r="D45" s="610">
        <v>-914.4</v>
      </c>
    </row>
    <row r="46" spans="1:4" ht="12.75">
      <c r="A46" s="395" t="s">
        <v>612</v>
      </c>
      <c r="B46" s="400"/>
      <c r="C46" s="609"/>
      <c r="D46" s="610"/>
    </row>
    <row r="47" spans="1:4" ht="12.75">
      <c r="A47" s="395" t="s">
        <v>613</v>
      </c>
      <c r="B47" s="400"/>
      <c r="C47" s="609"/>
      <c r="D47" s="610"/>
    </row>
    <row r="48" spans="1:4" ht="12.75">
      <c r="A48" s="395" t="s">
        <v>614</v>
      </c>
      <c r="B48" s="400"/>
      <c r="C48" s="609"/>
      <c r="D48" s="610"/>
    </row>
    <row r="49" spans="1:4" ht="12.75">
      <c r="A49" s="393" t="s">
        <v>615</v>
      </c>
      <c r="B49" s="400"/>
      <c r="C49" s="617">
        <f>SUM(C50:C57)</f>
        <v>0</v>
      </c>
      <c r="D49" s="743">
        <f>SUM(D50:D57)</f>
        <v>24735.35</v>
      </c>
    </row>
    <row r="50" spans="1:4" ht="12.75">
      <c r="A50" s="395" t="s">
        <v>616</v>
      </c>
      <c r="B50" s="400"/>
      <c r="C50" s="609"/>
      <c r="D50" s="610"/>
    </row>
    <row r="51" spans="1:4" ht="12.75">
      <c r="A51" s="395" t="s">
        <v>608</v>
      </c>
      <c r="B51" s="400"/>
      <c r="C51" s="609"/>
      <c r="D51" s="610"/>
    </row>
    <row r="52" spans="1:4" ht="12.75">
      <c r="A52" s="395" t="s">
        <v>609</v>
      </c>
      <c r="B52" s="400"/>
      <c r="C52" s="609"/>
      <c r="D52" s="610"/>
    </row>
    <row r="53" spans="1:4" ht="12.75">
      <c r="A53" s="395" t="s">
        <v>610</v>
      </c>
      <c r="B53" s="400"/>
      <c r="C53" s="609"/>
      <c r="D53" s="610"/>
    </row>
    <row r="54" spans="1:4" ht="12.75">
      <c r="A54" s="395" t="s">
        <v>611</v>
      </c>
      <c r="B54" s="400"/>
      <c r="C54" s="609"/>
      <c r="D54" s="610">
        <v>24735.35</v>
      </c>
    </row>
    <row r="55" spans="1:4" ht="12.75">
      <c r="A55" s="395" t="s">
        <v>612</v>
      </c>
      <c r="B55" s="400"/>
      <c r="C55" s="609"/>
      <c r="D55" s="610"/>
    </row>
    <row r="56" spans="1:4" ht="12.75">
      <c r="A56" s="395" t="s">
        <v>613</v>
      </c>
      <c r="B56" s="400"/>
      <c r="C56" s="609"/>
      <c r="D56" s="610"/>
    </row>
    <row r="57" spans="1:4" ht="12.75">
      <c r="A57" s="395" t="s">
        <v>614</v>
      </c>
      <c r="B57" s="400"/>
      <c r="C57" s="609"/>
      <c r="D57" s="610"/>
    </row>
    <row r="58" spans="1:4" ht="13.5" thickBot="1">
      <c r="A58" s="401" t="s">
        <v>617</v>
      </c>
      <c r="B58" s="402"/>
      <c r="C58" s="618">
        <f>C40+C49</f>
        <v>-1287824.8</v>
      </c>
      <c r="D58" s="619">
        <f>D40+D49</f>
        <v>-926071.05</v>
      </c>
    </row>
    <row r="59" spans="1:4" ht="17.25" customHeight="1" thickBot="1">
      <c r="A59" s="387" t="s">
        <v>618</v>
      </c>
      <c r="B59" s="388"/>
      <c r="C59" s="620"/>
      <c r="D59" s="621"/>
    </row>
    <row r="60" spans="1:4" ht="12.75">
      <c r="A60" s="403" t="s">
        <v>619</v>
      </c>
      <c r="B60" s="404"/>
      <c r="C60" s="623">
        <f>SUM(C61:C65)</f>
        <v>593850</v>
      </c>
      <c r="D60" s="745">
        <f>SUM(D61:D65)</f>
        <v>949892</v>
      </c>
    </row>
    <row r="61" spans="1:4" ht="12.75">
      <c r="A61" s="395" t="s">
        <v>620</v>
      </c>
      <c r="B61" s="400"/>
      <c r="C61" s="609"/>
      <c r="D61" s="610"/>
    </row>
    <row r="62" spans="1:4" ht="12.75">
      <c r="A62" s="395" t="s">
        <v>621</v>
      </c>
      <c r="B62" s="400"/>
      <c r="C62" s="609"/>
      <c r="D62" s="610"/>
    </row>
    <row r="63" spans="1:4" ht="12.75">
      <c r="A63" s="395" t="s">
        <v>622</v>
      </c>
      <c r="B63" s="400"/>
      <c r="C63" s="609"/>
      <c r="D63" s="610"/>
    </row>
    <row r="64" spans="1:4" ht="12.75">
      <c r="A64" s="395" t="s">
        <v>623</v>
      </c>
      <c r="B64" s="400"/>
      <c r="C64" s="609"/>
      <c r="D64" s="610"/>
    </row>
    <row r="65" spans="1:4" ht="12.75" customHeight="1">
      <c r="A65" s="395" t="s">
        <v>624</v>
      </c>
      <c r="B65" s="400"/>
      <c r="C65" s="609">
        <v>593850</v>
      </c>
      <c r="D65" s="610">
        <v>949892</v>
      </c>
    </row>
    <row r="66" spans="1:4" ht="12.75">
      <c r="A66" s="393" t="s">
        <v>625</v>
      </c>
      <c r="B66" s="400"/>
      <c r="C66" s="617">
        <f>C67+C73</f>
        <v>-1024786</v>
      </c>
      <c r="D66" s="743">
        <f>D67+D73</f>
        <v>-9899236.73</v>
      </c>
    </row>
    <row r="67" spans="1:4" ht="12.75">
      <c r="A67" s="395" t="s">
        <v>626</v>
      </c>
      <c r="B67" s="400"/>
      <c r="C67" s="617">
        <f>SUM(C68:C72)</f>
        <v>0</v>
      </c>
      <c r="D67" s="743">
        <f>SUM(D68:D72)</f>
        <v>0</v>
      </c>
    </row>
    <row r="68" spans="1:4" ht="12.75" customHeight="1">
      <c r="A68" s="395" t="s">
        <v>627</v>
      </c>
      <c r="B68" s="400"/>
      <c r="C68" s="609"/>
      <c r="D68" s="610"/>
    </row>
    <row r="69" spans="1:4" ht="12.75" customHeight="1">
      <c r="A69" s="395" t="s">
        <v>628</v>
      </c>
      <c r="B69" s="400"/>
      <c r="C69" s="609"/>
      <c r="D69" s="610"/>
    </row>
    <row r="70" spans="1:4" ht="12.75" customHeight="1">
      <c r="A70" s="395" t="s">
        <v>629</v>
      </c>
      <c r="B70" s="400"/>
      <c r="C70" s="609"/>
      <c r="D70" s="610"/>
    </row>
    <row r="71" spans="1:4" ht="12.75" customHeight="1">
      <c r="A71" s="395" t="s">
        <v>630</v>
      </c>
      <c r="B71" s="400"/>
      <c r="C71" s="609"/>
      <c r="D71" s="610"/>
    </row>
    <row r="72" spans="1:4" ht="12.75" customHeight="1">
      <c r="A72" s="395" t="s">
        <v>631</v>
      </c>
      <c r="B72" s="400"/>
      <c r="C72" s="609"/>
      <c r="D72" s="610"/>
    </row>
    <row r="73" spans="1:4" ht="12.75">
      <c r="A73" s="395" t="s">
        <v>632</v>
      </c>
      <c r="B73" s="400"/>
      <c r="C73" s="617">
        <f>SUM(C74:C78)</f>
        <v>-1024786</v>
      </c>
      <c r="D73" s="743">
        <f>SUM(D74:D78)</f>
        <v>-9899236.73</v>
      </c>
    </row>
    <row r="74" spans="1:4" ht="12.75" customHeight="1">
      <c r="A74" s="395" t="s">
        <v>633</v>
      </c>
      <c r="B74" s="400"/>
      <c r="C74" s="609"/>
      <c r="D74" s="610"/>
    </row>
    <row r="75" spans="1:4" ht="12.75" customHeight="1">
      <c r="A75" s="395" t="s">
        <v>634</v>
      </c>
      <c r="B75" s="400"/>
      <c r="C75" s="609">
        <v>-963585.27</v>
      </c>
      <c r="D75" s="610">
        <v>-9835929.48</v>
      </c>
    </row>
    <row r="76" spans="1:4" ht="12.75" customHeight="1">
      <c r="A76" s="395" t="s">
        <v>635</v>
      </c>
      <c r="B76" s="400"/>
      <c r="C76" s="609"/>
      <c r="D76" s="610"/>
    </row>
    <row r="77" spans="1:4" ht="12.75" customHeight="1">
      <c r="A77" s="395" t="s">
        <v>636</v>
      </c>
      <c r="B77" s="400"/>
      <c r="C77" s="609"/>
      <c r="D77" s="610"/>
    </row>
    <row r="78" spans="1:4" ht="12.75" customHeight="1">
      <c r="A78" s="395" t="s">
        <v>637</v>
      </c>
      <c r="B78" s="400"/>
      <c r="C78" s="609">
        <v>-61200.73</v>
      </c>
      <c r="D78" s="610">
        <v>-63307.25</v>
      </c>
    </row>
    <row r="79" spans="1:4" ht="25.5">
      <c r="A79" s="393" t="s">
        <v>638</v>
      </c>
      <c r="B79" s="400"/>
      <c r="C79" s="617">
        <f>SUM(C80:C81)</f>
        <v>0</v>
      </c>
      <c r="D79" s="743">
        <f>SUM(D80:D81)</f>
        <v>0</v>
      </c>
    </row>
    <row r="80" spans="1:4" ht="15" customHeight="1">
      <c r="A80" s="395" t="s">
        <v>639</v>
      </c>
      <c r="B80" s="405" t="s">
        <v>620</v>
      </c>
      <c r="C80" s="609"/>
      <c r="D80" s="610"/>
    </row>
    <row r="81" spans="1:4" ht="12.75">
      <c r="A81" s="395" t="s">
        <v>640</v>
      </c>
      <c r="B81" s="405" t="s">
        <v>621</v>
      </c>
      <c r="C81" s="609"/>
      <c r="D81" s="610"/>
    </row>
    <row r="82" spans="1:4" ht="23.25" customHeight="1" thickBot="1">
      <c r="A82" s="1066" t="s">
        <v>641</v>
      </c>
      <c r="B82" s="1067"/>
      <c r="C82" s="624">
        <f>C60+C66+C79</f>
        <v>-430936</v>
      </c>
      <c r="D82" s="625">
        <f>D60+D66+D79</f>
        <v>-8949344.73</v>
      </c>
    </row>
    <row r="83" spans="1:4" ht="17.25" customHeight="1" thickBot="1">
      <c r="A83" s="406" t="s">
        <v>642</v>
      </c>
      <c r="B83" s="407"/>
      <c r="C83" s="611"/>
      <c r="D83" s="612"/>
    </row>
    <row r="84" spans="1:4" ht="25.5" customHeight="1" thickBot="1">
      <c r="A84" s="408" t="s">
        <v>643</v>
      </c>
      <c r="B84" s="409"/>
      <c r="C84" s="626">
        <f>C38+C58+C82+C83</f>
        <v>12321.04299999983</v>
      </c>
      <c r="D84" s="627">
        <f>D38+D58+D82+D83</f>
        <v>-347376.43999999017</v>
      </c>
    </row>
    <row r="85" spans="1:4" ht="12.75">
      <c r="A85" s="410" t="s">
        <v>644</v>
      </c>
      <c r="B85" s="411"/>
      <c r="C85" s="613">
        <v>54181.42</v>
      </c>
      <c r="D85" s="614">
        <v>401557.86</v>
      </c>
    </row>
    <row r="86" spans="1:4" ht="13.5" customHeight="1" thickBot="1">
      <c r="A86" s="412" t="s">
        <v>645</v>
      </c>
      <c r="B86" s="413"/>
      <c r="C86" s="615">
        <v>66502.46</v>
      </c>
      <c r="D86" s="616">
        <v>54181.42</v>
      </c>
    </row>
    <row r="87" spans="3:4" ht="12.75">
      <c r="C87" s="414"/>
      <c r="D87" s="415"/>
    </row>
    <row r="88" spans="3:4" ht="12.75">
      <c r="C88" s="415"/>
      <c r="D88" s="415"/>
    </row>
    <row r="89" spans="3:4" ht="12.75">
      <c r="C89" s="415"/>
      <c r="D89" s="415"/>
    </row>
    <row r="90" spans="3:4" ht="12.75">
      <c r="C90" s="415"/>
      <c r="D90" s="415"/>
    </row>
    <row r="91" spans="3:4" ht="12.75">
      <c r="C91" s="415"/>
      <c r="D91" s="415"/>
    </row>
    <row r="92" spans="3:4" ht="12.75">
      <c r="C92" s="415"/>
      <c r="D92" s="415"/>
    </row>
    <row r="93" spans="3:4" ht="12.75">
      <c r="C93" s="415"/>
      <c r="D93" s="415"/>
    </row>
    <row r="94" spans="3:4" ht="12.75">
      <c r="C94" s="415"/>
      <c r="D94" s="415"/>
    </row>
    <row r="95" spans="3:4" ht="12.75">
      <c r="C95" s="415"/>
      <c r="D95" s="415"/>
    </row>
    <row r="96" spans="3:4" ht="12.75">
      <c r="C96" s="415"/>
      <c r="D96" s="415"/>
    </row>
    <row r="97" spans="3:4" ht="12.75">
      <c r="C97" s="415"/>
      <c r="D97" s="415"/>
    </row>
    <row r="98" spans="3:4" ht="12.75">
      <c r="C98" s="415"/>
      <c r="D98" s="415"/>
    </row>
    <row r="99" spans="3:4" ht="12.75">
      <c r="C99" s="415"/>
      <c r="D99" s="415"/>
    </row>
    <row r="100" spans="3:4" ht="12.75">
      <c r="C100" s="415"/>
      <c r="D100" s="415"/>
    </row>
    <row r="101" spans="3:4" ht="12.75">
      <c r="C101" s="415"/>
      <c r="D101" s="415"/>
    </row>
  </sheetData>
  <sheetProtection/>
  <mergeCells count="6">
    <mergeCell ref="C2:D2"/>
    <mergeCell ref="A82:B82"/>
    <mergeCell ref="A7:C7"/>
    <mergeCell ref="A8:C8"/>
    <mergeCell ref="A9:D9"/>
    <mergeCell ref="A38:B38"/>
  </mergeCells>
  <printOptions horizontalCentered="1" verticalCentered="1"/>
  <pageMargins left="0.7480314960629921" right="0.2362204724409449" top="0.38" bottom="0.984251968503937" header="0" footer="0"/>
  <pageSetup orientation="portrait" paperSize="9" scale="55" r:id="rId2"/>
  <headerFooter alignWithMargins="0">
    <oddFooter>&amp;L&amp;7Plaza de España, 1
38003 Santa Cruz de Tenerife
Teléfono: 901 501 901
www.tenerife.es</oddFooter>
  </headerFooter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zoomScale="55" zoomScaleNormal="55" zoomScalePageLayoutView="0" workbookViewId="0" topLeftCell="A1">
      <selection activeCell="C5" sqref="C5"/>
    </sheetView>
  </sheetViews>
  <sheetFormatPr defaultColWidth="11.57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7.8515625" style="133" bestFit="1" customWidth="1"/>
    <col min="6" max="6" width="15.8515625" style="133" bestFit="1" customWidth="1"/>
    <col min="7" max="7" width="17.8515625" style="133" bestFit="1" customWidth="1"/>
    <col min="8" max="8" width="14.8515625" style="133" bestFit="1" customWidth="1"/>
    <col min="9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813"/>
      <c r="B1" s="813"/>
      <c r="C1" s="803" t="s">
        <v>829</v>
      </c>
      <c r="D1" s="813"/>
      <c r="E1" s="813"/>
      <c r="F1" s="813"/>
      <c r="G1" s="813"/>
    </row>
    <row r="2" spans="1:7" ht="14.25">
      <c r="A2" s="813"/>
      <c r="B2" s="813"/>
      <c r="C2" s="804" t="s">
        <v>830</v>
      </c>
      <c r="D2" s="813"/>
      <c r="E2" s="813"/>
      <c r="F2" s="813"/>
      <c r="G2" s="813"/>
    </row>
    <row r="3" spans="1:7" ht="14.25">
      <c r="A3" s="813"/>
      <c r="B3" s="813"/>
      <c r="C3" s="813"/>
      <c r="D3" s="813"/>
      <c r="E3" s="813"/>
      <c r="F3" s="813"/>
      <c r="G3" s="813"/>
    </row>
    <row r="4" spans="1:7" ht="14.25">
      <c r="A4" s="813"/>
      <c r="B4" s="813"/>
      <c r="C4" s="813"/>
      <c r="D4" s="813"/>
      <c r="E4" s="813"/>
      <c r="F4" s="813"/>
      <c r="G4" s="813"/>
    </row>
    <row r="5" spans="1:7" ht="15">
      <c r="A5" s="802" t="s">
        <v>678</v>
      </c>
      <c r="B5" s="813"/>
      <c r="C5" s="807">
        <v>42339</v>
      </c>
      <c r="D5" s="813"/>
      <c r="E5" s="813"/>
      <c r="F5" s="813"/>
      <c r="G5" s="813"/>
    </row>
    <row r="6" spans="1:7" ht="15">
      <c r="A6" s="802" t="s">
        <v>828</v>
      </c>
      <c r="B6" s="813"/>
      <c r="C6" s="806" t="s">
        <v>831</v>
      </c>
      <c r="D6" s="813"/>
      <c r="E6" s="813"/>
      <c r="F6" s="813"/>
      <c r="G6" s="813"/>
    </row>
    <row r="7" ht="13.5" thickBot="1"/>
    <row r="8" spans="1:16" ht="12.75">
      <c r="A8" s="1079" t="s">
        <v>646</v>
      </c>
      <c r="B8" s="1080"/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80"/>
      <c r="N8" s="1079">
        <v>2016</v>
      </c>
      <c r="O8" s="1080"/>
      <c r="P8" s="1088"/>
    </row>
    <row r="9" spans="1:16" ht="15.75" customHeight="1">
      <c r="A9" s="1081" t="s">
        <v>647</v>
      </c>
      <c r="B9" s="1082"/>
      <c r="C9" s="1082"/>
      <c r="D9" s="1082"/>
      <c r="E9" s="1082"/>
      <c r="F9" s="1082"/>
      <c r="G9" s="1082"/>
      <c r="H9" s="1082"/>
      <c r="I9" s="1082"/>
      <c r="J9" s="1082"/>
      <c r="K9" s="1082"/>
      <c r="L9" s="1082"/>
      <c r="M9" s="1082"/>
      <c r="N9" s="1081"/>
      <c r="O9" s="1082"/>
      <c r="P9" s="1089"/>
    </row>
    <row r="10" spans="1:16" ht="19.5" customHeight="1" thickBot="1">
      <c r="A10" s="1083" t="str">
        <f>CPYG!A8</f>
        <v>TRANSPORTES INTERURBANOS DE TENERIFE, S.A.U.</v>
      </c>
      <c r="B10" s="1084"/>
      <c r="C10" s="1084"/>
      <c r="D10" s="1084"/>
      <c r="E10" s="1084"/>
      <c r="F10" s="1084"/>
      <c r="G10" s="1084"/>
      <c r="H10" s="1084"/>
      <c r="I10" s="1084"/>
      <c r="J10" s="1084"/>
      <c r="K10" s="1084"/>
      <c r="L10" s="1084"/>
      <c r="M10" s="1084"/>
      <c r="N10" s="1085" t="s">
        <v>648</v>
      </c>
      <c r="O10" s="1086"/>
      <c r="P10" s="1087"/>
    </row>
    <row r="11" spans="1:16" ht="23.25" customHeight="1">
      <c r="A11" s="1090" t="s">
        <v>649</v>
      </c>
      <c r="B11" s="1091"/>
      <c r="C11" s="210"/>
      <c r="D11" s="210"/>
      <c r="E11" s="210"/>
      <c r="F11" s="211"/>
      <c r="G11" s="1090" t="s">
        <v>650</v>
      </c>
      <c r="H11" s="1091"/>
      <c r="I11" s="1091"/>
      <c r="J11" s="1091"/>
      <c r="K11" s="1092"/>
      <c r="L11" s="1090" t="s">
        <v>651</v>
      </c>
      <c r="M11" s="1091"/>
      <c r="N11" s="1091"/>
      <c r="O11" s="1091"/>
      <c r="P11" s="1092"/>
    </row>
    <row r="12" spans="1:16" ht="53.25" customHeight="1" thickBot="1">
      <c r="A12" s="212" t="s">
        <v>652</v>
      </c>
      <c r="B12" s="213" t="s">
        <v>653</v>
      </c>
      <c r="C12" s="214" t="s">
        <v>654</v>
      </c>
      <c r="D12" s="214" t="s">
        <v>655</v>
      </c>
      <c r="E12" s="214" t="s">
        <v>656</v>
      </c>
      <c r="F12" s="215" t="s">
        <v>55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657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657</v>
      </c>
    </row>
    <row r="13" spans="1:16" ht="19.5" customHeight="1">
      <c r="A13" s="628"/>
      <c r="B13" s="629" t="s">
        <v>291</v>
      </c>
      <c r="C13" s="629">
        <v>2015</v>
      </c>
      <c r="D13" s="629">
        <v>2016</v>
      </c>
      <c r="E13" s="630">
        <f>97533.66+452802.5</f>
        <v>550336.16</v>
      </c>
      <c r="F13" s="631">
        <v>97533.66</v>
      </c>
      <c r="G13" s="632">
        <v>452802.5</v>
      </c>
      <c r="H13" s="630"/>
      <c r="I13" s="630"/>
      <c r="J13" s="630"/>
      <c r="K13" s="631"/>
      <c r="L13" s="632"/>
      <c r="M13" s="630"/>
      <c r="N13" s="630"/>
      <c r="O13" s="630"/>
      <c r="P13" s="631"/>
    </row>
    <row r="14" spans="1:16" ht="19.5" customHeight="1">
      <c r="A14" s="633"/>
      <c r="B14" s="634" t="s">
        <v>292</v>
      </c>
      <c r="C14" s="634">
        <v>2015</v>
      </c>
      <c r="D14" s="634">
        <v>2016</v>
      </c>
      <c r="E14" s="635">
        <f>278894+394133+241172.3</f>
        <v>914199.3</v>
      </c>
      <c r="F14" s="636">
        <f>278894+394133</f>
        <v>673027</v>
      </c>
      <c r="G14" s="637">
        <v>241172.3</v>
      </c>
      <c r="H14" s="635"/>
      <c r="I14" s="635"/>
      <c r="J14" s="635"/>
      <c r="K14" s="636"/>
      <c r="L14" s="637"/>
      <c r="M14" s="635"/>
      <c r="N14" s="635"/>
      <c r="O14" s="635"/>
      <c r="P14" s="636"/>
    </row>
    <row r="15" spans="1:16" ht="19.5" customHeight="1">
      <c r="A15" s="633"/>
      <c r="B15" s="634" t="s">
        <v>293</v>
      </c>
      <c r="C15" s="634">
        <v>2015</v>
      </c>
      <c r="D15" s="634">
        <v>2016</v>
      </c>
      <c r="E15" s="635">
        <f>144595.22+593850</f>
        <v>738445.22</v>
      </c>
      <c r="F15" s="636">
        <v>144595.22</v>
      </c>
      <c r="G15" s="637">
        <v>593850</v>
      </c>
      <c r="H15" s="635"/>
      <c r="I15" s="635"/>
      <c r="J15" s="635"/>
      <c r="K15" s="636"/>
      <c r="L15" s="637"/>
      <c r="M15" s="635"/>
      <c r="N15" s="635"/>
      <c r="O15" s="635"/>
      <c r="P15" s="636"/>
    </row>
    <row r="16" spans="1:16" ht="19.5" customHeight="1">
      <c r="A16" s="633"/>
      <c r="B16" s="634" t="s">
        <v>706</v>
      </c>
      <c r="C16" s="634">
        <v>2015</v>
      </c>
      <c r="D16" s="634">
        <v>2016</v>
      </c>
      <c r="E16" s="635">
        <v>34716.12</v>
      </c>
      <c r="F16" s="636">
        <v>34716.12</v>
      </c>
      <c r="G16" s="637"/>
      <c r="H16" s="635"/>
      <c r="I16" s="635"/>
      <c r="J16" s="635"/>
      <c r="K16" s="636"/>
      <c r="L16" s="637"/>
      <c r="M16" s="635"/>
      <c r="N16" s="635"/>
      <c r="O16" s="635"/>
      <c r="P16" s="636"/>
    </row>
    <row r="17" spans="1:16" ht="19.5" customHeight="1">
      <c r="A17" s="633"/>
      <c r="B17" s="634"/>
      <c r="C17" s="634"/>
      <c r="D17" s="634"/>
      <c r="E17" s="635"/>
      <c r="F17" s="636"/>
      <c r="G17" s="637"/>
      <c r="H17" s="635"/>
      <c r="I17" s="635"/>
      <c r="J17" s="635"/>
      <c r="K17" s="636"/>
      <c r="L17" s="637"/>
      <c r="M17" s="635"/>
      <c r="N17" s="635"/>
      <c r="O17" s="635"/>
      <c r="P17" s="636"/>
    </row>
    <row r="18" spans="1:16" ht="19.5" customHeight="1">
      <c r="A18" s="633"/>
      <c r="B18" s="634"/>
      <c r="C18" s="634"/>
      <c r="D18" s="634"/>
      <c r="E18" s="844">
        <f>SUM(E13:E17)</f>
        <v>2237696.8</v>
      </c>
      <c r="F18" s="844">
        <f>SUM(F13:F17)</f>
        <v>949872</v>
      </c>
      <c r="G18" s="845">
        <f>SUM(G13:G16)</f>
        <v>1287824.8</v>
      </c>
      <c r="H18" s="635"/>
      <c r="I18" s="635"/>
      <c r="J18" s="635"/>
      <c r="K18" s="636"/>
      <c r="L18" s="637"/>
      <c r="M18" s="635"/>
      <c r="N18" s="635"/>
      <c r="O18" s="635"/>
      <c r="P18" s="636"/>
    </row>
    <row r="19" spans="1:16" ht="19.5" customHeight="1">
      <c r="A19" s="633"/>
      <c r="B19" s="634"/>
      <c r="C19" s="634"/>
      <c r="D19" s="634"/>
      <c r="E19" s="635"/>
      <c r="F19" s="636"/>
      <c r="G19" s="637"/>
      <c r="H19" s="635"/>
      <c r="I19" s="635"/>
      <c r="J19" s="635"/>
      <c r="K19" s="636"/>
      <c r="L19" s="637"/>
      <c r="M19" s="635"/>
      <c r="N19" s="635"/>
      <c r="O19" s="635"/>
      <c r="P19" s="636"/>
    </row>
    <row r="20" spans="1:16" ht="19.5" customHeight="1">
      <c r="A20" s="633"/>
      <c r="B20" s="634"/>
      <c r="C20" s="634"/>
      <c r="D20" s="634"/>
      <c r="E20" s="635"/>
      <c r="F20" s="636"/>
      <c r="G20" s="637"/>
      <c r="H20" s="635"/>
      <c r="I20" s="635"/>
      <c r="J20" s="635"/>
      <c r="K20" s="636"/>
      <c r="L20" s="637"/>
      <c r="M20" s="635"/>
      <c r="N20" s="635"/>
      <c r="O20" s="635"/>
      <c r="P20" s="636"/>
    </row>
    <row r="21" spans="1:16" ht="19.5" customHeight="1">
      <c r="A21" s="633"/>
      <c r="B21" s="634"/>
      <c r="C21" s="634"/>
      <c r="D21" s="634"/>
      <c r="E21" s="635"/>
      <c r="F21" s="636"/>
      <c r="G21" s="637"/>
      <c r="H21" s="635"/>
      <c r="I21" s="635"/>
      <c r="J21" s="635"/>
      <c r="K21" s="636"/>
      <c r="L21" s="637"/>
      <c r="M21" s="635"/>
      <c r="N21" s="635"/>
      <c r="O21" s="635"/>
      <c r="P21" s="636"/>
    </row>
    <row r="22" spans="1:16" ht="19.5" customHeight="1">
      <c r="A22" s="633"/>
      <c r="B22" s="634"/>
      <c r="C22" s="634"/>
      <c r="D22" s="634"/>
      <c r="E22" s="635"/>
      <c r="F22" s="636"/>
      <c r="G22" s="637"/>
      <c r="H22" s="635"/>
      <c r="I22" s="635"/>
      <c r="J22" s="635"/>
      <c r="K22" s="636"/>
      <c r="L22" s="637"/>
      <c r="M22" s="635"/>
      <c r="N22" s="635"/>
      <c r="O22" s="635"/>
      <c r="P22" s="636"/>
    </row>
    <row r="23" spans="1:16" ht="19.5" customHeight="1">
      <c r="A23" s="633"/>
      <c r="B23" s="634"/>
      <c r="C23" s="634"/>
      <c r="D23" s="634"/>
      <c r="E23" s="635"/>
      <c r="F23" s="636"/>
      <c r="G23" s="637"/>
      <c r="H23" s="635"/>
      <c r="I23" s="635"/>
      <c r="J23" s="635"/>
      <c r="K23" s="636"/>
      <c r="L23" s="637"/>
      <c r="M23" s="635"/>
      <c r="N23" s="635"/>
      <c r="O23" s="635"/>
      <c r="P23" s="636"/>
    </row>
    <row r="24" spans="1:16" ht="19.5" customHeight="1">
      <c r="A24" s="633"/>
      <c r="B24" s="634"/>
      <c r="C24" s="634"/>
      <c r="D24" s="634"/>
      <c r="E24" s="635"/>
      <c r="F24" s="636"/>
      <c r="G24" s="637"/>
      <c r="H24" s="635"/>
      <c r="I24" s="635"/>
      <c r="J24" s="635"/>
      <c r="K24" s="636"/>
      <c r="L24" s="637"/>
      <c r="M24" s="635"/>
      <c r="N24" s="635"/>
      <c r="O24" s="635"/>
      <c r="P24" s="636"/>
    </row>
    <row r="25" spans="1:16" ht="19.5" customHeight="1">
      <c r="A25" s="633"/>
      <c r="B25" s="634"/>
      <c r="C25" s="634"/>
      <c r="D25" s="634"/>
      <c r="E25" s="635"/>
      <c r="F25" s="636"/>
      <c r="G25" s="637"/>
      <c r="H25" s="635"/>
      <c r="I25" s="635"/>
      <c r="J25" s="635"/>
      <c r="K25" s="636"/>
      <c r="L25" s="637"/>
      <c r="M25" s="635"/>
      <c r="N25" s="635"/>
      <c r="O25" s="635"/>
      <c r="P25" s="636"/>
    </row>
    <row r="26" spans="1:16" ht="19.5" customHeight="1">
      <c r="A26" s="633"/>
      <c r="B26" s="634"/>
      <c r="C26" s="634"/>
      <c r="D26" s="634"/>
      <c r="E26" s="635"/>
      <c r="F26" s="636"/>
      <c r="G26" s="637"/>
      <c r="H26" s="635"/>
      <c r="I26" s="635"/>
      <c r="J26" s="635"/>
      <c r="K26" s="636"/>
      <c r="L26" s="637"/>
      <c r="M26" s="635"/>
      <c r="N26" s="635"/>
      <c r="O26" s="635"/>
      <c r="P26" s="636"/>
    </row>
    <row r="27" spans="1:16" ht="19.5" customHeight="1">
      <c r="A27" s="633"/>
      <c r="B27" s="634"/>
      <c r="C27" s="634"/>
      <c r="D27" s="634"/>
      <c r="E27" s="635"/>
      <c r="F27" s="636"/>
      <c r="G27" s="637"/>
      <c r="H27" s="635"/>
      <c r="I27" s="635"/>
      <c r="J27" s="635"/>
      <c r="K27" s="636"/>
      <c r="L27" s="637"/>
      <c r="M27" s="635"/>
      <c r="N27" s="635"/>
      <c r="O27" s="635"/>
      <c r="P27" s="636"/>
    </row>
    <row r="28" spans="1:16" ht="19.5" customHeight="1">
      <c r="A28" s="633"/>
      <c r="B28" s="634"/>
      <c r="C28" s="634"/>
      <c r="D28" s="634"/>
      <c r="E28" s="635"/>
      <c r="F28" s="636"/>
      <c r="G28" s="637"/>
      <c r="H28" s="635"/>
      <c r="I28" s="635"/>
      <c r="J28" s="635"/>
      <c r="K28" s="636"/>
      <c r="L28" s="637"/>
      <c r="M28" s="635"/>
      <c r="N28" s="635"/>
      <c r="O28" s="635"/>
      <c r="P28" s="636"/>
    </row>
    <row r="29" spans="1:16" ht="19.5" customHeight="1">
      <c r="A29" s="633"/>
      <c r="B29" s="634"/>
      <c r="C29" s="634"/>
      <c r="D29" s="634"/>
      <c r="E29" s="635"/>
      <c r="F29" s="636"/>
      <c r="G29" s="637"/>
      <c r="H29" s="635"/>
      <c r="I29" s="635"/>
      <c r="J29" s="635"/>
      <c r="K29" s="636"/>
      <c r="L29" s="637"/>
      <c r="M29" s="635"/>
      <c r="N29" s="635"/>
      <c r="O29" s="635"/>
      <c r="P29" s="636"/>
    </row>
    <row r="30" spans="1:16" ht="19.5" customHeight="1">
      <c r="A30" s="633"/>
      <c r="B30" s="634"/>
      <c r="C30" s="634"/>
      <c r="D30" s="634"/>
      <c r="E30" s="635"/>
      <c r="F30" s="636"/>
      <c r="G30" s="637"/>
      <c r="H30" s="635"/>
      <c r="I30" s="635"/>
      <c r="J30" s="635"/>
      <c r="K30" s="636"/>
      <c r="L30" s="637"/>
      <c r="M30" s="635"/>
      <c r="N30" s="635"/>
      <c r="O30" s="635"/>
      <c r="P30" s="636"/>
    </row>
    <row r="31" spans="1:16" ht="19.5" customHeight="1">
      <c r="A31" s="633"/>
      <c r="B31" s="634"/>
      <c r="C31" s="634"/>
      <c r="D31" s="634"/>
      <c r="E31" s="635"/>
      <c r="F31" s="636"/>
      <c r="G31" s="637"/>
      <c r="H31" s="635"/>
      <c r="I31" s="635"/>
      <c r="J31" s="635"/>
      <c r="K31" s="636"/>
      <c r="L31" s="637"/>
      <c r="M31" s="635"/>
      <c r="N31" s="635"/>
      <c r="O31" s="635"/>
      <c r="P31" s="636"/>
    </row>
    <row r="32" spans="1:16" ht="19.5" customHeight="1">
      <c r="A32" s="633"/>
      <c r="B32" s="634"/>
      <c r="C32" s="634"/>
      <c r="D32" s="634"/>
      <c r="E32" s="635"/>
      <c r="F32" s="636"/>
      <c r="G32" s="637"/>
      <c r="H32" s="635"/>
      <c r="I32" s="635"/>
      <c r="J32" s="635"/>
      <c r="K32" s="636"/>
      <c r="L32" s="637"/>
      <c r="M32" s="635"/>
      <c r="N32" s="635"/>
      <c r="O32" s="635"/>
      <c r="P32" s="636"/>
    </row>
    <row r="33" spans="1:16" ht="19.5" customHeight="1" thickBot="1">
      <c r="A33" s="638"/>
      <c r="B33" s="639"/>
      <c r="C33" s="639"/>
      <c r="D33" s="639"/>
      <c r="E33" s="640"/>
      <c r="F33" s="641"/>
      <c r="G33" s="642"/>
      <c r="H33" s="640"/>
      <c r="I33" s="640"/>
      <c r="J33" s="640"/>
      <c r="K33" s="641"/>
      <c r="L33" s="642"/>
      <c r="M33" s="640"/>
      <c r="N33" s="640"/>
      <c r="O33" s="640"/>
      <c r="P33" s="641"/>
    </row>
    <row r="34" spans="1:6" ht="12.75">
      <c r="A34" s="158"/>
      <c r="B34" s="158"/>
      <c r="C34" s="158"/>
      <c r="D34" s="158"/>
      <c r="E34" s="158"/>
      <c r="F34" s="158"/>
    </row>
    <row r="35" s="867" customFormat="1" ht="12.75" hidden="1">
      <c r="A35" s="867" t="s">
        <v>658</v>
      </c>
    </row>
    <row r="36" spans="1:10" s="867" customFormat="1" ht="12.75" hidden="1">
      <c r="A36" s="1078" t="s">
        <v>659</v>
      </c>
      <c r="B36" s="1078"/>
      <c r="C36" s="1078"/>
      <c r="D36" s="1078"/>
      <c r="E36" s="1078"/>
      <c r="F36" s="1078"/>
      <c r="G36" s="1078"/>
      <c r="H36" s="1078"/>
      <c r="I36" s="1078"/>
      <c r="J36" s="1078"/>
    </row>
    <row r="37" spans="1:9" s="867" customFormat="1" ht="12.75" hidden="1">
      <c r="A37" s="1078" t="s">
        <v>660</v>
      </c>
      <c r="B37" s="1078"/>
      <c r="C37" s="1078"/>
      <c r="D37" s="1078"/>
      <c r="E37" s="1078"/>
      <c r="F37" s="1078"/>
      <c r="G37" s="1078"/>
      <c r="H37" s="1078"/>
      <c r="I37" s="1078"/>
    </row>
    <row r="38" s="867" customFormat="1" ht="12.75" hidden="1"/>
    <row r="39" s="867" customFormat="1" ht="12.75" hidden="1"/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2016-01-22T10:49:33Z</cp:lastPrinted>
  <dcterms:created xsi:type="dcterms:W3CDTF">2004-09-28T16:33:32Z</dcterms:created>
  <dcterms:modified xsi:type="dcterms:W3CDTF">2016-03-07T10:34:13Z</dcterms:modified>
  <cp:category/>
  <cp:version/>
  <cp:contentType/>
  <cp:contentStatus/>
</cp:coreProperties>
</file>