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3630" windowWidth="17250" windowHeight="3630" tabRatio="870" firstSheet="1" activeTab="20"/>
  </bookViews>
  <sheets>
    <sheet name="No rellenar Consolidación" sheetId="1" state="hidden" r:id="rId1"/>
    <sheet name="ORGANOS DE GOBIERNO" sheetId="2" r:id="rId2"/>
    <sheet name="ACCIONISTAS" sheetId="3" r:id="rId3"/>
    <sheet name="COMPROBACION" sheetId="4" r:id="rId4"/>
    <sheet name="CPYG" sheetId="5" r:id="rId5"/>
    <sheet name="ACTIVO" sheetId="6" r:id="rId6"/>
    <sheet name="PASIVO" sheetId="7" r:id="rId7"/>
    <sheet name="Estado de Flujos" sheetId="8" r:id="rId8"/>
    <sheet name="Inversiones reales" sheetId="9" r:id="rId9"/>
    <sheet name="Inv. NO FIN" sheetId="10" r:id="rId10"/>
    <sheet name="Inv. FIN" sheetId="11" r:id="rId11"/>
    <sheet name="No rellenar EP-5 " sheetId="12" state="hidden" r:id="rId12"/>
    <sheet name="INF. ADIC. CPYG" sheetId="13" r:id="rId13"/>
    <sheet name="Transf. y subv." sheetId="14" r:id="rId14"/>
    <sheet name="Estado de situación de la deuda" sheetId="15" r:id="rId15"/>
    <sheet name="Deuda L.P." sheetId="16" r:id="rId16"/>
    <sheet name="EP7 A" sheetId="17" state="hidden" r:id="rId17"/>
    <sheet name="Deuda C.P." sheetId="18" r:id="rId18"/>
    <sheet name="Personal" sheetId="19" r:id="rId19"/>
    <sheet name="Operaciones Internas" sheetId="20" r:id="rId20"/>
    <sheet name="Encomiendas" sheetId="21" r:id="rId21"/>
    <sheet name="1" sheetId="22" r:id="rId22"/>
    <sheet name="2" sheetId="23" r:id="rId23"/>
    <sheet name="3" sheetId="24" r:id="rId24"/>
  </sheets>
  <definedNames>
    <definedName name="_xlnm.Print_Area" localSheetId="21">'1'!$A$1:$H$30</definedName>
    <definedName name="_xlnm.Print_Area" localSheetId="22">'2'!$B$2:$D$61</definedName>
    <definedName name="_xlnm.Print_Area" localSheetId="23">'3'!$B$2:$D$93</definedName>
    <definedName name="_xlnm.Print_Area" localSheetId="2">'ACCIONISTAS'!$A$1:$E$52</definedName>
    <definedName name="_xlnm.Print_Area" localSheetId="5">'ACTIVO'!$A$1:$D$48</definedName>
    <definedName name="_xlnm.Print_Area" localSheetId="3">'COMPROBACION'!$B$1:$D$72</definedName>
    <definedName name="_xlnm.Print_Area" localSheetId="4">'CPYG'!$A$1:$D$111</definedName>
    <definedName name="_xlnm.Print_Area" localSheetId="17">'Deuda C.P.'!$A$1:$O$26</definedName>
    <definedName name="_xlnm.Print_Area" localSheetId="15">'Deuda L.P.'!$A$1:$O$29</definedName>
    <definedName name="_xlnm.Print_Area" localSheetId="20">'Encomiendas'!$A$1:$E$28</definedName>
    <definedName name="_xlnm.Print_Area" localSheetId="16">'EP7 A'!$A$1:$H$25</definedName>
    <definedName name="_xlnm.Print_Area" localSheetId="7">'Estado de Flujos'!$A$1:$D$86</definedName>
    <definedName name="_xlnm.Print_Area" localSheetId="14">'Estado de situación de la deuda'!$A$1:$J$57</definedName>
    <definedName name="_xlnm.Print_Area" localSheetId="12">'INF. ADIC. CPYG'!$A$1:$E$28</definedName>
    <definedName name="_xlnm.Print_Area" localSheetId="10">'Inv. FIN'!$A$1:$L$79</definedName>
    <definedName name="_xlnm.Print_Area" localSheetId="9">'Inv. NO FIN'!$A$1:$K$28</definedName>
    <definedName name="_xlnm.Print_Area" localSheetId="8">'Inversiones reales'!$A$1:$P$33</definedName>
    <definedName name="_xlnm.Print_Area" localSheetId="0">'No rellenar Consolidación'!$A$1:$D$99</definedName>
    <definedName name="_xlnm.Print_Area" localSheetId="11">'No rellenar EP-5 '!$A$1:$D$81</definedName>
    <definedName name="_xlnm.Print_Area" localSheetId="19">'Operaciones Internas'!$A$1:$D$51</definedName>
    <definedName name="_xlnm.Print_Area" localSheetId="1">'ORGANOS DE GOBIERNO'!$A$1:$H$20</definedName>
    <definedName name="_xlnm.Print_Area" localSheetId="6">'PASIVO'!$A$1:$D$65</definedName>
    <definedName name="_xlnm.Print_Area" localSheetId="18">'Personal'!$A$1:$H$59</definedName>
    <definedName name="_xlnm.Print_Area" localSheetId="13">'Transf. y subv.'!$A$1:$H$72</definedName>
  </definedNames>
  <calcPr fullCalcOnLoad="1"/>
</workbook>
</file>

<file path=xl/comments1.xml><?xml version="1.0" encoding="utf-8"?>
<comments xmlns="http://schemas.openxmlformats.org/spreadsheetml/2006/main">
  <authors>
    <author>Alfonso Padr?n Su?rez</author>
    <author>AlfonsoP</author>
  </authors>
  <commentList>
    <comment ref="C17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Ingresos Financieros + Ingresos de Arrendamientos y accesorios + Ingresos por Dividendos de otras empresas (deben ser de Mercado)</t>
        </r>
      </text>
    </comment>
    <comment ref="C69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Se deberá tener en cuenta las variaciones en el corto plazo tambián mirar ficha EP-7, y tener en cuenta la devolución de fianzas y depósitos</t>
        </r>
      </text>
    </comment>
    <comment ref="C80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Resultado del Ejercicio + Variación de Capital Corriente</t>
        </r>
      </text>
    </comment>
    <comment ref="D96" authorId="1">
      <text>
        <r>
          <rPr>
            <b/>
            <sz val="8"/>
            <rFont val="Tahoma"/>
            <family val="2"/>
          </rPr>
          <t>AlfonsoP:</t>
        </r>
        <r>
          <rPr>
            <sz val="8"/>
            <rFont val="Tahoma"/>
            <family val="2"/>
          </rPr>
          <t xml:space="preserve">
Amortización y Diferencia de Cambios, porque las Provisiones estan en Fondo de Maniobra</t>
        </r>
      </text>
    </comment>
  </commentList>
</comments>
</file>

<file path=xl/sharedStrings.xml><?xml version="1.0" encoding="utf-8"?>
<sst xmlns="http://schemas.openxmlformats.org/spreadsheetml/2006/main" count="1474" uniqueCount="922">
  <si>
    <t>APORTACIÓN CORRIENTE PRÓRROGA CONV. ITER POLITICAS GOB. ABIERTO</t>
  </si>
  <si>
    <t>APORTACIÓN CORRIENTE PRÓRROGA CANAL TV</t>
  </si>
  <si>
    <t>APORTACIÓN CORRIENTE CONV. ITER CREACIÓN CTRO. CEDEL</t>
  </si>
  <si>
    <t>APORTACIÓN CORRIENTE UMAM</t>
  </si>
  <si>
    <t>Aportación Capital CENTRO EXCELENCIA DEL DSLLO E INNOVACIÓN</t>
  </si>
  <si>
    <t>ITER</t>
  </si>
  <si>
    <t xml:space="preserve">    V. Periodificación a L/P.(1)</t>
  </si>
  <si>
    <t>Aportación</t>
  </si>
  <si>
    <t>Resultado</t>
  </si>
  <si>
    <t>Bcio/Pérdida (+ bcio - pérdida)</t>
  </si>
  <si>
    <t xml:space="preserve">       I.Pasivos vinculados con activos no corrientes mantenidos para la venta.</t>
  </si>
  <si>
    <t xml:space="preserve">       II. Provisiones a Corto Plazo.</t>
  </si>
  <si>
    <t xml:space="preserve">       III. Deudas a Corto Plazo.</t>
  </si>
  <si>
    <t xml:space="preserve">              2. Deudas con Entidades de Crédito.</t>
  </si>
  <si>
    <t xml:space="preserve">      IV. Deudas con empresas del grupo y asociadas a C/P.</t>
  </si>
  <si>
    <t xml:space="preserve">      V. Acreedores comerciales y otras cuentas a pagar.</t>
  </si>
  <si>
    <t xml:space="preserve">              1. Proveedores.</t>
  </si>
  <si>
    <t>(1) Especificar el Importe para su consolidación</t>
  </si>
  <si>
    <t xml:space="preserve">       2. Construcciones.   </t>
  </si>
  <si>
    <t xml:space="preserve">    VI.Activos por Impuesto Diferido.</t>
  </si>
  <si>
    <t xml:space="preserve">       1. Clientes por ventas y prestaciones de servicios.</t>
  </si>
  <si>
    <t xml:space="preserve">    VI.Periodificaciones a Corto Plazo (1)</t>
  </si>
  <si>
    <t xml:space="preserve">    VII.Efectivo y otros Activos Líquidos Equivalentes.</t>
  </si>
  <si>
    <t xml:space="preserve">       1. Tesorería.</t>
  </si>
  <si>
    <t>Ajuste del Pasivo ( Imptos Diferidos)</t>
  </si>
  <si>
    <t>Ajuste del Pasivo (Por cambio de valor)</t>
  </si>
  <si>
    <t>Ajuste del Pasivo (Subv., Donac. Y Legados)</t>
  </si>
  <si>
    <t>Variación 2011/2010</t>
  </si>
  <si>
    <t>Variación 2012/2011</t>
  </si>
  <si>
    <t>DIFERENCIA INGRESOS / GASTOS:</t>
  </si>
  <si>
    <t>Ajuste del Activo (Amortizaciones)</t>
  </si>
  <si>
    <t>Ajuste del Activo (Impuestos Diferidos)</t>
  </si>
  <si>
    <t>Ajuste del Pasivo (Provisiones)</t>
  </si>
  <si>
    <t>Bce (A) V. Inv. Fin.</t>
  </si>
  <si>
    <t>Cuadre</t>
  </si>
  <si>
    <t>Fondo de maniobra</t>
  </si>
  <si>
    <t>Cuadre con pasivo</t>
  </si>
  <si>
    <t xml:space="preserve">    VI. Periodificación a C/P.(1)</t>
  </si>
  <si>
    <t>Activo</t>
  </si>
  <si>
    <t>Beneficio/pérdida con aportación Cabildo  en grupo 74</t>
  </si>
  <si>
    <t>Tiene que dar</t>
  </si>
  <si>
    <t xml:space="preserve">       2. Otros activos líquidos equivalentes.</t>
  </si>
  <si>
    <t>(1) Especificar o explicitar su importe para su consolidación</t>
  </si>
  <si>
    <t>PRESUPUESTO GENERAL DEL CABILDO INSULAR DE TENERIFE PROGRAMA DE ACTUACIÓN, INVERSIONES Y FINANCIACIÓN</t>
  </si>
  <si>
    <t>EMPRESA PÚBLICA: CASINO PLAYA AMERICAS</t>
  </si>
  <si>
    <t>INTERESES PAGADOS Y COBRADOS</t>
  </si>
  <si>
    <t>ENTIDAD BENEFICIARIA</t>
  </si>
  <si>
    <t>INTERESES PAGADOS</t>
  </si>
  <si>
    <t>INTERESES DEVENGADOS AL VENCIMIENTO</t>
  </si>
  <si>
    <t>CajaCanarias/BS/BBVA</t>
  </si>
  <si>
    <t>Comisión Tarj. Cdto.</t>
  </si>
  <si>
    <t>Otras comisiones</t>
  </si>
  <si>
    <t>ENTIDAD PAGADORA</t>
  </si>
  <si>
    <t>INTERESES COBRADOS</t>
  </si>
  <si>
    <t>Cabildo de Tenerife</t>
  </si>
  <si>
    <t>Deuda Pública</t>
  </si>
  <si>
    <t>Cmdad. Autónoma</t>
  </si>
  <si>
    <t>Cajacanarias</t>
  </si>
  <si>
    <t>Plazo Fijo</t>
  </si>
  <si>
    <t>B.S.C.H.</t>
  </si>
  <si>
    <t>Fondos Fim</t>
  </si>
  <si>
    <t>CajaCanarias</t>
  </si>
  <si>
    <t>Intereses C/C</t>
  </si>
  <si>
    <t>Otras Comisiones</t>
  </si>
  <si>
    <t>Área</t>
  </si>
  <si>
    <t xml:space="preserve">Concepto </t>
  </si>
  <si>
    <t>Importe</t>
  </si>
  <si>
    <t>Duración</t>
  </si>
  <si>
    <t>Ingresos</t>
  </si>
  <si>
    <t>Ente</t>
  </si>
  <si>
    <t>Gastos</t>
  </si>
  <si>
    <t>18. IMPUESTOS SOBRE BENEFICIOS</t>
  </si>
  <si>
    <t>(2) Esta cuenta tiene que ver con la imputación de subvenciones de capital a resultados.</t>
  </si>
  <si>
    <t xml:space="preserve">      a) Deterioros y pérdidas</t>
  </si>
  <si>
    <t xml:space="preserve">        TOTAL ACTIVO (A+B)</t>
  </si>
  <si>
    <t>C) PASIVO CORRIENTE</t>
  </si>
  <si>
    <t xml:space="preserve">        TOTAL PASIVO (A+B+C)</t>
  </si>
  <si>
    <t>PRESUPUESTO GENERAL DEL CABILDO INSULAR DE TENERIFE
PROGRAMA DE ACTUACIÓN, INVERSIONES Y FINANCIACIÓN</t>
  </si>
  <si>
    <t>ACTIVO</t>
  </si>
  <si>
    <t>PASIVO</t>
  </si>
  <si>
    <t xml:space="preserve">       II.Prima de Emisión </t>
  </si>
  <si>
    <t xml:space="preserve">       V.Resultados de ejercicios anteriores</t>
  </si>
  <si>
    <t xml:space="preserve">    II.Existencias</t>
  </si>
  <si>
    <t>Intereses</t>
  </si>
  <si>
    <t>Amortizaciones</t>
  </si>
  <si>
    <t>IMPORTE</t>
  </si>
  <si>
    <t>DE EXPLOTACIÓN:</t>
  </si>
  <si>
    <t>INSTRUCCIONES:</t>
  </si>
  <si>
    <t xml:space="preserve">   </t>
  </si>
  <si>
    <t xml:space="preserve">          a) Ventas</t>
  </si>
  <si>
    <t>AVALES PRESTADOS POR EL CABILDO INSULAR DE TENERIFE (en euros)</t>
  </si>
  <si>
    <t>TOTAL</t>
  </si>
  <si>
    <t>ÁREA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</si>
  <si>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</si>
  <si>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</si>
  <si>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</si>
  <si>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</si>
  <si>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</si>
  <si>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CASINO DE TAORO, SA</t>
  </si>
  <si>
    <t>CASINO DE PLAYA DE LAS AMÉRICAS, SA</t>
  </si>
  <si>
    <t>CASINO DE SANTA CRUZ, SA</t>
  </si>
  <si>
    <t>EMPRESA INSULAR DE ARTESANÍA, SA</t>
  </si>
  <si>
    <t>INSTIT.FERIAL DE TENERIFE, SA</t>
  </si>
  <si>
    <t>AUDITORIO DE TENERIFE, SA</t>
  </si>
  <si>
    <t>Deberá informarse en la memoria de actividades sobre la naturaleza de las operaciones que se prevé realizar.</t>
  </si>
  <si>
    <t>METROPOLITANO DE TENERIFE, S.A.</t>
  </si>
  <si>
    <t>TITSA</t>
  </si>
  <si>
    <t>y a qué grupo de función pertenece</t>
  </si>
  <si>
    <t xml:space="preserve">    I. Inmovilizado Intangible</t>
  </si>
  <si>
    <t xml:space="preserve">    II.Inmovilizado material</t>
  </si>
  <si>
    <t xml:space="preserve">    III.Inversiones Inmobiliarias.</t>
  </si>
  <si>
    <t xml:space="preserve">      1.Terrenos</t>
  </si>
  <si>
    <t xml:space="preserve">    IV.Inversiones Empresas del Grupo y Asoc. a L/P</t>
  </si>
  <si>
    <t xml:space="preserve">    V.Inversiones Financieras a L/P</t>
  </si>
  <si>
    <t xml:space="preserve">    I.Activos no corrientes mantenidos para la venta</t>
  </si>
  <si>
    <t xml:space="preserve">    III.Deudores Comerciales y otras cuentas a cobrar.</t>
  </si>
  <si>
    <t xml:space="preserve">    IV.Inversiones Empresas del Grupo y Asoc. a C/P</t>
  </si>
  <si>
    <t xml:space="preserve">    V.Inversiones Financieras a C/P</t>
  </si>
  <si>
    <t>A) PATRIMONIO NETO</t>
  </si>
  <si>
    <t xml:space="preserve">   A-1)Fondos Propios</t>
  </si>
  <si>
    <t xml:space="preserve">       I.Capital</t>
  </si>
  <si>
    <t xml:space="preserve">       III.Reservas</t>
  </si>
  <si>
    <t xml:space="preserve">             2. (Resultados negativos ejercicios anteriores)</t>
  </si>
  <si>
    <t>B) PASIVO NO CORRIENTE</t>
  </si>
  <si>
    <t>A) OPERACIONES CONTINUADAS</t>
  </si>
  <si>
    <t xml:space="preserve">          a.1) Al sector público</t>
  </si>
  <si>
    <t>(1) Relacionar los importes y el concepto y entidad en hoja aparte (influye en la EP-10)</t>
  </si>
  <si>
    <t xml:space="preserve">          a.2) Al sector privado</t>
  </si>
  <si>
    <t xml:space="preserve">          b.1) Al sector público</t>
  </si>
  <si>
    <t xml:space="preserve">          b.2.) Al sector privado</t>
  </si>
  <si>
    <t>EPEL AGROTEIDE ENTIDAD INSULAR DESARROLLO AGRICOLA Y GANADERO</t>
  </si>
  <si>
    <t>FIFEDE</t>
  </si>
  <si>
    <t>FUNDACIÓN  ITB</t>
  </si>
  <si>
    <t>AGENCIA INSULAR DE LA ENERGIA</t>
  </si>
  <si>
    <t>EMPRESAS CON PARTICIPACION MINORITARIA EN EL CAPITAL SOCIAL PERO DEPENDIENTES DEL ECIT</t>
  </si>
  <si>
    <t>MERCATENERIFE, S.A.</t>
  </si>
  <si>
    <t>CANARIAS SUBMARINE LINK, S.L. (Canalink)</t>
  </si>
  <si>
    <t xml:space="preserve">T O T A L  G A S T O S  </t>
  </si>
  <si>
    <t>OPERACIONES DE CRÉDITO A L/P (2) (en euros)</t>
  </si>
  <si>
    <t>(2) En operaciones de crédito se desglosarán todas las existentes, estén o no avaladas por el Cabildo Insular de Tenerife y que han sido concedidas a largo plazo.</t>
  </si>
  <si>
    <t>OPERACIONES DE CRÉDITO A C/P(2) (en euros)</t>
  </si>
  <si>
    <t>Fecha Vencimiento</t>
  </si>
  <si>
    <t>TRANSFERENCIAS Y SUBVENCIONES</t>
  </si>
  <si>
    <t>ANEXO PERSONAL</t>
  </si>
  <si>
    <t>ANEXO DEUDA C/P</t>
  </si>
  <si>
    <t>ANEXO DEUDA L/P</t>
  </si>
  <si>
    <t>ANEXO INVERSIONES NO FINANCIERAS</t>
  </si>
  <si>
    <t>ANEXO INVERSIONES  FINANCIERAS</t>
  </si>
  <si>
    <t>ANEXO CPYG</t>
  </si>
  <si>
    <t>ANEXO ENCOMIENDAS DE GESTIÓN</t>
  </si>
  <si>
    <t>ANEXO OPERACIONES INTERNAS</t>
  </si>
  <si>
    <t>(2) En operaciones de crédito se desglosarán todas las existentes, estén o no avaladas por el Cabildo Insular de Tenerife y que han sido concedidas a corto plazo.</t>
  </si>
  <si>
    <t xml:space="preserve">VARIACIÓN DE LAS INVERSIONES FINANCIERAS E INSTRUMENTOS DE PATRIMONIO </t>
  </si>
  <si>
    <t>(2) % PARTICIPACION: poncentaje total de participación que, al final del ejercicio, la entidad posee en la sociedad del grupo o asociada.</t>
  </si>
  <si>
    <t>INVERSIONES EN OTRAS EMPRESAS (6)</t>
  </si>
  <si>
    <t>INVERSIONES EN INSTRUMENTOS DE PATRIMONIO (9)</t>
  </si>
  <si>
    <t>RESTO DE INVERSIONES (10)</t>
  </si>
  <si>
    <t>Observaciones (8)</t>
  </si>
  <si>
    <t>(8) OBSERVACIONES: se recogera cualquier otra información que se considere relevante relativa a cada operación. En particular, se señalará el importe de los desembolsos pendientes en instrumentos de patrimonio.</t>
  </si>
  <si>
    <t>PRESUPUESTO GENERAL DEL CABILDO INSULAR DE TENERIFE                                                                                                                                                                                                                                                                                                                            PROGRAMA ANUAL DE ACTUACIÓN, INVERSIONES Y FINANCIACIÓN</t>
  </si>
  <si>
    <t>PRESUPUESTO GENERAL DEL CABILDO INSULAR DE TENERIFE
PROGRAMA ANUAL DE ACTUACIÓN, INVERSIONES Y FINANCIACIÓN</t>
  </si>
  <si>
    <t>Otros Ingresos cuenta perdidas y ganancias</t>
  </si>
  <si>
    <t>Otros Gastos cuenta perdidas y ganancias</t>
  </si>
  <si>
    <t>ACTIVO FIJO NO FINANICERO</t>
  </si>
  <si>
    <t>Ajuste VARIACIONES DE BALANCE</t>
  </si>
  <si>
    <t>I</t>
  </si>
  <si>
    <t>II</t>
  </si>
  <si>
    <t>ACTIVO FIJO  FINANICERO</t>
  </si>
  <si>
    <t>VARIACIÓN ACTIVO CORRIENTE SIN INVERSIONES FINANCIERAS A CORTO PLAZO</t>
  </si>
  <si>
    <t>DEBE SER IGUAL CON SIGNO CONTRARIO A LOS AJUSTES DEL BALANCE</t>
  </si>
  <si>
    <t>RESULTADO DE LA COMPROBACIÓN</t>
  </si>
  <si>
    <t>A mano</t>
  </si>
  <si>
    <t>13. OTROS RESULTADOS</t>
  </si>
  <si>
    <t>12.a. Subvenciones concedidas y transferencias realizadas por la entidad.</t>
  </si>
  <si>
    <t>Al sector público local de carácter administrativo</t>
  </si>
  <si>
    <t>Al sector público local de carácter empresarial o fundacional</t>
  </si>
  <si>
    <t>A otros</t>
  </si>
  <si>
    <t>A.1.)  RESULTADO DE EXPLOTACIÓN (∑(1+2+3+4+5+6+7+8+9+10+11+12+12a+13))</t>
  </si>
  <si>
    <t>14. INGRESOS FINANCIEROS.</t>
  </si>
  <si>
    <t>15. GASTOS FINANCIEROS.</t>
  </si>
  <si>
    <t>16. VARIACIÓN DE VALOR RAZONABLE EN INSTRUMENTOS FINANCIEROS.</t>
  </si>
  <si>
    <t>17. DIFERENCIA DE CAMBIO.</t>
  </si>
  <si>
    <t>18. DETERIORO Y RESULTADO POR ENAJENACIONES DE INSTRUMENTOS FINANCIEROS</t>
  </si>
  <si>
    <t>20. IMPUESTOS SOBRE BENEFICIOS.</t>
  </si>
  <si>
    <t>21. RESULTADO DEL EJERCICIO PROCEDENTE DE OPERACIONES INTERRUMPIDAS NETO DE IMPUESTOS.</t>
  </si>
  <si>
    <t>19. OTROS INGRESOS Y GASTOS DE CARÁCTER FINANCIERO</t>
  </si>
  <si>
    <t xml:space="preserve">Estado de flujo de efectivo </t>
  </si>
  <si>
    <t xml:space="preserve">   1. Resultado del ejercicio antes de impuestos</t>
  </si>
  <si>
    <t xml:space="preserve">   2. Ajustes del resultado</t>
  </si>
  <si>
    <t xml:space="preserve">      a) Amortización del inmovilizado (+)</t>
  </si>
  <si>
    <t xml:space="preserve">      b) Correcciones valorativas por deterioro(+/-)</t>
  </si>
  <si>
    <t xml:space="preserve">      c) Variación de provisiones (+/-)</t>
  </si>
  <si>
    <t xml:space="preserve">      d) Imputación de subvenciones (-)</t>
  </si>
  <si>
    <t xml:space="preserve">      e) Resultados por bajas y enajenaciones del inmovilizado (+/-)</t>
  </si>
  <si>
    <t xml:space="preserve">      f) Resultados por bajas y enajenaciones del instrumentos finanieros (+/-)</t>
  </si>
  <si>
    <t xml:space="preserve">      g) Ingresos Financieros (-)</t>
  </si>
  <si>
    <t xml:space="preserve">      h) Gastos Financieros (+)</t>
  </si>
  <si>
    <t xml:space="preserve">      i) Diferencias de cambio (+/-)</t>
  </si>
  <si>
    <t xml:space="preserve">      j) Valoración del valor razonable en instrumentos financieros</t>
  </si>
  <si>
    <t xml:space="preserve">      k) Otros ingresos y gastos (-/+)</t>
  </si>
  <si>
    <t xml:space="preserve">   3. Cambios de Capital Corriente</t>
  </si>
  <si>
    <t xml:space="preserve">      a) Existencias (+/-)</t>
  </si>
  <si>
    <t xml:space="preserve">      b) Deudores y otras cuentas a cobrar (+/-)</t>
  </si>
  <si>
    <t xml:space="preserve">      c) Otros activos corrientes (+/-)</t>
  </si>
  <si>
    <t xml:space="preserve">      d) Acreedores y otras cuentas a pagar(+/-)</t>
  </si>
  <si>
    <t xml:space="preserve">      e) Otros pasivos corrientes (+/-)</t>
  </si>
  <si>
    <t xml:space="preserve">      f) Otros activos y pasivos no corrientes (+/-)</t>
  </si>
  <si>
    <t>Ojo. Apto VI NO está considerado en los Ajustes de Variaciones de Balance</t>
  </si>
  <si>
    <t>Ojo. Apto VII NO está considerado en los Ajustes de Variaciones de Balance</t>
  </si>
  <si>
    <t xml:space="preserve">   4. Otros flujos de efectivo de las actividades de explotación</t>
  </si>
  <si>
    <t xml:space="preserve">      a) Pagos de intereses (-)</t>
  </si>
  <si>
    <t xml:space="preserve">      b) Cobros de dividendos (+)</t>
  </si>
  <si>
    <t xml:space="preserve">      c) Cobros de Intereses (+)</t>
  </si>
  <si>
    <t xml:space="preserve">      d) Cobros (pagos) por impuesto sobre beneficios(+/-)</t>
  </si>
  <si>
    <t xml:space="preserve">      e) Otros pagos (cobros) (-/+)</t>
  </si>
  <si>
    <t xml:space="preserve">   5. Flujos de efectivo de las actividades de explotación (1+2+3+4)</t>
  </si>
  <si>
    <t xml:space="preserve">  A) ACTIVO NO CORRIENTE</t>
  </si>
  <si>
    <t xml:space="preserve">     3. Anticipos</t>
  </si>
  <si>
    <t xml:space="preserve">     2. Aplicaciones Informáticas</t>
  </si>
  <si>
    <t xml:space="preserve">      1.  Desarrollo </t>
  </si>
  <si>
    <t xml:space="preserve">  B) ACTIVO CORRIENTE</t>
  </si>
  <si>
    <t xml:space="preserve">       2. Accionistas(socios) por desembolsos exigidos</t>
  </si>
  <si>
    <t xml:space="preserve">       3. Otros deudores</t>
  </si>
  <si>
    <t>B) FLUJOS DE EFECTIVO DE LAS ACTIVIDADES DE INVERSIÓN</t>
  </si>
  <si>
    <t xml:space="preserve">   6. Pagos por inversiones (-)</t>
  </si>
  <si>
    <t xml:space="preserve">      a) Empresas del grupo y asociadas</t>
  </si>
  <si>
    <t xml:space="preserve">      b) Inmovilizado intangible</t>
  </si>
  <si>
    <t xml:space="preserve">      c) Inmovilizado material</t>
  </si>
  <si>
    <t xml:space="preserve">      d) Inversiones inmobiliarias</t>
  </si>
  <si>
    <t xml:space="preserve">      e) Otros activos financieros</t>
  </si>
  <si>
    <t xml:space="preserve">      f) Activos no corrientes mantenidos para venta</t>
  </si>
  <si>
    <t xml:space="preserve">      g) Unidad de negocio</t>
  </si>
  <si>
    <t xml:space="preserve">      h) Otros activos</t>
  </si>
  <si>
    <t xml:space="preserve">   7. Cobros por desinversiones (+)</t>
  </si>
  <si>
    <t xml:space="preserve">      a) Empresas del Grupo y Asociadas</t>
  </si>
  <si>
    <t xml:space="preserve">   8. Flujos de efectivo de las actividades de Inversión (6+7)</t>
  </si>
  <si>
    <t>C) FLUJOS DE EFECTIVO DE LAS ACTIVIDADES DE FINANCIACIÓN</t>
  </si>
  <si>
    <t xml:space="preserve">   9. Cobros y Pagos por instrumentos de patrimonio</t>
  </si>
  <si>
    <t xml:space="preserve">      a) Emisión de instrumentos de patrimonio (+)</t>
  </si>
  <si>
    <t xml:space="preserve">      b) Amortización de instrumentos de patrimonio (-)</t>
  </si>
  <si>
    <t xml:space="preserve">      c) Adquisición de instrumentos de patrimonio propio (-)</t>
  </si>
  <si>
    <t xml:space="preserve">      d) Enajenación de instrumentos de patrimonio propio (+)</t>
  </si>
  <si>
    <t xml:space="preserve">      e) Subvenciones, donaciones y legados recibidos (+)</t>
  </si>
  <si>
    <t xml:space="preserve">   10. Cobros y Pagos por instrumentos de pasivo financiero</t>
  </si>
  <si>
    <t xml:space="preserve">      a) Emisión </t>
  </si>
  <si>
    <t xml:space="preserve">          1. Obligaciones y otros valores negociables (+) </t>
  </si>
  <si>
    <t xml:space="preserve">          2. Deudas con entidades de crédito (+)</t>
  </si>
  <si>
    <t xml:space="preserve">          3. Deudas con empresas del grupo y asociadas (+)</t>
  </si>
  <si>
    <t xml:space="preserve">          4. Deudas con características especiales (+)</t>
  </si>
  <si>
    <t xml:space="preserve">          5. Otras deudas (+)</t>
  </si>
  <si>
    <t xml:space="preserve">      b) Devolución y amortización de </t>
  </si>
  <si>
    <t xml:space="preserve">          1. Obligaciones y otros valores negociables (-) </t>
  </si>
  <si>
    <t xml:space="preserve">          2. Deudas con entidades de crédito (-)</t>
  </si>
  <si>
    <t xml:space="preserve">          3. Deudas con empresas del grupo y asociadas (-)</t>
  </si>
  <si>
    <t xml:space="preserve">          4. Deudas con características especiales (-)</t>
  </si>
  <si>
    <t xml:space="preserve">          5. Otras deudas (-)</t>
  </si>
  <si>
    <t xml:space="preserve">   11. Pagos por dividendos y remuneraciones de otros instrumentos de patrimonio</t>
  </si>
  <si>
    <t xml:space="preserve">      a) Dividendos (-)</t>
  </si>
  <si>
    <t xml:space="preserve">      b) Remuneración de otros instrumentos de patrimonio (-)</t>
  </si>
  <si>
    <t xml:space="preserve">   12. Flujos de efectivo de las actividades de financiación (9+10+11)</t>
  </si>
  <si>
    <t>D) Efecto de las variaciones de los tipos de cambio (+/-)</t>
  </si>
  <si>
    <t>E) AUMENTO/DISMINUCIÓN NETA DEL EFECTIVO O EQUIVALENTES (5+8+12+D)</t>
  </si>
  <si>
    <t xml:space="preserve">    Efectivo o equivalentes al comienzo del ejercicio</t>
  </si>
  <si>
    <t xml:space="preserve">    Efectivo o equivalentes al final del ejercicio</t>
  </si>
  <si>
    <t>PRESUPUESTO GENERAL DEL CABILDO INSULAR DE TENERIFE</t>
  </si>
  <si>
    <t>PROGRAMA DE ACTUACIÓN, INVERSIONES Y FINANCIACIÓN</t>
  </si>
  <si>
    <t>Anexo Inversiones reales</t>
  </si>
  <si>
    <t>Proyecto de Inversión</t>
  </si>
  <si>
    <t>Programación plurianual</t>
  </si>
  <si>
    <t>Previsión de importes comprometidos a 31/12/2013</t>
  </si>
  <si>
    <t>Código</t>
  </si>
  <si>
    <t>Denominación</t>
  </si>
  <si>
    <t>Año inicial</t>
  </si>
  <si>
    <t>Año Fin</t>
  </si>
  <si>
    <t>Coste Total</t>
  </si>
  <si>
    <t>Resto</t>
  </si>
  <si>
    <t>Nota:</t>
  </si>
  <si>
    <t>Aquellos proyectos de inversión cuyos importes sean de escasa importacia en relación con el volumen total de inversiones podrán agruparse en uno o varios proyectos genéricos.</t>
  </si>
  <si>
    <t>Se inclluiran todos los proyectos de inversión que se estén realizando en el ejercicio presupuesto, asó como los que estaán previsto iniciar en los tres siguientes.</t>
  </si>
  <si>
    <t>Estado de movimientos y situación de la deuda</t>
  </si>
  <si>
    <t>Dispuesto en el ejercicio (2)</t>
  </si>
  <si>
    <t>Intereses y gastos financieros</t>
  </si>
  <si>
    <t>Deuda viva (1)</t>
  </si>
  <si>
    <t>Crédito disponible</t>
  </si>
  <si>
    <t>Ordinaria s/contrato (3)</t>
  </si>
  <si>
    <t>Extraordinaria (4)</t>
  </si>
  <si>
    <t>Deuda viva (5)=(1)+(2)-(3)-(4)</t>
  </si>
  <si>
    <t>Emisiones</t>
  </si>
  <si>
    <t>Emisiones a c/p (en euros)</t>
  </si>
  <si>
    <t>Emisiones a c/p (en moneda distinta de euros)</t>
  </si>
  <si>
    <t>Emisiones a l/p (en euros)</t>
  </si>
  <si>
    <t>Emisiones a l/p (en moneda distinta de euros)</t>
  </si>
  <si>
    <t>Operaciones con Entidades de crédito</t>
  </si>
  <si>
    <t>Con Entidades de Crédito Residentes</t>
  </si>
  <si>
    <t>Créditos a c/p (en euros)</t>
  </si>
  <si>
    <t>Créditos a c/p (en moneda distinta de euros)</t>
  </si>
  <si>
    <t>Fecha de la última actualización de la información del indicador</t>
  </si>
  <si>
    <t>Órganos de Gobierno</t>
  </si>
  <si>
    <t>Composición del saldo de Otros Resultados                  (Epígrafe 13 Pérdidas y Ganancias) (2)</t>
  </si>
  <si>
    <t>MÁS EFECTO IMPOSITIVO TRANSFERENCIAS A LA CUENTA DE RESULTADOS</t>
  </si>
  <si>
    <t>Créditos a l/p (en euros) sin operaciones de derivados asociados</t>
  </si>
  <si>
    <t xml:space="preserve">SUBVENCIONES PARA FINANCIAR ACTIVIDADES ESPECÍFICAS </t>
  </si>
  <si>
    <t>Créditos a l/p (en euros) con operaciones de derivados asociados</t>
  </si>
  <si>
    <t>Créditos a l/p (en moneda distinta de euros) sin operaciones de derivados asociados</t>
  </si>
  <si>
    <t>Créditos a l/p (en moneda distinta de euros) con operaciones de derivados asociados</t>
  </si>
  <si>
    <t>Créditos con E.C. residentes en paises Unión Europea.</t>
  </si>
  <si>
    <t>Créditos con E.C. residentes en paises fuera Unión Europea.</t>
  </si>
  <si>
    <t>Factoring sin recurso</t>
  </si>
  <si>
    <t>Avales concedidos</t>
  </si>
  <si>
    <t>a Entidades dependientes (Administraciones Públicas)</t>
  </si>
  <si>
    <t>Resto de entidades dependientes</t>
  </si>
  <si>
    <t>Entidades no dependientes</t>
  </si>
  <si>
    <t>Endeudamiento con otras Entidades</t>
  </si>
  <si>
    <t>Con la Administración General del Estado</t>
  </si>
  <si>
    <t>Con la Comunidad Autónoma</t>
  </si>
  <si>
    <t>Con la Diputación</t>
  </si>
  <si>
    <t>Con la Seguridad Social</t>
  </si>
  <si>
    <t>Con la AEAT</t>
  </si>
  <si>
    <t>Con otras Administraciones Públicas</t>
  </si>
  <si>
    <t>Otras operaciones de crédito</t>
  </si>
  <si>
    <t>Arrendamientos financieros</t>
  </si>
  <si>
    <t>Pagos aplazados</t>
  </si>
  <si>
    <t>Inversiones con abono total de precio</t>
  </si>
  <si>
    <t>Asociaciones Público privadas (APP`s)</t>
  </si>
  <si>
    <t>Otras</t>
  </si>
  <si>
    <t>Carga Sociales</t>
  </si>
  <si>
    <t>12. DIFERENCIAS NEGATIVAS EN COMBINACIONES DE NEGOCIOS (Cuenta 774)</t>
  </si>
  <si>
    <t xml:space="preserve">       c) Imputación de subvenciones, donaciones y legados de carácter financiero</t>
  </si>
  <si>
    <t>a) Otros ingresos de carácter financiero</t>
  </si>
  <si>
    <t>b) Otros gastos de carácter financiero</t>
  </si>
  <si>
    <t>PROGRAMA ANUAL DE ACTUACIÓN, INVERSIONES Y FINANCIACIÓN</t>
  </si>
  <si>
    <t>(Se cumplimentará un cuadro para cada uno de los sectores de actividad de la Entidad)</t>
  </si>
  <si>
    <t>Sectores a considerar</t>
  </si>
  <si>
    <t>- Administracion General y Resto de sectores</t>
  </si>
  <si>
    <t>- Sector Asistencia social y dependencia</t>
  </si>
  <si>
    <t>SALDO FINAL 31/12/15 (9)</t>
  </si>
  <si>
    <t>Importe de la encomienda</t>
  </si>
  <si>
    <t>- Sector Sanitario (personal que presta servicio en las Instituciones del Servicio Nacional de Salud</t>
  </si>
  <si>
    <t>- Educativo Universitario (personal que presta servicio en universidades)</t>
  </si>
  <si>
    <t>- Educativo no Universitario (personal que presta servicio en centros de la docencia no universitaria</t>
  </si>
  <si>
    <t>Datos de Plantillas y retribuciones de un determinado sector</t>
  </si>
  <si>
    <t>Administracion General y Resto de sectores</t>
  </si>
  <si>
    <t>Número total de efectivos</t>
  </si>
  <si>
    <t>Número total de Gastos</t>
  </si>
  <si>
    <t>Gastos distribuidos por grupos de personal</t>
  </si>
  <si>
    <t>Grupo de personal</t>
  </si>
  <si>
    <t>Numero de efectivos</t>
  </si>
  <si>
    <t>Retribuciones distribuidas por grupos</t>
  </si>
  <si>
    <t>Sueldos y salarios (excepto variable)</t>
  </si>
  <si>
    <t>Retribución variable</t>
  </si>
  <si>
    <t>Planes de Pensiones</t>
  </si>
  <si>
    <t>Otras retribuciones</t>
  </si>
  <si>
    <t xml:space="preserve">VARIACIÓN PASIVO CORRIENTE-NO CORRIENTE </t>
  </si>
  <si>
    <t>Total retribuciones</t>
  </si>
  <si>
    <t>Organos de Gobierno</t>
  </si>
  <si>
    <t>Máximos responsables</t>
  </si>
  <si>
    <t>Resto de personal directivo</t>
  </si>
  <si>
    <t>Laboral contrato indefinido</t>
  </si>
  <si>
    <t>Laboral duración determinada</t>
  </si>
  <si>
    <t>Gastos Comunes sin distribuir por gupos</t>
  </si>
  <si>
    <t>Seguridad Social</t>
  </si>
  <si>
    <t>Total gastos comunes</t>
  </si>
  <si>
    <t>Observaciones :</t>
  </si>
  <si>
    <t>A.2.) RESULTADO FINANCIERO (∑ (14 A 19))</t>
  </si>
  <si>
    <t xml:space="preserve">      3. Resto del Inmovilizado Material</t>
  </si>
  <si>
    <t xml:space="preserve">      2. Anticipo para inmovilizaciones materiales (239)</t>
  </si>
  <si>
    <t xml:space="preserve">      1. Terrenos (220, (2920))</t>
  </si>
  <si>
    <t xml:space="preserve">    VII.Deudores comerciales no corrientes</t>
  </si>
  <si>
    <t xml:space="preserve">       1. Existencias</t>
  </si>
  <si>
    <t xml:space="preserve">       2. Anticipos  </t>
  </si>
  <si>
    <t xml:space="preserve">          Inmovilizado</t>
  </si>
  <si>
    <t xml:space="preserve">                     Terrenos</t>
  </si>
  <si>
    <t xml:space="preserve">                      Resto del inmovilizadoInversiones financieras</t>
  </si>
  <si>
    <t xml:space="preserve">          Existencias y otros activos</t>
  </si>
  <si>
    <t xml:space="preserve">          Inversiones financieras</t>
  </si>
  <si>
    <t>(1) VENTAS Y PRESTACIONES DE SERVICIOS: la rúbrica de "Importe neto de la cifra de negocios" recogida en la Cuenta de Pérdidas y Ganancias debe desglosarse entre el importe facturado a la propia CCLL de la cual depende la entidad, del resto de ventas y prestaciones de servicios.</t>
  </si>
  <si>
    <t>x</t>
  </si>
  <si>
    <t>Accion social-Otros gastos sociales</t>
  </si>
  <si>
    <t>(2) INGRESOS Y GASTOS EXCEPCIONALES: se detallará la naturaleza de los gastos e ingresos excepcionales contabilizados en el ejercicio y recogidos en las cuentas 678 y 778 del Plan General de Contabilidad. Pueden añadirse lineas adicionales si es necesario.</t>
  </si>
  <si>
    <t xml:space="preserve">PRESUPUESTO GENERAL DEL CABILDO INSULAR DE TENERIFE
INFORMACIÓN ADICIONAL RELATIVA A LA CUENTA DE PÉRDIDAS Y GANANCIAS </t>
  </si>
  <si>
    <t>PRESUPUESTO DE EXPLOTACIÓN:</t>
  </si>
  <si>
    <t xml:space="preserve">APORTACIONES DE SOCIOS: TRANSFERENCIAS PARA FINANCIAR DÉFICIT DE EXPLOTACIÓN  O GASTOS GENERALES DE FUNCIONAMIENTO </t>
  </si>
  <si>
    <t>(6) INVERSIONES: Inclyue las inversiones financieras, tanto a largo como a corto plazo, que la entidad realiza en entidades QUE NO SON del grupo y NI asociadas con independencia de que la empresa tenga la intención de venderlos en el corto plazo.</t>
  </si>
  <si>
    <t>(7) % PARTICIPACION: poncentaje total de participación que, al final del ejercicio, la entidad posee en la sociedad.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</si>
  <si>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</si>
  <si>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</si>
  <si>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 xml:space="preserve">Nº de Operación </t>
  </si>
  <si>
    <t>Avalada por el Cabildo (1)</t>
  </si>
  <si>
    <t>(1) Se especificará si la operación está avalada por el Cabildo</t>
  </si>
  <si>
    <t xml:space="preserve">N º de operación </t>
  </si>
  <si>
    <t>2. VARIACIÓN DE EXISTENCIAS DE PRODUCTOS TERMINADOS Y EN CURSO DE FABRICACIÓN</t>
  </si>
  <si>
    <t xml:space="preserve">          b.2.) Comunidad Autónoma</t>
  </si>
  <si>
    <t xml:space="preserve">          b.3. ) Corporaciones Locales</t>
  </si>
  <si>
    <t xml:space="preserve">      b) Indemnizaciones</t>
  </si>
  <si>
    <t xml:space="preserve">      c) Seguridad Social a cargo de la empresa</t>
  </si>
  <si>
    <t xml:space="preserve">      d) Aportaciones a Planes de Pensiones u otros de aportación definida</t>
  </si>
  <si>
    <t xml:space="preserve">      e) Otros Gastos Sociales</t>
  </si>
  <si>
    <t xml:space="preserve">      f) Provisiones</t>
  </si>
  <si>
    <t xml:space="preserve">      a) Servicios Exteriores</t>
  </si>
  <si>
    <t xml:space="preserve">      b) Tributos</t>
  </si>
  <si>
    <t xml:space="preserve">      b) Resultados por enajenaciones y otras</t>
  </si>
  <si>
    <t xml:space="preserve">      b) De valores negociables y otros instrumentos financieros</t>
  </si>
  <si>
    <t xml:space="preserve">      b) Por deudas con terceros</t>
  </si>
  <si>
    <t xml:space="preserve">      c) Por actualización de provisiones</t>
  </si>
  <si>
    <t xml:space="preserve">      b) Imputación al resultado del ejercicio por activos financieros disponibles para la venta</t>
  </si>
  <si>
    <t>A.3.) RESULTADO ANTES DE IMPUESTOS (A.1 + A.2)</t>
  </si>
  <si>
    <t>B) OPERACIONES INTERRUMPIDAS</t>
  </si>
  <si>
    <t>OBSERVACIONES</t>
  </si>
  <si>
    <t>(+)Adquisiciones (2)</t>
  </si>
  <si>
    <t>(+)Intereses capitalizados (4)</t>
  </si>
  <si>
    <t>(+/-)Deterioro o Reversión del deterioro (6)</t>
  </si>
  <si>
    <t>(-) Ventas (7)</t>
  </si>
  <si>
    <t>(+/-) Otras variaciones (especificar en observaciones) (8)</t>
  </si>
  <si>
    <t>INMOVILIZADO INTANGIBLE</t>
  </si>
  <si>
    <t>INVERSIONES INMOBILIARIAS (excepto terrenos)</t>
  </si>
  <si>
    <t>TERRENOS</t>
  </si>
  <si>
    <t>EXISTENCIAS</t>
  </si>
  <si>
    <t>NOTAS</t>
  </si>
  <si>
    <t>(1)SALDO INICIAL: Saldo recogido en balance a 1 de enero del ejercicio al que esté referido el período .</t>
  </si>
  <si>
    <t>(2)ADQUISICIONES: El importe facturado por el proveedor y otros importes (portes ...) incorporados como mayor valor del activo, salvo los recogidos en las columnas (3) y (4).</t>
  </si>
  <si>
    <t>ESTADO DE PREVISION DE INGRESOS Y GASTOS</t>
  </si>
  <si>
    <t>TOTAL INGRESOS CON INGRESOS NO PRESUPUESTARIOS</t>
  </si>
  <si>
    <t>TOTAL GASTOS CON GASTOS NO PRESUPUESTARIOS</t>
  </si>
  <si>
    <t>PATRIMONIO NETO Y PASIVO</t>
  </si>
  <si>
    <t>(3)PROVISIÓN POR DESMANTELAMIENTO: Se reflejará, con signo positivo o negativo según proceda, el importe de la provisión por desmantelamiento y las posteriores correcciones a la misma dotadas como mayor (o menor) valor del inmovilizado.</t>
  </si>
  <si>
    <t>(4)INTERESES CAPITALIZADOS: Se reflejará, con signo positivo, el importe de los intereses incorporados como mayor valor del activo.</t>
  </si>
  <si>
    <t xml:space="preserve">              1. Provisión por retribuciones al personal</t>
  </si>
  <si>
    <t xml:space="preserve">              2. Provisión por desmantelamiento, retiro o rehabilitación del Inmovilizado.</t>
  </si>
  <si>
    <t xml:space="preserve">        3. Otras provisiones.</t>
  </si>
  <si>
    <t xml:space="preserve">              4. Otras deudas a L/P.</t>
  </si>
  <si>
    <t xml:space="preserve">    VI. Acreedores comerciales no corrientes </t>
  </si>
  <si>
    <t xml:space="preserve">    VII. Deudores con características especiales a L/P. </t>
  </si>
  <si>
    <t xml:space="preserve">              4. Otras deudas a corto plazo</t>
  </si>
  <si>
    <t xml:space="preserve">              2. Otros acreedores</t>
  </si>
  <si>
    <t xml:space="preserve">    VII.- Deuda con característica especiales a corto plazo</t>
  </si>
  <si>
    <t>Solten III Arico Expediente</t>
  </si>
  <si>
    <t>Expediente Torres Quevedo</t>
  </si>
  <si>
    <t>Tributos S/C de Tenerife</t>
  </si>
  <si>
    <t>Liq. Sociedades AIET dic14</t>
  </si>
  <si>
    <t>Caixabank S.A.</t>
  </si>
  <si>
    <t>Banesto</t>
  </si>
  <si>
    <t>Bankia</t>
  </si>
  <si>
    <t>Caixabank S.A. (NAP)</t>
  </si>
  <si>
    <t>Solicitud ptmo. Pendiente</t>
  </si>
  <si>
    <t>Préstamos Ministerios</t>
  </si>
  <si>
    <t>Poligono de Granadilla</t>
  </si>
  <si>
    <t>Deuda a Caixabank S.A (Compra acciones propias)</t>
  </si>
  <si>
    <t>Diversificación energética</t>
  </si>
  <si>
    <t>Aecid Filipinas</t>
  </si>
  <si>
    <t xml:space="preserve">Makavol </t>
  </si>
  <si>
    <t>Macsen</t>
  </si>
  <si>
    <t>Volcanes Night</t>
  </si>
  <si>
    <t>Procivmac</t>
  </si>
  <si>
    <t>Aisovol</t>
  </si>
  <si>
    <t>Radio cognitiva</t>
  </si>
  <si>
    <t>Torres Quevedo</t>
  </si>
  <si>
    <t>Ayuda a contratación personal técnico</t>
  </si>
  <si>
    <t>Gobierno abierto</t>
  </si>
  <si>
    <t>Canal TV</t>
  </si>
  <si>
    <t>Cabo Verde</t>
  </si>
  <si>
    <t>Sede electrónica ayuntamientos</t>
  </si>
  <si>
    <t>Case</t>
  </si>
  <si>
    <t>Tecnología corriente</t>
  </si>
  <si>
    <t>Instalación Senegal</t>
  </si>
  <si>
    <t>Varios UE</t>
  </si>
  <si>
    <t>Fundación Cajacanarias</t>
  </si>
  <si>
    <t>Solicitud préstamo pendiente</t>
  </si>
  <si>
    <t>BSCH</t>
  </si>
  <si>
    <t>La Caixa</t>
  </si>
  <si>
    <t>Caixabank SA (NAP)</t>
  </si>
  <si>
    <t>Préstamos Proyecto</t>
  </si>
  <si>
    <t>Caixabank</t>
  </si>
  <si>
    <t>Polígono Industrial de Granadilla</t>
  </si>
  <si>
    <t>522,555,560,561</t>
  </si>
  <si>
    <t>Resto partidas otros pasivos financieros</t>
  </si>
  <si>
    <t>Capital pendiente de inscripción</t>
  </si>
  <si>
    <t>Planta 6MWn/7MWp</t>
  </si>
  <si>
    <t>Adecuación Fábrica</t>
  </si>
  <si>
    <t>15 Instalaciones 10 KW</t>
  </si>
  <si>
    <t>2 Instalaciones 20 kW</t>
  </si>
  <si>
    <t>Sistema de acumulación y gestión de cargas</t>
  </si>
  <si>
    <t>Sistema de baja entalpía NAP</t>
  </si>
  <si>
    <t>Adecuación Nave Euclides</t>
  </si>
  <si>
    <t>Adecuación Nave CEDEI</t>
  </si>
  <si>
    <t>Piscina Vvdas Bioclimáticas</t>
  </si>
  <si>
    <t>Equipo Proyecto AECID</t>
  </si>
  <si>
    <t>Desemb pdte</t>
  </si>
  <si>
    <t>Dev Prima</t>
  </si>
  <si>
    <t>Desemb pdte *180,000</t>
  </si>
  <si>
    <t>INSTITUTO TECNOLOGICO Y DE TELECOMUNICACIONES DE TENERIFE, SL</t>
  </si>
  <si>
    <t>INSTITUTO VOLCANOLOGICO DE CANARIAS SA</t>
  </si>
  <si>
    <t>ENERGIA VERDE DE LA MACARONESIA, SL</t>
  </si>
  <si>
    <t>EVM2 ENERGIAS RENOVABLES, SL</t>
  </si>
  <si>
    <t>SOLTEN II GRANADILLA, SA</t>
  </si>
  <si>
    <t>EÓLICAS DE TENERIFE</t>
  </si>
  <si>
    <t>PARQUES EOLICOS DE GRANADILLA AIE</t>
  </si>
  <si>
    <t>CDAD DE AGUAS UNION NORTE</t>
  </si>
  <si>
    <t>PARQUE EOLICOS PUNTA DE TENO</t>
  </si>
  <si>
    <t>TECH DEVELOPMENT</t>
  </si>
  <si>
    <t>CAIXA BANK</t>
  </si>
  <si>
    <t>Valores repr deuda: Obligaciones Cabildo</t>
  </si>
  <si>
    <t>Creditos L/P: CB REGAI y Personal</t>
  </si>
  <si>
    <t>Fianzas y Depósitos</t>
  </si>
  <si>
    <t>Créditos a empresas: Créditos fical emp Grupo Consolidado</t>
  </si>
  <si>
    <t>Valores repr Deuda: Int Oblig Cabildo</t>
  </si>
  <si>
    <t>C/C con empresas grupo y asociadas</t>
  </si>
  <si>
    <t>RESTO DE INVERSIONES C/P)</t>
  </si>
  <si>
    <t>VALORES REPRESENTATIVOS DE DEUDA</t>
  </si>
  <si>
    <t>Valores Rep Deuda: Obligaciones La Caixa y Pagarés Sabadell</t>
  </si>
  <si>
    <t>CREDITOS A C/P</t>
  </si>
  <si>
    <t>Crédito REGAI C/P</t>
  </si>
  <si>
    <t>Credito IT3</t>
  </si>
  <si>
    <t>Credito Canalink</t>
  </si>
  <si>
    <t>Int.devengados Crédito Canalink</t>
  </si>
  <si>
    <t>Int.devengados Crédito IT3</t>
  </si>
  <si>
    <t xml:space="preserve">Dividendo a cobrar </t>
  </si>
  <si>
    <t>Fianzas y depósitos</t>
  </si>
  <si>
    <t>560,561,565</t>
  </si>
  <si>
    <t>Cuentas cte socios y otras p.vinc</t>
  </si>
  <si>
    <t>551,552.5</t>
  </si>
  <si>
    <t>INVERSIONES FINACIERAS A C/P</t>
  </si>
  <si>
    <t>Ampliación de Capital</t>
  </si>
  <si>
    <t>Cabildo Insular.PCTT</t>
  </si>
  <si>
    <t>Cabildo CEDEI</t>
  </si>
  <si>
    <t>Ajustte diferencia Proy Makavol</t>
  </si>
  <si>
    <t>Son las cosas de Balance (Activo y Pasivo) que no están metidas en Presupuesto</t>
  </si>
  <si>
    <t>VARIACION DE PATRIMONIO NETO</t>
  </si>
  <si>
    <t>(+/-)Provisión por desmantelamiento (3)</t>
  </si>
  <si>
    <t>ESTADO DE FLUJOS DE EFECTIVO                                                                                                                                     (Sólo para sociedades sujetas al P.G. de Contabilidad de Empresas Modelo Ordinario)</t>
  </si>
  <si>
    <t>INVERSIONES EMPRESAS DEL GRUPO Y ASOCIADAS (1)</t>
  </si>
  <si>
    <t>(5)AMORTIZACIÓN DEL EJERCICIO: se reflejará, con signo negativo, el importe de la amortización dotada en el ejercicio. En su caso, con signo negativo, las correciones a la amortización acumulada</t>
  </si>
  <si>
    <t>(6)DETERIORO O REVERSIÓN DEL DETERIORO: se reflejará, con signo negativo, el deterioro contabilizado en el ejercicio. Con signo positivo figurarán los excesos de deterioro que se produzcan.</t>
  </si>
  <si>
    <t>(7)VENTAS: recoge el valor neto contable de las activos enajenados.</t>
  </si>
  <si>
    <t xml:space="preserve">Periodicidad de la actualización del indicador </t>
  </si>
  <si>
    <t>Área de Presidencia</t>
  </si>
  <si>
    <t>Servicio Administrativo de Presupuestos y Gasto Público</t>
  </si>
  <si>
    <t>anual</t>
  </si>
  <si>
    <t xml:space="preserve">ESTADO DE PREVISIÓN DE INGRESOS Y GASTOS - BALANCE DE SITUACIÓN </t>
  </si>
  <si>
    <t xml:space="preserve">ESTADO DE PREVISIÓN DE INGRESOS Y GASTOS - CUENTA DE PÉRDIDAS Y GANANCIAS </t>
  </si>
  <si>
    <t>ESTIMACIÓN
2015</t>
  </si>
  <si>
    <t>A) FLUJOS DE EFECTIVO DE LAS ACTIVIDADES DE EXPLOTACIÓN</t>
  </si>
  <si>
    <t>(8)OTRAS VARIACIONES: deben reflejarse el resto de variaciones, distintas de las anteriores, que impliquen un mayor o menor valor de las activos.</t>
  </si>
  <si>
    <t>(9)SALDO FINAL: Saldo recogido en balance a 31 de diciembre del ejercicio al que está referidas las cuentas anuales.</t>
  </si>
  <si>
    <t xml:space="preserve">     4. Resto Inmovilizado Intangible</t>
  </si>
  <si>
    <t>(10)OBSERVACIONES: se recogera cualquier otra información que se considere relevante relativa a cada operación.</t>
  </si>
  <si>
    <t>INVERSIONES EN INSTRUMENTOS DE PATRIMONIO (4)</t>
  </si>
  <si>
    <t>RESTO DE INVERSIONES (5)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</si>
  <si>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</si>
  <si>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</si>
  <si>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</si>
  <si>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</si>
  <si>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Observaciones</t>
  </si>
  <si>
    <t xml:space="preserve">ENTE </t>
  </si>
  <si>
    <t>SALDO INICIAL SUBVENCIONES, DONACIONES Y LEGADOS RECIBIDOS</t>
  </si>
  <si>
    <t>MENOS EFECTOS IMPOSITIVOS CONCEDIDAS</t>
  </si>
  <si>
    <t>MENOS TRANSFERENCIAS A LA CUENTA DE RESULTADOS</t>
  </si>
  <si>
    <t>SALDO FINAL SUBVENCIONES, DONACIONES Y LEGADOS RECIBIDOS</t>
  </si>
  <si>
    <t xml:space="preserve">DE CAPITAL: </t>
  </si>
  <si>
    <t>SUBVENCIONES Y TRANSFERENCIAS</t>
  </si>
  <si>
    <t>EMISIÓN DE PATRIMONIO PROPIO (AMPLIACIÓN DE CAPITAL SOCIAL)</t>
  </si>
  <si>
    <t xml:space="preserve">TOTAL SUBVENCIONES DE CAPITAL CONCEDIDAS </t>
  </si>
  <si>
    <t>PRESUPUESTO GENERAL DEL CABILDO INSULAR DE TENERIFE
ESTADO DE LA DEUDA</t>
  </si>
  <si>
    <t xml:space="preserve">Importe concedido </t>
  </si>
  <si>
    <t>(3) Se deberá recoger el importe correspondiente a las cuotas de amortización de los ejercicios correspondientes.</t>
  </si>
  <si>
    <t>EPEL. BALSAS DE TENERIFE</t>
  </si>
  <si>
    <t>PRESUPUESTO GENERAL DEL CABILDO INSULAR DE TENERIFE
OPERACIONES INTERNAS</t>
  </si>
  <si>
    <t>INSTRUCCIONES</t>
  </si>
  <si>
    <t>Comunidad Autónoma</t>
  </si>
  <si>
    <t>Cabildo Insular de Tenerife</t>
  </si>
  <si>
    <t>Estado</t>
  </si>
  <si>
    <t>Ayuntamientos</t>
  </si>
  <si>
    <t>Unión Europea</t>
  </si>
  <si>
    <t>Otros</t>
  </si>
  <si>
    <t>EP- 7A</t>
  </si>
  <si>
    <t>Concepto</t>
  </si>
  <si>
    <t>Rellenar en positivo</t>
  </si>
  <si>
    <t>ÚLTIMA</t>
  </si>
  <si>
    <t>ANTERIOR</t>
  </si>
  <si>
    <t>(+/-)Provisión por desmantela-miento (3)</t>
  </si>
  <si>
    <t>Entidad beneficiaria</t>
  </si>
  <si>
    <t>Cuenta de balance</t>
  </si>
  <si>
    <t>Aumentos (+)</t>
  </si>
  <si>
    <t>Disminuciones (-)</t>
  </si>
  <si>
    <t>Observaciones (3)</t>
  </si>
  <si>
    <t>Adquisiciones</t>
  </si>
  <si>
    <t>Revaloriz. y otros</t>
  </si>
  <si>
    <t>Enajenaciones o reembolsos de préstamos concedidos</t>
  </si>
  <si>
    <t>Pérdidas de valor y otros</t>
  </si>
  <si>
    <t>ECON</t>
  </si>
  <si>
    <t>PROG</t>
  </si>
  <si>
    <t>Total</t>
  </si>
  <si>
    <t>Variación fondo de maniobra</t>
  </si>
  <si>
    <t>a) Amortización del inmovilizado intangible</t>
  </si>
  <si>
    <t>b) Amortización del inmovilizado material</t>
  </si>
  <si>
    <t>c) Amortización de las inversiones inmobiliarias</t>
  </si>
  <si>
    <t>Del inmovilizado intangible</t>
  </si>
  <si>
    <t>Del inmovilizado material</t>
  </si>
  <si>
    <t>De las inversiones financieras</t>
  </si>
  <si>
    <t>Número total de miembros</t>
  </si>
  <si>
    <t>Miembros designados por el sector público.</t>
  </si>
  <si>
    <t>a.-</t>
  </si>
  <si>
    <t>Por la Entidad Local o sus Entes Dependientes.</t>
  </si>
  <si>
    <t>b.-</t>
  </si>
  <si>
    <t>Por otras Administraciones Públicas.</t>
  </si>
  <si>
    <t>Miembros designados por el sector privado.</t>
  </si>
  <si>
    <t>Fuentes de Financiación %</t>
  </si>
  <si>
    <t>1.</t>
  </si>
  <si>
    <t>Ventas de Bienes y Prestación de servicios dentro del Sector Público</t>
  </si>
  <si>
    <t>a.</t>
  </si>
  <si>
    <t>A la Entidad Local o a sus unidades dependientes</t>
  </si>
  <si>
    <t>b.</t>
  </si>
  <si>
    <t>A otras Administraciones Públicas</t>
  </si>
  <si>
    <t>c.</t>
  </si>
  <si>
    <t>A empresas y Entes Públicos</t>
  </si>
  <si>
    <t>2.</t>
  </si>
  <si>
    <t>Ventas de Bienes y Prestaciones de Servicios al Sector Privado</t>
  </si>
  <si>
    <t>3.</t>
  </si>
  <si>
    <t>Transferencias y Subvenciones Recibidas</t>
  </si>
  <si>
    <t>De la Entidad Local o de sus unidades dependientes</t>
  </si>
  <si>
    <t>De otras Administraciones y Entes Públicos.</t>
  </si>
  <si>
    <t>De la Unión Europea</t>
  </si>
  <si>
    <t>4.</t>
  </si>
  <si>
    <t>Otros ingresos (especificar en su caso)</t>
  </si>
  <si>
    <t xml:space="preserve">TOTAL </t>
  </si>
  <si>
    <t>ACCIONISTAS</t>
  </si>
  <si>
    <t>Razón Social y C.I.F.</t>
  </si>
  <si>
    <t>% Participación</t>
  </si>
  <si>
    <t>nº acciones</t>
  </si>
  <si>
    <t>valor nominal</t>
  </si>
  <si>
    <t>valor teórico
(F.Propios)</t>
  </si>
  <si>
    <t>PARTICIPACIONES EN OTRAS ENTIDADES</t>
  </si>
  <si>
    <t>Nombre Entidad y C.I.F.</t>
  </si>
  <si>
    <t>desembolsos
pendientes</t>
  </si>
  <si>
    <t>ADMINISTRADORES</t>
  </si>
  <si>
    <t>Nombre</t>
  </si>
  <si>
    <t>Cargo</t>
  </si>
  <si>
    <t>Fecha
Nombramiento</t>
  </si>
  <si>
    <t>Presidente</t>
  </si>
  <si>
    <t>Secretario</t>
  </si>
  <si>
    <t>Vocal</t>
  </si>
  <si>
    <t>AUDITORES DE CUENTAS</t>
  </si>
  <si>
    <t>ESTRUCTURA PRESUPUESTARIA: PRESUPUESTOS 2016</t>
  </si>
  <si>
    <t>REAL 2014</t>
  </si>
  <si>
    <t>PREVISIÓN
2016</t>
  </si>
  <si>
    <t>ESTIMACIÓN 2015</t>
  </si>
  <si>
    <t>PREVISIÓN 2016</t>
  </si>
  <si>
    <t>2016             (previsión)</t>
  </si>
  <si>
    <t>2015           (estimado)</t>
  </si>
  <si>
    <t>Ejecución prevista hasta 31/12/2015</t>
  </si>
  <si>
    <t>SALDO INICIAL 31/12/14 (1)</t>
  </si>
  <si>
    <t>Estimación 2015</t>
  </si>
  <si>
    <t>SALDO INICIAL  31/12/15 (1)</t>
  </si>
  <si>
    <t>SALDO FINAL 31/12/16 (9)</t>
  </si>
  <si>
    <t>Saldo Inicial 2016</t>
  </si>
  <si>
    <t>Saldo final 2016</t>
  </si>
  <si>
    <t>% participación 31/12/16 (2)</t>
  </si>
  <si>
    <t>Dividendo a obtener 2016</t>
  </si>
  <si>
    <t>% participación 31/12/16(7)</t>
  </si>
  <si>
    <t>Previsión 2016</t>
  </si>
  <si>
    <t>Saldo a 31-12-2015</t>
  </si>
  <si>
    <t>Previsión ejercicio 2016</t>
  </si>
  <si>
    <t>Previsión a 31-12-2016</t>
  </si>
  <si>
    <t>Estimación importe dispuesto a 31/12/15</t>
  </si>
  <si>
    <t>Previsión importes dispuesto a 31/12/16</t>
  </si>
  <si>
    <t>Concedidos antes de 2016</t>
  </si>
  <si>
    <t>Pendiente de amortizar a  31/12/2015</t>
  </si>
  <si>
    <t>Importe concedido en 2016</t>
  </si>
  <si>
    <t>Cuota Amortización 2016 (3)</t>
  </si>
  <si>
    <t>Cuota Intereses 2016</t>
  </si>
  <si>
    <t>Pendiente a  31/12/2016</t>
  </si>
  <si>
    <t xml:space="preserve">Pdte. Amortiz. (2016 y siguientes) </t>
  </si>
  <si>
    <t>Pendiente a  31/12/2015= Cuota Amortización 2016 (3)</t>
  </si>
  <si>
    <t>Importe concedido 2016</t>
  </si>
  <si>
    <t>Concedidos en 2015</t>
  </si>
  <si>
    <t>Importe de la anualidad 2016</t>
  </si>
  <si>
    <t>Gastos excepcionales</t>
  </si>
  <si>
    <t>Ingresos excepcionales</t>
  </si>
  <si>
    <t xml:space="preserve">          a ) Positiva</t>
  </si>
  <si>
    <t xml:space="preserve">           b) Negativa</t>
  </si>
  <si>
    <t xml:space="preserve">          a.1) Result. Operaciones en común</t>
  </si>
  <si>
    <t xml:space="preserve">          a.2) Ingresos de arrendamientos y de prop. Industrial cedida en explotación</t>
  </si>
  <si>
    <t xml:space="preserve">          a.3) Ingresos por comisiones, servicios al personal y por servicios diversos</t>
  </si>
  <si>
    <t>CPYG</t>
  </si>
  <si>
    <t>(-)Amortización del ejercicio (5)</t>
  </si>
  <si>
    <t>EMPRESA PÚBLICA:</t>
  </si>
  <si>
    <t>12. OTROS RESULTADOS</t>
  </si>
  <si>
    <t>A.1.) RESULTADO DE EXPLOTACIÓN (∑ (1 A 12))</t>
  </si>
  <si>
    <t>17. DETERIORO Y RESULTADO POR ENAJENACIONES DE INSTRUMENTOS FINANCIEROS</t>
  </si>
  <si>
    <t>A.2.) RESULTADO FINANCIERO (∑ (13 A 17))</t>
  </si>
  <si>
    <t>A.4.) RESULTADO DEL EJERCICIO PROCEDENTE DE OPERACIONES CONTINUADAS (A.3 +18)</t>
  </si>
  <si>
    <t>19. RESULTADO DEL EJERCICIO PROCEDENTE DE OPERACIONES INTERRUMPIDAS NETO DE IMPUESTOS</t>
  </si>
  <si>
    <t xml:space="preserve">  A.5)    RESULTADO DEL EJERCICIO  (A.4+19)</t>
  </si>
  <si>
    <t>Previsión 2011</t>
  </si>
  <si>
    <t>Estimación Cierre 2010</t>
  </si>
  <si>
    <t>C A P I T U L O S</t>
  </si>
  <si>
    <t>EMPRESA</t>
  </si>
  <si>
    <t>I.</t>
  </si>
  <si>
    <t>II.</t>
  </si>
  <si>
    <t>III.</t>
  </si>
  <si>
    <t>IV.</t>
  </si>
  <si>
    <t>V.</t>
  </si>
  <si>
    <t xml:space="preserve">  TOTAL INGRESOS CORRIENTES</t>
  </si>
  <si>
    <t>VI.</t>
  </si>
  <si>
    <t>VII.</t>
  </si>
  <si>
    <t xml:space="preserve">  TOTAL INGRESOS DE CAPITAL</t>
  </si>
  <si>
    <t>VIII.</t>
  </si>
  <si>
    <t>IX.</t>
  </si>
  <si>
    <t xml:space="preserve">  TOTAL INGRESOS FINANCIEROS</t>
  </si>
  <si>
    <t>T O T A L    I N G R E S O S</t>
  </si>
  <si>
    <t>Otros Ingresos</t>
  </si>
  <si>
    <t>Gastos de Personal</t>
  </si>
  <si>
    <t>Compra de Bienes y Servicios</t>
  </si>
  <si>
    <t>Transferencias Corrientes</t>
  </si>
  <si>
    <t xml:space="preserve">  TOTAL GASTOS CORRIENTES</t>
  </si>
  <si>
    <t xml:space="preserve">  Ingresos corrientes -gastos corrientes</t>
  </si>
  <si>
    <t>Inversiones Reales</t>
  </si>
  <si>
    <t>Transferencias de Capital</t>
  </si>
  <si>
    <t xml:space="preserve">  TOTAL GASTOS DE CAPITAL</t>
  </si>
  <si>
    <t>Ingresos de capital - gastos de capital</t>
  </si>
  <si>
    <t>Activos Financieros</t>
  </si>
  <si>
    <t>Pasivos Financieros</t>
  </si>
  <si>
    <t xml:space="preserve">  TOTAL GASTOS FINANCIEROS</t>
  </si>
  <si>
    <t>Total ingresos - gastos</t>
  </si>
  <si>
    <t>Otros Gastos</t>
  </si>
  <si>
    <t>T O T A L  G A S T O S  ( 1 )</t>
  </si>
  <si>
    <t>Ajustes por Consolidación</t>
  </si>
  <si>
    <t>T O T A L  G A S T O S  ( 2 )</t>
  </si>
  <si>
    <t>Variación Negativa</t>
  </si>
  <si>
    <t>Variación no Cap Corriente</t>
  </si>
  <si>
    <t>Recursos por operaciones</t>
  </si>
  <si>
    <t>Provisiones y Amortizaciones Altas que superan a la pérdida que está incluida en la Variación de Capital</t>
  </si>
  <si>
    <t>ENTES DEPENDIENTES PARTICIPADOS INTEGRAMENTE POR CIT</t>
  </si>
  <si>
    <t>ESTRUCTURA PRESUPUESTARIA PRESUPUESTOS 2011</t>
  </si>
  <si>
    <t>(Incremento fondo de maniobra) - Disminución FM</t>
  </si>
  <si>
    <r>
      <t>NOTAS:</t>
    </r>
    <r>
      <rPr>
        <sz val="10"/>
        <rFont val="Arial"/>
        <family val="2"/>
      </rPr>
      <t xml:space="preserve">  Pendiente imputar el epígrafe de PyG de Otros Resultados, en función de la composición de su saldo. Pendiente imputación, en su caso, de la variación de existencias en otros ingresos u otros gastos, en función de su saldo acreedor o deudor.</t>
    </r>
  </si>
  <si>
    <t>1.  IMPORTE NETO DE LA CIFRA DE NEGOCIOS</t>
  </si>
  <si>
    <t xml:space="preserve">          a.1.1.) A la Entidad Local o a sus unidades dependientes (1)</t>
  </si>
  <si>
    <t>0701</t>
  </si>
  <si>
    <t>4632</t>
  </si>
  <si>
    <t>44931</t>
  </si>
  <si>
    <t>CEDEI 2015</t>
  </si>
  <si>
    <t>CEDEI 2016</t>
  </si>
  <si>
    <t>0301</t>
  </si>
  <si>
    <t>9242</t>
  </si>
  <si>
    <t>4631</t>
  </si>
  <si>
    <t>85090</t>
  </si>
  <si>
    <t>74142</t>
  </si>
  <si>
    <t xml:space="preserve">          a.1.2.) A otras Administraciones Públicas (1)</t>
  </si>
  <si>
    <t xml:space="preserve">          a.1.3.) A empresas y Entes Públicos (1)</t>
  </si>
  <si>
    <t xml:space="preserve">          b) Prestaciones de Servicios</t>
  </si>
  <si>
    <t>ACTIVO - PASIVO</t>
  </si>
  <si>
    <t xml:space="preserve">          b.1.1.) A la Entidad Local o a sus unidades dependientes (1)</t>
  </si>
  <si>
    <t xml:space="preserve">          b.1.2.) A otras Administraciones Públicas (1)</t>
  </si>
  <si>
    <t xml:space="preserve">          b.1.3.) A empresas y Entes Públicos (1)</t>
  </si>
  <si>
    <t>3. TRABAJOS REALIZADOS POR LA EMPRESA PARA SU ACTIVO</t>
  </si>
  <si>
    <t>4. APROVISIONAMIENTOS</t>
  </si>
  <si>
    <t xml:space="preserve">         a) Consumo de mercaderías</t>
  </si>
  <si>
    <t xml:space="preserve">          b) Consumo de materias primas y otras materias consumibles</t>
  </si>
  <si>
    <t xml:space="preserve">          c) Trabajos realizados por otras empresas</t>
  </si>
  <si>
    <t xml:space="preserve">          d) Deterioro de mercaderías, materias primas y otros aprovisionamientos</t>
  </si>
  <si>
    <t>5. OTROS INGRESOS DE EXPLOTACIÓN</t>
  </si>
  <si>
    <t xml:space="preserve">      a) Ingresos accesorios y otros de gestión corriente</t>
  </si>
  <si>
    <t>FUNDACION TENERIFE RURAL</t>
  </si>
  <si>
    <t xml:space="preserve">      b) Subvenciones de explotación incorporadas al resultado del ejercicio</t>
  </si>
  <si>
    <t xml:space="preserve">          b.1.) Estado</t>
  </si>
  <si>
    <t xml:space="preserve">          b.4. ) Cabildo Insular de Tenerife</t>
  </si>
  <si>
    <t xml:space="preserve">          b.5. ) Otros Entes</t>
  </si>
  <si>
    <t xml:space="preserve">          b.6. ) Imputación de subvenciones de explotación de ejercicios anteriores</t>
  </si>
  <si>
    <t>6. GASTOS DE PERSONAL</t>
  </si>
  <si>
    <t xml:space="preserve">      a) Sueldos, Salarios y Asimilados (sin indem)</t>
  </si>
  <si>
    <t>7. OTROS GASTOS DE EXPLOTACIÓN</t>
  </si>
  <si>
    <t xml:space="preserve">      c) Pérdidas, deterioro y variación de provisiones por operac. Comerciales</t>
  </si>
  <si>
    <t xml:space="preserve">         c 1) Deterioro y variación de provisiones por operac. comerciales</t>
  </si>
  <si>
    <t xml:space="preserve">         c 2) Pérdidas por operac. Comerciales.</t>
  </si>
  <si>
    <t xml:space="preserve">      d) Otros gastos de gestión corriente</t>
  </si>
  <si>
    <t>8. AMORTIZACIÓN DEL INMOVILIZADO</t>
  </si>
  <si>
    <t>9. IMPUTACIÓN DE SUBVENCIONES DE INMOVILIZADO NO FINANCIERO Y OTRAS (2)</t>
  </si>
  <si>
    <t>10. EXCESOS DE PROVISIONES</t>
  </si>
  <si>
    <t>11. DETERIORO Y RESULTADO POR ENAJENACIONES DEL INMOVILIZADO</t>
  </si>
  <si>
    <t>13. INGRESOS FINANCIEROS</t>
  </si>
  <si>
    <t xml:space="preserve">      a) De participaciones en instrumentos de patrimonio</t>
  </si>
  <si>
    <t xml:space="preserve">          a.1.) En empresas del grupo y asociadas</t>
  </si>
  <si>
    <t xml:space="preserve">          a.2) En terceros</t>
  </si>
  <si>
    <t xml:space="preserve">          b.1.) En empresas del grupo y asociadas</t>
  </si>
  <si>
    <t xml:space="preserve">          b.2) En terceros</t>
  </si>
  <si>
    <t>14. GASTOS FINANCIEROS</t>
  </si>
  <si>
    <t xml:space="preserve">      a) Por deudas con empresas del grupo y asociadas</t>
  </si>
  <si>
    <t>15. VARIACIÓN DE VALOR RAZONABLE EN INSTRUMENTOS FINANCIEROS</t>
  </si>
  <si>
    <t xml:space="preserve">      a) Cartera de negociación y otros</t>
  </si>
  <si>
    <t>16. DIFERENCIA DE CAMBIO</t>
  </si>
  <si>
    <t xml:space="preserve">      a) Deterioros y Pérdidas</t>
  </si>
  <si>
    <t>PRESUPUESTO GENERAL - CONSOLIDACIÓN</t>
  </si>
  <si>
    <t>Impuestos directos</t>
  </si>
  <si>
    <t>Impuestos indirectos</t>
  </si>
  <si>
    <t>Tasas y otros ingresos</t>
  </si>
  <si>
    <t>Transferencias corrientes</t>
  </si>
  <si>
    <t>Ingresos patrimoniales</t>
  </si>
  <si>
    <t>Enajenación de inversiones</t>
  </si>
  <si>
    <t>Transferencias de capital</t>
  </si>
  <si>
    <t>Activos financieros</t>
  </si>
  <si>
    <t>Pasivos financieros</t>
  </si>
  <si>
    <t>CUENTA DE PERDIDAS Y GANANCIAS</t>
  </si>
  <si>
    <t>VARIACIONES DE INMOVILIZADO Y EXISTENCIAS</t>
  </si>
  <si>
    <t>VARIACIÓN DE LAS INVERSIONES FINANCIERAS E INSTRUMENTOS DE PATRIMONIO</t>
  </si>
  <si>
    <t>VENTAS Y PRESTACIONES DE SERVICIOS PREVISTAS (IGIC incluido) (en euros)</t>
  </si>
  <si>
    <t>E.P.E. TEA, TENERFE ESPACIO DE LAS ARTES</t>
  </si>
  <si>
    <t>SINPROMI.S.L.</t>
  </si>
  <si>
    <t>SINPROMI, S.L.</t>
  </si>
  <si>
    <t>GEST. INS. DEPORTE, CULT.Y OCIO, SA (IDECO)</t>
  </si>
  <si>
    <t>SPET, TURISMO DE TENERIFE, S.A.</t>
  </si>
  <si>
    <t>INSTITUTO MEDICO TINERFEÑO, S.A. (IMETISA)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</si>
  <si>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</si>
  <si>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</si>
  <si>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</si>
  <si>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</si>
  <si>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RELACIÓN ENCOMIENDAS DE GESTIÓN DEL CABILDO INSULAR DE TENERIFE</t>
  </si>
  <si>
    <t>Detalle de las ventas y prestaciones de servicios (1)</t>
  </si>
  <si>
    <t>Detalle de otros ingresos:</t>
  </si>
  <si>
    <t>Detalle de otros gastos:</t>
  </si>
  <si>
    <t>Tipo de operación avalada</t>
  </si>
  <si>
    <t xml:space="preserve">Año de concesión </t>
  </si>
  <si>
    <t>Entidad financiera</t>
  </si>
  <si>
    <t>Importe concedido</t>
  </si>
  <si>
    <t>Año de concesión</t>
  </si>
  <si>
    <t>Epígrafe de balance donde figura</t>
  </si>
  <si>
    <t xml:space="preserve">Entidad financiera </t>
  </si>
  <si>
    <t>Tipo de operación (2)</t>
  </si>
  <si>
    <t>Nº años</t>
  </si>
  <si>
    <t>1.  IMPORTE NETO DE LA CIFRA DE NEGOCIOS.</t>
  </si>
  <si>
    <t xml:space="preserve">          a.1.1.) A la Entidad Local o a sus unidades dependientes.(1)</t>
  </si>
  <si>
    <t xml:space="preserve"> </t>
  </si>
  <si>
    <t xml:space="preserve">          a.1.2.) A otras Administraciones Públicas.(1)</t>
  </si>
  <si>
    <t xml:space="preserve">          a.1.3.) A empresas y Entes Públicos.(1)</t>
  </si>
  <si>
    <t xml:space="preserve">          b) Prestaciones de Servicios.</t>
  </si>
  <si>
    <t xml:space="preserve">          b.1.1.) A la Entidad Local o a sus unidades dependientes.(1)</t>
  </si>
  <si>
    <t xml:space="preserve">          b.1.2.) A otras Administraciones Públicas.(1)</t>
  </si>
  <si>
    <t xml:space="preserve">          b.1.3.) A empresas y Entes Públicos.(1)</t>
  </si>
  <si>
    <t>3. TRABAJOS REALIZADOS POR LA EMPRESA PARA SU ACTIVO.</t>
  </si>
  <si>
    <t>4. APROVISIONAMIENTOS.</t>
  </si>
  <si>
    <t xml:space="preserve">         a) Consumo de mercaderías.</t>
  </si>
  <si>
    <t xml:space="preserve">          b) Consumo de materias primas y otras materias consumibles.</t>
  </si>
  <si>
    <t xml:space="preserve">          c) Trabajos realizados por otras empresas.</t>
  </si>
  <si>
    <t xml:space="preserve">          d) Deterioro de mercaderías, materias primas y otros aprovisionamientos.</t>
  </si>
  <si>
    <t>5. OTROS INGRESOS DE EXPLOTACIÓN.</t>
  </si>
  <si>
    <t xml:space="preserve">      a) Ingresos accesorios y otros de gestión corriente.</t>
  </si>
  <si>
    <t xml:space="preserve">      b) Subvenciones de explotación incorporadas al resultado del ejercicio.</t>
  </si>
  <si>
    <t xml:space="preserve">          b.1.) Estado.</t>
  </si>
  <si>
    <t xml:space="preserve">          b.4. ) Cabildo Insular de Tenerife.</t>
  </si>
  <si>
    <t xml:space="preserve">          b.5. ) Otros Entes.</t>
  </si>
  <si>
    <t xml:space="preserve">          b.6. ) Imputación de subvenciones de explotación de ejercicios anteriores.</t>
  </si>
  <si>
    <t>6. GASTOS DE PERSONAL.</t>
  </si>
  <si>
    <t xml:space="preserve">      a) Sueldos, Salarios y Asimilados. (sin indem)</t>
  </si>
  <si>
    <t>7. OTROS GASTOS DE EXPLOTACIÓN.</t>
  </si>
  <si>
    <t xml:space="preserve">      c) Pérdidas, deterioro y variación de provisiones por operac. Comerciales.</t>
  </si>
  <si>
    <t xml:space="preserve">      d) Otros gastos de gestión corriente.</t>
  </si>
  <si>
    <t>8. AMORTIZACIÓN DEL INMOVILIZADO.</t>
  </si>
  <si>
    <t>9. IMPUTACIÓN DE SUBVENCIONES DE INMOVILIZADO NO FINANCIERO Y OTRAS. (2)</t>
  </si>
  <si>
    <t>10. EXCESOS DE PROVISIONES.</t>
  </si>
  <si>
    <t>11. DETERIORO Y RESULTADO POR ENAJENACIONES DEL INMOVILIZADO.</t>
  </si>
  <si>
    <t xml:space="preserve">      a) De participaciones en instrumentos de patrimonio.</t>
  </si>
  <si>
    <t xml:space="preserve">          a.1.) En empresas del grupo y asociadas.</t>
  </si>
  <si>
    <t xml:space="preserve">          a.2) En terceros.</t>
  </si>
  <si>
    <t xml:space="preserve">          b.1.) En empresas del grupo y asociadas.</t>
  </si>
  <si>
    <t xml:space="preserve">          b.2) En terceros.</t>
  </si>
  <si>
    <t xml:space="preserve">      a) Por deudas con empresas del grupo y asociadas.</t>
  </si>
  <si>
    <t xml:space="preserve">      a) Cartera de negociación y otros.</t>
  </si>
  <si>
    <t xml:space="preserve">      a) Deterioros y Pérdidas.</t>
  </si>
  <si>
    <t xml:space="preserve">      b) Resultados por enajenaciones y otras.</t>
  </si>
  <si>
    <t>A.4.) RESULTADO DEL EJERCICIO PROCEDENTE DE OPERACIONES CONTINUADAS (A.3 +17)</t>
  </si>
  <si>
    <t xml:space="preserve">  A.5)    RESULTADO DEL EJERCICIO  (A.4+18)</t>
  </si>
  <si>
    <t>introducir los ingresos en positivo y los gastos en negativo</t>
  </si>
  <si>
    <t xml:space="preserve">             1. Capital escriturado.</t>
  </si>
  <si>
    <t xml:space="preserve">            2. (Capital no exigido).</t>
  </si>
  <si>
    <t xml:space="preserve">            1. Legal y estatutarias.</t>
  </si>
  <si>
    <t xml:space="preserve">            2. Otras reservas.</t>
  </si>
  <si>
    <t xml:space="preserve">       IV.(Acciones y participaciones en patrimonio propias).</t>
  </si>
  <si>
    <t xml:space="preserve">             1. Remanente.</t>
  </si>
  <si>
    <t>Otro personal de Plan Empleo</t>
  </si>
  <si>
    <t>En Acción social he puesto otros gastos sociales como formación, uniformes, epis…y las indemnizaciones</t>
  </si>
  <si>
    <t xml:space="preserve">       VI.Otras aportaciones de socios.</t>
  </si>
  <si>
    <t xml:space="preserve">      VII. Resultado del Ejercicio</t>
  </si>
  <si>
    <t xml:space="preserve">       VIII.(Dividendo a cuenta).</t>
  </si>
  <si>
    <r>
      <t>INSTITUTO TECNOLÓGICO Y DE COMUNICACIONES DE TENERIFE, S.L. (IT</t>
    </r>
    <r>
      <rPr>
        <vertAlign val="superscript"/>
        <sz val="14"/>
        <rFont val="Tahoma"/>
        <family val="2"/>
      </rPr>
      <t>3</t>
    </r>
    <r>
      <rPr>
        <sz val="14"/>
        <rFont val="Tahoma"/>
        <family val="2"/>
      </rPr>
      <t>)</t>
    </r>
  </si>
  <si>
    <t>EMPRESA PÚBLICA: INSTITUTO TECNOLOGICO DE ENERGIAS RENOVABLES SA</t>
  </si>
  <si>
    <t>INSTITUTO VOLCANOLÓGICO DE CANARIAS S.A.</t>
  </si>
  <si>
    <t>Instituto Tecnológico de Canarias</t>
  </si>
  <si>
    <t>Instituto Tecnológico de Energías Renovables SA</t>
  </si>
  <si>
    <t>Carlos Enrique Alonso Rodríguez</t>
  </si>
  <si>
    <t xml:space="preserve">Antonio Miguel García Marichal </t>
  </si>
  <si>
    <t>Felix Fariña Rodríguez</t>
  </si>
  <si>
    <t>José Luis Rivero Plasencia</t>
  </si>
  <si>
    <t>Miguel Becerra Domínguez</t>
  </si>
  <si>
    <t>Miguel Ángel Pérez Hernández</t>
  </si>
  <si>
    <t>Aurelio Abreu Expósito</t>
  </si>
  <si>
    <t>Manuel Fernández Vega</t>
  </si>
  <si>
    <t>ITC, SA</t>
  </si>
  <si>
    <t>Jesús Bernardos Correa</t>
  </si>
  <si>
    <t>Eólicas de Tenerife</t>
  </si>
  <si>
    <t>Energía Verde de la Macaronesia SL</t>
  </si>
  <si>
    <t>EVM2 Energías Renovables SL</t>
  </si>
  <si>
    <t>Solten II Granadilla SA</t>
  </si>
  <si>
    <t>Instituto Tecnológico y de Telecomunicaciones de Tenerife SL</t>
  </si>
  <si>
    <t>Parques Eólicos de Granadilla AIE</t>
  </si>
  <si>
    <t>Instituto Volcanológico de Canarias SAU</t>
  </si>
  <si>
    <t>Tech Development Europe SA</t>
  </si>
  <si>
    <t>Comunidad de Aguas Unión Norte</t>
  </si>
  <si>
    <t>Parque Eólico Punta de Teno</t>
  </si>
  <si>
    <t>Acciones Caixa Bank</t>
  </si>
  <si>
    <t xml:space="preserve">       IX.Otros instrumentos de patrimonio neto.</t>
  </si>
  <si>
    <t xml:space="preserve">   A-2) Ajustes por Cambios de Valor.</t>
  </si>
  <si>
    <t xml:space="preserve">       I.Activos Financieros Disponibles para la Venta.</t>
  </si>
  <si>
    <t xml:space="preserve">       II.Operaciones de Cobertura.</t>
  </si>
  <si>
    <t xml:space="preserve">       III.Otros.</t>
  </si>
  <si>
    <t xml:space="preserve">   A-3) Subvenciones, Donaciones y Legados Recibidos.</t>
  </si>
  <si>
    <t xml:space="preserve">       I.Provisiones a Largo Plazo.</t>
  </si>
  <si>
    <t xml:space="preserve">       II.Deudas a Largo Plazo.</t>
  </si>
  <si>
    <t>INMOVILIZADO MATERIAL (excepto terrenos)</t>
  </si>
  <si>
    <t xml:space="preserve">              1. Obligaciones y otros valores negociables.</t>
  </si>
  <si>
    <t xml:space="preserve">              3. Acreedores por arrendamiento financiero.</t>
  </si>
  <si>
    <t xml:space="preserve">      III. Deudas con empresas del grupo y asociadas a L/P.</t>
  </si>
  <si>
    <t xml:space="preserve">      IV. Pasivos por impuesto diferido.</t>
  </si>
  <si>
    <t>2016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</si>
</sst>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s_-;\-* #,##0\ _P_t_s_-;_-* &quot;-&quot;\ _P_t_s_-;_-@_-"/>
    <numFmt numFmtId="165" formatCode="_-* #,##0.00\ &quot;Pts&quot;_-;\-* #,##0.00\ &quot;Pts&quot;_-;_-* &quot;-&quot;??\ &quot;Pts&quot;_-;_-@_-"/>
    <numFmt numFmtId="166" formatCode="_-* #,##0.00\ _P_t_s_-;\-* #,##0.00\ _P_t_s_-;_-* &quot;-&quot;??\ _P_t_s_-;_-@_-"/>
    <numFmt numFmtId="167" formatCode="0.0"/>
    <numFmt numFmtId="168" formatCode="_-* #,##0.00\ [$€]_-;\-* #,##0.00\ [$€]_-;_-* &quot;-&quot;??\ [$€]_-;_-@_-"/>
    <numFmt numFmtId="169" formatCode="#,##0.00\ &quot;€&quot;"/>
    <numFmt numFmtId="170" formatCode="_-* #,##0.00\ [$€-C0A]_-;\-* #,##0.00\ [$€-C0A]_-;_-* &quot;-&quot;??\ [$€-C0A]_-;_-@_-"/>
    <numFmt numFmtId="171" formatCode="_-* #,##0.00\ [$€-42D]_-;\-* #,##0.00\ [$€-42D]_-;_-* &quot;-&quot;??\ [$€-42D]_-;_-@_-"/>
    <numFmt numFmtId="172" formatCode="_(* #,##0\ &quot;pta&quot;_);_(* \(#,##0\ &quot;pta&quot;\);_(* &quot;-&quot;??\ &quot;pta&quot;_);_(@_)"/>
    <numFmt numFmtId="173" formatCode="#,##0.00;\(#,##0.00\)"/>
    <numFmt numFmtId="174" formatCode="#,##0.00_ ;\-#,##0.00\ 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6"/>
      <name val="Verdana"/>
      <family val="2"/>
    </font>
    <font>
      <sz val="6"/>
      <name val="Tahoma"/>
      <family val="2"/>
    </font>
    <font>
      <sz val="6"/>
      <name val="Book Antiqua"/>
      <family val="1"/>
    </font>
    <font>
      <sz val="6"/>
      <name val="Verdana"/>
      <family val="2"/>
    </font>
    <font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sz val="10"/>
      <color indexed="62"/>
      <name val="Tahoma"/>
      <family val="2"/>
    </font>
    <font>
      <sz val="10"/>
      <color indexed="62"/>
      <name val="Tahoma"/>
      <family val="2"/>
    </font>
    <font>
      <b/>
      <u val="single"/>
      <sz val="10"/>
      <name val="Tahoma"/>
      <family val="2"/>
    </font>
    <font>
      <u val="single"/>
      <sz val="10"/>
      <name val="Tahoma"/>
      <family val="2"/>
    </font>
    <font>
      <sz val="12"/>
      <name val="Tahoma"/>
      <family val="2"/>
    </font>
    <font>
      <b/>
      <sz val="13"/>
      <name val="Tahoma"/>
      <family val="2"/>
    </font>
    <font>
      <b/>
      <sz val="12"/>
      <color indexed="8"/>
      <name val="Tahoma"/>
      <family val="2"/>
    </font>
    <font>
      <b/>
      <sz val="8"/>
      <color indexed="8"/>
      <name val="Tahoma"/>
      <family val="2"/>
    </font>
    <font>
      <sz val="10"/>
      <name val="Candara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4"/>
      <name val="Tahoma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name val="Tahoma"/>
      <family val="2"/>
    </font>
    <font>
      <b/>
      <sz val="14"/>
      <color indexed="8"/>
      <name val="Tahoma"/>
      <family val="2"/>
    </font>
    <font>
      <vertAlign val="superscript"/>
      <sz val="14"/>
      <name val="Tahoma"/>
      <family val="2"/>
    </font>
    <font>
      <sz val="14"/>
      <color indexed="18"/>
      <name val="Tahoma"/>
      <family val="2"/>
    </font>
    <font>
      <b/>
      <sz val="9"/>
      <color indexed="8"/>
      <name val="Tahoma"/>
      <family val="2"/>
    </font>
    <font>
      <sz val="10"/>
      <color indexed="10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2"/>
      <color indexed="9"/>
      <name val="Tahoma"/>
      <family val="2"/>
    </font>
    <font>
      <i/>
      <sz val="10"/>
      <color indexed="9"/>
      <name val="Tahoma"/>
      <family val="2"/>
    </font>
    <font>
      <b/>
      <i/>
      <sz val="10"/>
      <color indexed="9"/>
      <name val="Tahoma"/>
      <family val="2"/>
    </font>
    <font>
      <sz val="8"/>
      <color indexed="9"/>
      <name val="Tahoma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darkDown">
        <fgColor indexed="44"/>
        <bgColor indexed="9"/>
      </patternFill>
    </fill>
    <fill>
      <patternFill patternType="darkDown">
        <fgColor indexed="49"/>
        <bgColor indexed="9"/>
      </patternFill>
    </fill>
  </fills>
  <borders count="1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double"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medium"/>
      <top style="double"/>
      <bottom style="double"/>
    </border>
    <border>
      <left style="medium"/>
      <right/>
      <top/>
      <bottom style="double"/>
    </border>
    <border>
      <left/>
      <right style="thin"/>
      <top/>
      <bottom style="double"/>
    </border>
    <border>
      <left style="thin"/>
      <right style="medium"/>
      <top/>
      <bottom style="double"/>
    </border>
    <border>
      <left style="medium"/>
      <right/>
      <top style="double"/>
      <bottom/>
    </border>
    <border>
      <left style="thin"/>
      <right style="medium"/>
      <top style="double"/>
      <bottom/>
    </border>
    <border>
      <left style="thin"/>
      <right style="medium"/>
      <top/>
      <bottom style="medium"/>
    </border>
    <border>
      <left/>
      <right/>
      <top/>
      <bottom style="double"/>
    </border>
    <border>
      <left/>
      <right/>
      <top style="double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ck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ck"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/>
      <bottom style="thin"/>
    </border>
    <border>
      <left/>
      <right style="medium"/>
      <top style="medium"/>
      <bottom/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medium"/>
      <right style="thin"/>
      <top/>
      <bottom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/>
      <right/>
      <top style="thin"/>
      <bottom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>
        <color indexed="41"/>
      </bottom>
    </border>
    <border>
      <left style="thin"/>
      <right style="medium"/>
      <top style="thin">
        <color indexed="41"/>
      </top>
      <bottom style="thin">
        <color indexed="41"/>
      </bottom>
    </border>
    <border>
      <left style="thin"/>
      <right style="medium"/>
      <top style="thin">
        <color indexed="41"/>
      </top>
      <bottom/>
    </border>
    <border>
      <left/>
      <right style="thin"/>
      <top style="double"/>
      <bottom/>
    </border>
    <border>
      <left style="thin">
        <color indexed="41"/>
      </left>
      <right style="medium"/>
      <top style="double"/>
      <bottom/>
    </border>
    <border>
      <left style="thin">
        <color indexed="41"/>
      </left>
      <right style="medium"/>
      <top/>
      <bottom style="double"/>
    </border>
    <border>
      <left style="thin"/>
      <right style="medium"/>
      <top style="thin">
        <color indexed="41"/>
      </top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/>
      <right style="thick"/>
      <top style="thin"/>
      <bottom style="thin"/>
    </border>
    <border>
      <left/>
      <right style="medium"/>
      <top style="medium"/>
      <bottom style="thin">
        <color indexed="41"/>
      </bottom>
    </border>
    <border>
      <left/>
      <right style="medium"/>
      <top style="thin">
        <color indexed="41"/>
      </top>
      <bottom style="medium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9" fillId="7" borderId="1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3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6" fillId="0" borderId="8" applyNumberFormat="0" applyFill="0" applyAlignment="0" applyProtection="0"/>
    <xf numFmtId="0" fontId="25" fillId="0" borderId="9" applyNumberFormat="0" applyFill="0" applyAlignment="0" applyProtection="0"/>
    <xf numFmtId="172" fontId="0" fillId="0" borderId="0" applyFont="0" applyFill="0" applyBorder="0" applyAlignment="0" applyProtection="0"/>
  </cellStyleXfs>
  <cellXfs count="1330">
    <xf numFmtId="0" fontId="0" fillId="0" borderId="0" xfId="0" applyAlignment="1">
      <alignment/>
    </xf>
    <xf numFmtId="3" fontId="0" fillId="0" borderId="0" xfId="66" applyNumberFormat="1" applyFont="1" applyBorder="1">
      <alignment/>
      <protection/>
    </xf>
    <xf numFmtId="0" fontId="0" fillId="0" borderId="0" xfId="0" applyFont="1" applyAlignment="1">
      <alignment/>
    </xf>
    <xf numFmtId="3" fontId="0" fillId="0" borderId="0" xfId="66" applyNumberFormat="1" applyFont="1" applyBorder="1" applyAlignment="1">
      <alignment vertical="center"/>
      <protection/>
    </xf>
    <xf numFmtId="0" fontId="3" fillId="0" borderId="0" xfId="0" applyFont="1" applyAlignment="1">
      <alignment/>
    </xf>
    <xf numFmtId="3" fontId="3" fillId="0" borderId="10" xfId="66" applyNumberFormat="1" applyFont="1" applyBorder="1" applyAlignment="1">
      <alignment vertical="center"/>
      <protection/>
    </xf>
    <xf numFmtId="3" fontId="0" fillId="0" borderId="0" xfId="66" applyNumberFormat="1" applyFont="1" applyFill="1" applyBorder="1">
      <alignment/>
      <protection/>
    </xf>
    <xf numFmtId="3" fontId="3" fillId="0" borderId="0" xfId="66" applyNumberFormat="1" applyFont="1" applyFill="1" applyBorder="1">
      <alignment/>
      <protection/>
    </xf>
    <xf numFmtId="3" fontId="3" fillId="0" borderId="0" xfId="66" applyNumberFormat="1" applyFont="1" applyBorder="1">
      <alignment/>
      <protection/>
    </xf>
    <xf numFmtId="3" fontId="3" fillId="0" borderId="11" xfId="56" applyNumberFormat="1" applyFont="1" applyFill="1" applyBorder="1" applyAlignment="1">
      <alignment horizontal="center" vertical="center"/>
      <protection/>
    </xf>
    <xf numFmtId="3" fontId="0" fillId="0" borderId="10" xfId="66" applyNumberFormat="1" applyFont="1" applyBorder="1" applyAlignment="1">
      <alignment vertical="center"/>
      <protection/>
    </xf>
    <xf numFmtId="3" fontId="3" fillId="0" borderId="10" xfId="66" applyNumberFormat="1" applyFont="1" applyBorder="1" applyAlignment="1">
      <alignment horizontal="left" vertical="center" wrapText="1"/>
      <protection/>
    </xf>
    <xf numFmtId="3" fontId="0" fillId="0" borderId="10" xfId="66" applyNumberFormat="1" applyFont="1" applyBorder="1" applyAlignment="1">
      <alignment horizontal="left" vertical="center" wrapText="1"/>
      <protection/>
    </xf>
    <xf numFmtId="3" fontId="26" fillId="8" borderId="12" xfId="56" applyNumberFormat="1" applyFont="1" applyFill="1" applyBorder="1" applyAlignment="1">
      <alignment horizontal="center" vertical="center"/>
      <protection/>
    </xf>
    <xf numFmtId="173" fontId="0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1" fontId="26" fillId="8" borderId="13" xfId="56" applyNumberFormat="1" applyFont="1" applyFill="1" applyBorder="1" applyAlignment="1">
      <alignment horizontal="center" vertical="center"/>
      <protection/>
    </xf>
    <xf numFmtId="3" fontId="3" fillId="0" borderId="11" xfId="56" applyNumberFormat="1" applyFont="1" applyFill="1" applyBorder="1" applyAlignment="1">
      <alignment horizontal="center" vertical="center" wrapText="1"/>
      <protection/>
    </xf>
    <xf numFmtId="3" fontId="3" fillId="0" borderId="14" xfId="56" applyNumberFormat="1" applyFont="1" applyFill="1" applyBorder="1" applyAlignment="1">
      <alignment horizontal="center" vertical="center" wrapText="1"/>
      <protection/>
    </xf>
    <xf numFmtId="3" fontId="3" fillId="0" borderId="15" xfId="66" applyNumberFormat="1" applyFont="1" applyBorder="1" applyAlignment="1">
      <alignment horizontal="centerContinuous" vertical="center"/>
      <protection/>
    </xf>
    <xf numFmtId="3" fontId="3" fillId="0" borderId="16" xfId="66" applyNumberFormat="1" applyFont="1" applyBorder="1" applyAlignment="1">
      <alignment vertical="center"/>
      <protection/>
    </xf>
    <xf numFmtId="173" fontId="3" fillId="0" borderId="17" xfId="66" applyNumberFormat="1" applyFont="1" applyBorder="1" applyAlignment="1">
      <alignment horizontal="right" vertical="center"/>
      <protection/>
    </xf>
    <xf numFmtId="173" fontId="3" fillId="0" borderId="12" xfId="66" applyNumberFormat="1" applyFont="1" applyBorder="1" applyAlignment="1">
      <alignment horizontal="right" vertical="center"/>
      <protection/>
    </xf>
    <xf numFmtId="173" fontId="3" fillId="0" borderId="17" xfId="66" applyNumberFormat="1" applyFont="1" applyBorder="1" applyAlignment="1" applyProtection="1">
      <alignment horizontal="right" vertical="center"/>
      <protection locked="0"/>
    </xf>
    <xf numFmtId="173" fontId="3" fillId="0" borderId="12" xfId="66" applyNumberFormat="1" applyFont="1" applyBorder="1" applyAlignment="1" applyProtection="1">
      <alignment horizontal="right" vertical="center"/>
      <protection locked="0"/>
    </xf>
    <xf numFmtId="173" fontId="0" fillId="0" borderId="17" xfId="66" applyNumberFormat="1" applyFont="1" applyBorder="1" applyAlignment="1" applyProtection="1">
      <alignment horizontal="right" vertical="center"/>
      <protection locked="0"/>
    </xf>
    <xf numFmtId="173" fontId="0" fillId="0" borderId="12" xfId="66" applyNumberFormat="1" applyFont="1" applyBorder="1" applyAlignment="1" applyProtection="1">
      <alignment horizontal="right" vertical="center"/>
      <protection locked="0"/>
    </xf>
    <xf numFmtId="173" fontId="0" fillId="0" borderId="18" xfId="66" applyNumberFormat="1" applyFont="1" applyBorder="1" applyAlignment="1" applyProtection="1">
      <alignment horizontal="right" vertical="center"/>
      <protection locked="0"/>
    </xf>
    <xf numFmtId="173" fontId="0" fillId="0" borderId="12" xfId="66" applyNumberFormat="1" applyFont="1" applyFill="1" applyBorder="1" applyAlignment="1" applyProtection="1">
      <alignment horizontal="right" vertical="center"/>
      <protection locked="0"/>
    </xf>
    <xf numFmtId="173" fontId="0" fillId="0" borderId="17" xfId="66" applyNumberFormat="1" applyFont="1" applyBorder="1" applyAlignment="1">
      <alignment horizontal="right" vertical="center"/>
      <protection/>
    </xf>
    <xf numFmtId="173" fontId="0" fillId="0" borderId="12" xfId="66" applyNumberFormat="1" applyFont="1" applyBorder="1" applyAlignment="1">
      <alignment horizontal="right" vertical="center"/>
      <protection/>
    </xf>
    <xf numFmtId="173" fontId="3" fillId="0" borderId="19" xfId="66" applyNumberFormat="1" applyFont="1" applyBorder="1" applyAlignment="1">
      <alignment horizontal="right" vertical="center"/>
      <protection/>
    </xf>
    <xf numFmtId="173" fontId="3" fillId="0" borderId="20" xfId="66" applyNumberFormat="1" applyFont="1" applyBorder="1" applyAlignment="1">
      <alignment horizontal="right" vertical="center"/>
      <protection/>
    </xf>
    <xf numFmtId="173" fontId="0" fillId="0" borderId="0" xfId="66" applyNumberFormat="1" applyFont="1" applyBorder="1">
      <alignment/>
      <protection/>
    </xf>
    <xf numFmtId="173" fontId="0" fillId="0" borderId="0" xfId="66" applyNumberFormat="1" applyFont="1" applyBorder="1" applyAlignment="1">
      <alignment horizontal="center"/>
      <protection/>
    </xf>
    <xf numFmtId="173" fontId="0" fillId="0" borderId="0" xfId="66" applyNumberFormat="1" applyFont="1" applyFill="1" applyBorder="1" applyAlignment="1">
      <alignment horizontal="center"/>
      <protection/>
    </xf>
    <xf numFmtId="0" fontId="3" fillId="0" borderId="0" xfId="0" applyFont="1" applyBorder="1" applyAlignment="1" quotePrefix="1">
      <alignment/>
    </xf>
    <xf numFmtId="4" fontId="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73" fontId="3" fillId="0" borderId="17" xfId="66" applyNumberFormat="1" applyFont="1" applyFill="1" applyBorder="1" applyAlignment="1" applyProtection="1">
      <alignment horizontal="right" vertical="center"/>
      <protection locked="0"/>
    </xf>
    <xf numFmtId="10" fontId="0" fillId="0" borderId="0" xfId="69" applyNumberFormat="1" applyFont="1" applyBorder="1" applyAlignment="1">
      <alignment vertical="center"/>
    </xf>
    <xf numFmtId="3" fontId="3" fillId="0" borderId="0" xfId="66" applyNumberFormat="1" applyFont="1" applyBorder="1" applyAlignment="1">
      <alignment vertical="center"/>
      <protection/>
    </xf>
    <xf numFmtId="3" fontId="0" fillId="0" borderId="0" xfId="65" applyNumberFormat="1" applyFont="1" applyBorder="1">
      <alignment/>
      <protection/>
    </xf>
    <xf numFmtId="0" fontId="0" fillId="0" borderId="0" xfId="55" applyFont="1" applyAlignment="1">
      <alignment vertical="center"/>
      <protection/>
    </xf>
    <xf numFmtId="4" fontId="3" fillId="0" borderId="2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173" fontId="0" fillId="0" borderId="22" xfId="0" applyNumberFormat="1" applyFont="1" applyBorder="1" applyAlignment="1">
      <alignment/>
    </xf>
    <xf numFmtId="0" fontId="0" fillId="0" borderId="0" xfId="55" applyFont="1">
      <alignment/>
      <protection/>
    </xf>
    <xf numFmtId="0" fontId="3" fillId="0" borderId="0" xfId="55" applyFont="1">
      <alignment/>
      <protection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173" fontId="3" fillId="0" borderId="25" xfId="0" applyNumberFormat="1" applyFont="1" applyBorder="1" applyAlignment="1">
      <alignment vertical="center"/>
    </xf>
    <xf numFmtId="3" fontId="0" fillId="0" borderId="15" xfId="0" applyNumberFormat="1" applyFont="1" applyBorder="1" applyAlignment="1" applyProtection="1">
      <alignment horizontal="right" vertical="center"/>
      <protection/>
    </xf>
    <xf numFmtId="3" fontId="0" fillId="0" borderId="26" xfId="0" applyNumberFormat="1" applyFont="1" applyBorder="1" applyAlignment="1" applyProtection="1">
      <alignment vertical="center"/>
      <protection/>
    </xf>
    <xf numFmtId="173" fontId="0" fillId="0" borderId="27" xfId="49" applyNumberFormat="1" applyFont="1" applyBorder="1" applyAlignment="1" applyProtection="1">
      <alignment vertical="center"/>
      <protection/>
    </xf>
    <xf numFmtId="3" fontId="0" fillId="0" borderId="1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173" fontId="0" fillId="0" borderId="27" xfId="49" applyNumberFormat="1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173" fontId="0" fillId="0" borderId="14" xfId="49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173" fontId="0" fillId="0" borderId="27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173" fontId="3" fillId="0" borderId="32" xfId="0" applyNumberFormat="1" applyFont="1" applyBorder="1" applyAlignment="1">
      <alignment vertical="center"/>
    </xf>
    <xf numFmtId="3" fontId="3" fillId="8" borderId="15" xfId="0" applyNumberFormat="1" applyFont="1" applyFill="1" applyBorder="1" applyAlignment="1">
      <alignment vertical="center"/>
    </xf>
    <xf numFmtId="3" fontId="3" fillId="8" borderId="26" xfId="0" applyNumberFormat="1" applyFont="1" applyFill="1" applyBorder="1" applyAlignment="1">
      <alignment vertical="center"/>
    </xf>
    <xf numFmtId="173" fontId="3" fillId="8" borderId="27" xfId="0" applyNumberFormat="1" applyFont="1" applyFill="1" applyBorder="1" applyAlignment="1">
      <alignment vertical="center"/>
    </xf>
    <xf numFmtId="3" fontId="3" fillId="8" borderId="26" xfId="0" applyNumberFormat="1" applyFont="1" applyFill="1" applyBorder="1" applyAlignment="1" applyProtection="1">
      <alignment vertical="center"/>
      <protection/>
    </xf>
    <xf numFmtId="173" fontId="3" fillId="8" borderId="27" xfId="0" applyNumberFormat="1" applyFont="1" applyFill="1" applyBorder="1" applyAlignment="1" applyProtection="1">
      <alignment vertical="center"/>
      <protection/>
    </xf>
    <xf numFmtId="3" fontId="0" fillId="8" borderId="33" xfId="0" applyNumberFormat="1" applyFont="1" applyFill="1" applyBorder="1" applyAlignment="1">
      <alignment vertical="center"/>
    </xf>
    <xf numFmtId="3" fontId="3" fillId="8" borderId="34" xfId="0" applyNumberFormat="1" applyFont="1" applyFill="1" applyBorder="1" applyAlignment="1">
      <alignment vertical="center"/>
    </xf>
    <xf numFmtId="173" fontId="3" fillId="8" borderId="35" xfId="0" applyNumberFormat="1" applyFont="1" applyFill="1" applyBorder="1" applyAlignment="1">
      <alignment vertical="center"/>
    </xf>
    <xf numFmtId="3" fontId="3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173" fontId="3" fillId="0" borderId="22" xfId="0" applyNumberFormat="1" applyFont="1" applyBorder="1" applyAlignment="1">
      <alignment vertical="center"/>
    </xf>
    <xf numFmtId="173" fontId="3" fillId="8" borderId="37" xfId="0" applyNumberFormat="1" applyFont="1" applyFill="1" applyBorder="1" applyAlignment="1">
      <alignment vertical="center"/>
    </xf>
    <xf numFmtId="173" fontId="3" fillId="8" borderId="38" xfId="0" applyNumberFormat="1" applyFont="1" applyFill="1" applyBorder="1" applyAlignment="1">
      <alignment vertical="center"/>
    </xf>
    <xf numFmtId="3" fontId="0" fillId="0" borderId="26" xfId="61" applyNumberFormat="1" applyFont="1" applyBorder="1" applyAlignment="1" applyProtection="1">
      <alignment vertical="center"/>
      <protection/>
    </xf>
    <xf numFmtId="173" fontId="0" fillId="0" borderId="27" xfId="0" applyNumberFormat="1" applyFont="1" applyBorder="1" applyAlignment="1" applyProtection="1">
      <alignment vertical="center"/>
      <protection/>
    </xf>
    <xf numFmtId="173" fontId="0" fillId="0" borderId="14" xfId="0" applyNumberFormat="1" applyFont="1" applyBorder="1" applyAlignment="1">
      <alignment vertical="center"/>
    </xf>
    <xf numFmtId="3" fontId="3" fillId="0" borderId="33" xfId="0" applyNumberFormat="1" applyFont="1" applyBorder="1" applyAlignment="1" applyProtection="1">
      <alignment vertical="center"/>
      <protection/>
    </xf>
    <xf numFmtId="3" fontId="3" fillId="0" borderId="34" xfId="0" applyNumberFormat="1" applyFont="1" applyBorder="1" applyAlignment="1">
      <alignment vertical="center"/>
    </xf>
    <xf numFmtId="173" fontId="3" fillId="0" borderId="35" xfId="0" applyNumberFormat="1" applyFont="1" applyBorder="1" applyAlignment="1" applyProtection="1">
      <alignment vertical="center"/>
      <protection/>
    </xf>
    <xf numFmtId="3" fontId="3" fillId="0" borderId="15" xfId="0" applyNumberFormat="1" applyFont="1" applyFill="1" applyBorder="1" applyAlignment="1" quotePrefix="1">
      <alignment vertical="center"/>
    </xf>
    <xf numFmtId="3" fontId="3" fillId="0" borderId="0" xfId="0" applyNumberFormat="1" applyFont="1" applyFill="1" applyBorder="1" applyAlignment="1" applyProtection="1">
      <alignment vertical="center"/>
      <protection/>
    </xf>
    <xf numFmtId="173" fontId="3" fillId="0" borderId="22" xfId="0" applyNumberFormat="1" applyFont="1" applyFill="1" applyBorder="1" applyAlignment="1" applyProtection="1">
      <alignment vertical="center"/>
      <protection/>
    </xf>
    <xf numFmtId="173" fontId="0" fillId="0" borderId="0" xfId="0" applyNumberFormat="1" applyFont="1" applyBorder="1" applyAlignment="1" applyProtection="1">
      <alignment vertical="center"/>
      <protection/>
    </xf>
    <xf numFmtId="3" fontId="3" fillId="24" borderId="15" xfId="0" applyNumberFormat="1" applyFont="1" applyFill="1" applyBorder="1" applyAlignment="1" applyProtection="1">
      <alignment vertical="center"/>
      <protection/>
    </xf>
    <xf numFmtId="3" fontId="3" fillId="24" borderId="26" xfId="0" applyNumberFormat="1" applyFont="1" applyFill="1" applyBorder="1" applyAlignment="1">
      <alignment vertical="center"/>
    </xf>
    <xf numFmtId="173" fontId="3" fillId="24" borderId="27" xfId="49" applyNumberFormat="1" applyFont="1" applyFill="1" applyBorder="1" applyAlignment="1" applyProtection="1">
      <alignment vertical="center"/>
      <protection/>
    </xf>
    <xf numFmtId="173" fontId="3" fillId="24" borderId="27" xfId="0" applyNumberFormat="1" applyFont="1" applyFill="1" applyBorder="1" applyAlignment="1" applyProtection="1">
      <alignment vertical="center"/>
      <protection/>
    </xf>
    <xf numFmtId="0" fontId="7" fillId="3" borderId="0" xfId="55" applyFont="1" applyFill="1">
      <alignment/>
      <protection/>
    </xf>
    <xf numFmtId="3" fontId="0" fillId="3" borderId="0" xfId="65" applyNumberFormat="1" applyFont="1" applyFill="1" applyBorder="1">
      <alignment/>
      <protection/>
    </xf>
    <xf numFmtId="3" fontId="3" fillId="8" borderId="39" xfId="0" applyNumberFormat="1" applyFont="1" applyFill="1" applyBorder="1" applyAlignment="1">
      <alignment vertical="center"/>
    </xf>
    <xf numFmtId="3" fontId="3" fillId="8" borderId="36" xfId="0" applyNumberFormat="1" applyFont="1" applyFill="1" applyBorder="1" applyAlignment="1">
      <alignment vertical="center"/>
    </xf>
    <xf numFmtId="3" fontId="3" fillId="8" borderId="40" xfId="0" applyNumberFormat="1" applyFont="1" applyFill="1" applyBorder="1" applyAlignment="1">
      <alignment vertical="center"/>
    </xf>
    <xf numFmtId="3" fontId="3" fillId="8" borderId="0" xfId="0" applyNumberFormat="1" applyFont="1" applyFill="1" applyBorder="1" applyAlignment="1" applyProtection="1">
      <alignment vertical="center"/>
      <protection/>
    </xf>
    <xf numFmtId="3" fontId="0" fillId="8" borderId="41" xfId="0" applyNumberFormat="1" applyFont="1" applyFill="1" applyBorder="1" applyAlignment="1">
      <alignment vertical="center"/>
    </xf>
    <xf numFmtId="3" fontId="3" fillId="8" borderId="42" xfId="0" applyNumberFormat="1" applyFont="1" applyFill="1" applyBorder="1" applyAlignment="1">
      <alignment vertical="center"/>
    </xf>
    <xf numFmtId="3" fontId="3" fillId="8" borderId="43" xfId="0" applyNumberFormat="1" applyFont="1" applyFill="1" applyBorder="1" applyAlignment="1">
      <alignment vertical="center"/>
    </xf>
    <xf numFmtId="3" fontId="3" fillId="8" borderId="44" xfId="0" applyNumberFormat="1" applyFont="1" applyFill="1" applyBorder="1" applyAlignment="1">
      <alignment vertical="center"/>
    </xf>
    <xf numFmtId="0" fontId="0" fillId="3" borderId="0" xfId="0" applyFont="1" applyFill="1" applyAlignment="1">
      <alignment/>
    </xf>
    <xf numFmtId="0" fontId="3" fillId="0" borderId="0" xfId="0" applyFont="1" applyAlignment="1">
      <alignment vertical="justify" wrapText="1"/>
    </xf>
    <xf numFmtId="0" fontId="5" fillId="25" borderId="13" xfId="57" applyFont="1" applyFill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0" fillId="0" borderId="0" xfId="54" applyFill="1">
      <alignment/>
      <protection/>
    </xf>
    <xf numFmtId="0" fontId="29" fillId="0" borderId="17" xfId="54" applyFont="1" applyBorder="1" applyAlignment="1">
      <alignment horizontal="center" vertical="center" wrapText="1"/>
      <protection/>
    </xf>
    <xf numFmtId="0" fontId="30" fillId="0" borderId="17" xfId="54" applyFont="1" applyBorder="1" applyAlignment="1">
      <alignment horizontal="center" vertical="center" wrapText="1"/>
      <protection/>
    </xf>
    <xf numFmtId="0" fontId="0" fillId="0" borderId="17" xfId="54" applyBorder="1">
      <alignment/>
      <protection/>
    </xf>
    <xf numFmtId="0" fontId="31" fillId="0" borderId="17" xfId="54" applyFont="1" applyBorder="1" applyAlignment="1">
      <alignment horizontal="left" wrapText="1"/>
      <protection/>
    </xf>
    <xf numFmtId="0" fontId="0" fillId="0" borderId="45" xfId="54" applyBorder="1">
      <alignment/>
      <protection/>
    </xf>
    <xf numFmtId="0" fontId="33" fillId="0" borderId="46" xfId="54" applyFont="1" applyBorder="1" applyAlignment="1">
      <alignment wrapText="1"/>
      <protection/>
    </xf>
    <xf numFmtId="170" fontId="32" fillId="0" borderId="46" xfId="54" applyNumberFormat="1" applyFont="1" applyBorder="1" applyAlignment="1">
      <alignment wrapText="1"/>
      <protection/>
    </xf>
    <xf numFmtId="170" fontId="34" fillId="0" borderId="46" xfId="54" applyNumberFormat="1" applyFont="1" applyBorder="1">
      <alignment/>
      <protection/>
    </xf>
    <xf numFmtId="170" fontId="34" fillId="0" borderId="47" xfId="54" applyNumberFormat="1" applyFont="1" applyBorder="1">
      <alignment/>
      <protection/>
    </xf>
    <xf numFmtId="2" fontId="5" fillId="8" borderId="25" xfId="57" applyNumberFormat="1" applyFont="1" applyFill="1" applyBorder="1" applyAlignment="1">
      <alignment horizontal="center" vertical="center" wrapText="1"/>
      <protection/>
    </xf>
    <xf numFmtId="0" fontId="0" fillId="0" borderId="46" xfId="54" applyFont="1" applyBorder="1">
      <alignment/>
      <protection/>
    </xf>
    <xf numFmtId="0" fontId="0" fillId="0" borderId="47" xfId="54" applyFont="1" applyBorder="1">
      <alignment/>
      <protection/>
    </xf>
    <xf numFmtId="0" fontId="0" fillId="0" borderId="0" xfId="54" applyFont="1">
      <alignment/>
      <protection/>
    </xf>
    <xf numFmtId="170" fontId="35" fillId="0" borderId="17" xfId="54" applyNumberFormat="1" applyFont="1" applyBorder="1" applyAlignment="1">
      <alignment horizontal="center" vertical="center" wrapText="1"/>
      <protection/>
    </xf>
    <xf numFmtId="170" fontId="36" fillId="0" borderId="17" xfId="54" applyNumberFormat="1" applyFont="1" applyBorder="1" applyAlignment="1">
      <alignment horizontal="center" wrapText="1"/>
      <protection/>
    </xf>
    <xf numFmtId="170" fontId="36" fillId="0" borderId="17" xfId="54" applyNumberFormat="1" applyFont="1" applyBorder="1" applyAlignment="1">
      <alignment horizontal="center" vertical="center" wrapText="1"/>
      <protection/>
    </xf>
    <xf numFmtId="170" fontId="35" fillId="0" borderId="48" xfId="54" applyNumberFormat="1" applyFont="1" applyBorder="1" applyAlignment="1">
      <alignment horizontal="center" wrapText="1"/>
      <protection/>
    </xf>
    <xf numFmtId="168" fontId="36" fillId="0" borderId="17" xfId="45" applyFont="1" applyBorder="1" applyAlignment="1">
      <alignment horizontal="center" wrapText="1"/>
    </xf>
    <xf numFmtId="168" fontId="36" fillId="0" borderId="17" xfId="45" applyFont="1" applyBorder="1" applyAlignment="1">
      <alignment horizontal="right" vertical="center" wrapText="1"/>
    </xf>
    <xf numFmtId="168" fontId="36" fillId="0" borderId="17" xfId="45" applyFont="1" applyBorder="1" applyAlignment="1">
      <alignment horizontal="right" wrapText="1"/>
    </xf>
    <xf numFmtId="168" fontId="35" fillId="0" borderId="48" xfId="45" applyFont="1" applyBorder="1" applyAlignment="1">
      <alignment horizontal="center" wrapText="1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173" fontId="40" fillId="0" borderId="0" xfId="0" applyNumberFormat="1" applyFont="1" applyAlignment="1">
      <alignment vertical="center"/>
    </xf>
    <xf numFmtId="3" fontId="39" fillId="0" borderId="23" xfId="0" applyNumberFormat="1" applyFont="1" applyBorder="1" applyAlignment="1">
      <alignment vertical="center"/>
    </xf>
    <xf numFmtId="3" fontId="39" fillId="0" borderId="24" xfId="0" applyNumberFormat="1" applyFont="1" applyBorder="1" applyAlignment="1">
      <alignment vertical="center"/>
    </xf>
    <xf numFmtId="173" fontId="39" fillId="0" borderId="25" xfId="0" applyNumberFormat="1" applyFont="1" applyBorder="1" applyAlignment="1">
      <alignment vertical="center"/>
    </xf>
    <xf numFmtId="3" fontId="40" fillId="0" borderId="15" xfId="0" applyNumberFormat="1" applyFont="1" applyBorder="1" applyAlignment="1" applyProtection="1">
      <alignment horizontal="right" vertical="center"/>
      <protection/>
    </xf>
    <xf numFmtId="3" fontId="40" fillId="0" borderId="26" xfId="0" applyNumberFormat="1" applyFont="1" applyBorder="1" applyAlignment="1" applyProtection="1">
      <alignment vertical="center"/>
      <protection/>
    </xf>
    <xf numFmtId="173" fontId="40" fillId="0" borderId="27" xfId="49" applyNumberFormat="1" applyFont="1" applyBorder="1" applyAlignment="1" applyProtection="1">
      <alignment vertical="center"/>
      <protection/>
    </xf>
    <xf numFmtId="3" fontId="40" fillId="0" borderId="15" xfId="0" applyNumberFormat="1" applyFont="1" applyBorder="1" applyAlignment="1">
      <alignment vertical="center"/>
    </xf>
    <xf numFmtId="3" fontId="40" fillId="0" borderId="26" xfId="0" applyNumberFormat="1" applyFont="1" applyBorder="1" applyAlignment="1">
      <alignment vertical="center"/>
    </xf>
    <xf numFmtId="173" fontId="40" fillId="0" borderId="27" xfId="49" applyNumberFormat="1" applyFont="1" applyBorder="1" applyAlignment="1">
      <alignment vertical="center"/>
    </xf>
    <xf numFmtId="3" fontId="39" fillId="24" borderId="15" xfId="0" applyNumberFormat="1" applyFont="1" applyFill="1" applyBorder="1" applyAlignment="1" applyProtection="1">
      <alignment vertical="center"/>
      <protection/>
    </xf>
    <xf numFmtId="3" fontId="39" fillId="24" borderId="26" xfId="0" applyNumberFormat="1" applyFont="1" applyFill="1" applyBorder="1" applyAlignment="1">
      <alignment vertical="center"/>
    </xf>
    <xf numFmtId="173" fontId="39" fillId="24" borderId="27" xfId="49" applyNumberFormat="1" applyFont="1" applyFill="1" applyBorder="1" applyAlignment="1" applyProtection="1">
      <alignment vertical="center"/>
      <protection/>
    </xf>
    <xf numFmtId="3" fontId="39" fillId="0" borderId="28" xfId="0" applyNumberFormat="1" applyFont="1" applyBorder="1" applyAlignment="1">
      <alignment vertical="center"/>
    </xf>
    <xf numFmtId="3" fontId="39" fillId="0" borderId="29" xfId="0" applyNumberFormat="1" applyFont="1" applyBorder="1" applyAlignment="1">
      <alignment vertical="center"/>
    </xf>
    <xf numFmtId="173" fontId="40" fillId="0" borderId="14" xfId="49" applyNumberFormat="1" applyFont="1" applyBorder="1" applyAlignment="1">
      <alignment vertical="center"/>
    </xf>
    <xf numFmtId="173" fontId="39" fillId="24" borderId="27" xfId="0" applyNumberFormat="1" applyFont="1" applyFill="1" applyBorder="1" applyAlignment="1" applyProtection="1">
      <alignment vertical="center"/>
      <protection/>
    </xf>
    <xf numFmtId="3" fontId="39" fillId="0" borderId="15" xfId="0" applyNumberFormat="1" applyFont="1" applyBorder="1" applyAlignment="1">
      <alignment vertical="center"/>
    </xf>
    <xf numFmtId="3" fontId="39" fillId="0" borderId="26" xfId="0" applyNumberFormat="1" applyFont="1" applyBorder="1" applyAlignment="1">
      <alignment vertical="center"/>
    </xf>
    <xf numFmtId="173" fontId="40" fillId="0" borderId="27" xfId="0" applyNumberFormat="1" applyFont="1" applyBorder="1" applyAlignment="1">
      <alignment vertical="center"/>
    </xf>
    <xf numFmtId="3" fontId="39" fillId="8" borderId="15" xfId="0" applyNumberFormat="1" applyFont="1" applyFill="1" applyBorder="1" applyAlignment="1">
      <alignment vertical="center"/>
    </xf>
    <xf numFmtId="173" fontId="39" fillId="8" borderId="27" xfId="0" applyNumberFormat="1" applyFont="1" applyFill="1" applyBorder="1" applyAlignment="1">
      <alignment vertical="center"/>
    </xf>
    <xf numFmtId="3" fontId="39" fillId="8" borderId="26" xfId="0" applyNumberFormat="1" applyFont="1" applyFill="1" applyBorder="1" applyAlignment="1" applyProtection="1">
      <alignment vertical="center"/>
      <protection/>
    </xf>
    <xf numFmtId="173" fontId="39" fillId="8" borderId="27" xfId="0" applyNumberFormat="1" applyFont="1" applyFill="1" applyBorder="1" applyAlignment="1" applyProtection="1">
      <alignment vertical="center"/>
      <protection/>
    </xf>
    <xf numFmtId="0" fontId="40" fillId="0" borderId="0" xfId="0" applyFont="1" applyBorder="1" applyAlignment="1">
      <alignment vertical="center"/>
    </xf>
    <xf numFmtId="3" fontId="39" fillId="0" borderId="0" xfId="0" applyNumberFormat="1" applyFont="1" applyBorder="1" applyAlignment="1">
      <alignment vertical="center"/>
    </xf>
    <xf numFmtId="173" fontId="39" fillId="0" borderId="22" xfId="0" applyNumberFormat="1" applyFont="1" applyBorder="1" applyAlignment="1">
      <alignment vertical="center"/>
    </xf>
    <xf numFmtId="3" fontId="39" fillId="8" borderId="43" xfId="0" applyNumberFormat="1" applyFont="1" applyFill="1" applyBorder="1" applyAlignment="1">
      <alignment vertical="center"/>
    </xf>
    <xf numFmtId="3" fontId="39" fillId="8" borderId="44" xfId="0" applyNumberFormat="1" applyFont="1" applyFill="1" applyBorder="1" applyAlignment="1">
      <alignment vertical="center"/>
    </xf>
    <xf numFmtId="173" fontId="39" fillId="8" borderId="49" xfId="0" applyNumberFormat="1" applyFont="1" applyFill="1" applyBorder="1" applyAlignment="1">
      <alignment vertical="center"/>
    </xf>
    <xf numFmtId="3" fontId="40" fillId="8" borderId="41" xfId="0" applyNumberFormat="1" applyFont="1" applyFill="1" applyBorder="1" applyAlignment="1">
      <alignment vertical="center"/>
    </xf>
    <xf numFmtId="3" fontId="39" fillId="8" borderId="42" xfId="0" applyNumberFormat="1" applyFont="1" applyFill="1" applyBorder="1" applyAlignment="1">
      <alignment vertical="center"/>
    </xf>
    <xf numFmtId="173" fontId="39" fillId="8" borderId="38" xfId="0" applyNumberFormat="1" applyFont="1" applyFill="1" applyBorder="1" applyAlignment="1">
      <alignment vertical="center"/>
    </xf>
    <xf numFmtId="3" fontId="40" fillId="0" borderId="26" xfId="61" applyNumberFormat="1" applyFont="1" applyBorder="1" applyAlignment="1" applyProtection="1">
      <alignment vertical="center"/>
      <protection/>
    </xf>
    <xf numFmtId="173" fontId="40" fillId="0" borderId="27" xfId="0" applyNumberFormat="1" applyFont="1" applyBorder="1" applyAlignment="1" applyProtection="1">
      <alignment vertical="center"/>
      <protection/>
    </xf>
    <xf numFmtId="4" fontId="40" fillId="0" borderId="0" xfId="0" applyNumberFormat="1" applyFont="1" applyAlignment="1">
      <alignment vertical="center"/>
    </xf>
    <xf numFmtId="173" fontId="40" fillId="0" borderId="14" xfId="0" applyNumberFormat="1" applyFont="1" applyBorder="1" applyAlignment="1">
      <alignment vertical="center"/>
    </xf>
    <xf numFmtId="3" fontId="39" fillId="0" borderId="33" xfId="0" applyNumberFormat="1" applyFont="1" applyBorder="1" applyAlignment="1" applyProtection="1">
      <alignment vertical="center"/>
      <protection/>
    </xf>
    <xf numFmtId="3" fontId="39" fillId="0" borderId="34" xfId="0" applyNumberFormat="1" applyFont="1" applyBorder="1" applyAlignment="1">
      <alignment vertical="center"/>
    </xf>
    <xf numFmtId="173" fontId="39" fillId="0" borderId="35" xfId="0" applyNumberFormat="1" applyFont="1" applyBorder="1" applyAlignment="1" applyProtection="1">
      <alignment vertical="center"/>
      <protection/>
    </xf>
    <xf numFmtId="3" fontId="39" fillId="0" borderId="0" xfId="0" applyNumberFormat="1" applyFont="1" applyFill="1" applyBorder="1" applyAlignment="1" applyProtection="1">
      <alignment vertical="center"/>
      <protection/>
    </xf>
    <xf numFmtId="0" fontId="40" fillId="3" borderId="0" xfId="0" applyFont="1" applyFill="1" applyAlignment="1">
      <alignment vertical="center"/>
    </xf>
    <xf numFmtId="0" fontId="43" fillId="3" borderId="0" xfId="55" applyFont="1" applyFill="1" applyAlignment="1">
      <alignment vertical="center"/>
      <protection/>
    </xf>
    <xf numFmtId="3" fontId="40" fillId="3" borderId="0" xfId="65" applyNumberFormat="1" applyFont="1" applyFill="1" applyBorder="1" applyAlignment="1">
      <alignment vertical="center"/>
      <protection/>
    </xf>
    <xf numFmtId="0" fontId="40" fillId="0" borderId="0" xfId="55" applyFont="1" applyAlignment="1">
      <alignment vertical="center"/>
      <protection/>
    </xf>
    <xf numFmtId="3" fontId="40" fillId="0" borderId="0" xfId="65" applyNumberFormat="1" applyFont="1" applyBorder="1" applyAlignment="1">
      <alignment vertical="center"/>
      <protection/>
    </xf>
    <xf numFmtId="0" fontId="39" fillId="0" borderId="0" xfId="55" applyFont="1" applyAlignment="1">
      <alignment vertical="center" wrapText="1"/>
      <protection/>
    </xf>
    <xf numFmtId="0" fontId="39" fillId="0" borderId="0" xfId="55" applyFont="1" applyAlignment="1">
      <alignment vertical="center"/>
      <protection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/>
    </xf>
    <xf numFmtId="2" fontId="40" fillId="0" borderId="0" xfId="0" applyNumberFormat="1" applyFont="1" applyAlignment="1">
      <alignment horizontal="center" vertical="center"/>
    </xf>
    <xf numFmtId="0" fontId="42" fillId="0" borderId="17" xfId="0" applyFont="1" applyBorder="1" applyAlignment="1">
      <alignment vertical="center"/>
    </xf>
    <xf numFmtId="173" fontId="42" fillId="0" borderId="17" xfId="0" applyNumberFormat="1" applyFont="1" applyBorder="1" applyAlignment="1" applyProtection="1">
      <alignment vertical="center"/>
      <protection/>
    </xf>
    <xf numFmtId="173" fontId="40" fillId="0" borderId="17" xfId="0" applyNumberFormat="1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3" fontId="39" fillId="8" borderId="24" xfId="0" applyNumberFormat="1" applyFont="1" applyFill="1" applyBorder="1" applyAlignment="1">
      <alignment vertical="center"/>
    </xf>
    <xf numFmtId="3" fontId="40" fillId="8" borderId="15" xfId="0" applyNumberFormat="1" applyFont="1" applyFill="1" applyBorder="1" applyAlignment="1">
      <alignment vertical="center"/>
    </xf>
    <xf numFmtId="3" fontId="39" fillId="8" borderId="0" xfId="0" applyNumberFormat="1" applyFont="1" applyFill="1" applyBorder="1" applyAlignment="1">
      <alignment vertical="center"/>
    </xf>
    <xf numFmtId="3" fontId="39" fillId="0" borderId="50" xfId="0" applyNumberFormat="1" applyFont="1" applyFill="1" applyBorder="1" applyAlignment="1">
      <alignment vertical="center"/>
    </xf>
    <xf numFmtId="3" fontId="39" fillId="0" borderId="51" xfId="0" applyNumberFormat="1" applyFont="1" applyFill="1" applyBorder="1" applyAlignment="1">
      <alignment vertical="center"/>
    </xf>
    <xf numFmtId="173" fontId="39" fillId="0" borderId="52" xfId="0" applyNumberFormat="1" applyFont="1" applyFill="1" applyBorder="1" applyAlignment="1">
      <alignment vertical="center"/>
    </xf>
    <xf numFmtId="3" fontId="39" fillId="0" borderId="15" xfId="0" applyNumberFormat="1" applyFont="1" applyFill="1" applyBorder="1" applyAlignment="1">
      <alignment vertical="center"/>
    </xf>
    <xf numFmtId="3" fontId="39" fillId="0" borderId="26" xfId="0" applyNumberFormat="1" applyFont="1" applyFill="1" applyBorder="1" applyAlignment="1">
      <alignment vertical="center"/>
    </xf>
    <xf numFmtId="173" fontId="39" fillId="0" borderId="27" xfId="0" applyNumberFormat="1" applyFont="1" applyBorder="1" applyAlignment="1">
      <alignment vertical="center"/>
    </xf>
    <xf numFmtId="3" fontId="39" fillId="8" borderId="53" xfId="0" applyNumberFormat="1" applyFont="1" applyFill="1" applyBorder="1" applyAlignment="1">
      <alignment vertical="center"/>
    </xf>
    <xf numFmtId="3" fontId="39" fillId="8" borderId="54" xfId="0" applyNumberFormat="1" applyFont="1" applyFill="1" applyBorder="1" applyAlignment="1">
      <alignment vertical="center"/>
    </xf>
    <xf numFmtId="3" fontId="39" fillId="8" borderId="0" xfId="0" applyNumberFormat="1" applyFont="1" applyFill="1" applyBorder="1" applyAlignment="1" applyProtection="1">
      <alignment vertical="center"/>
      <protection/>
    </xf>
    <xf numFmtId="0" fontId="40" fillId="0" borderId="43" xfId="0" applyFont="1" applyBorder="1" applyAlignment="1">
      <alignment vertical="center"/>
    </xf>
    <xf numFmtId="3" fontId="39" fillId="0" borderId="43" xfId="0" applyNumberFormat="1" applyFont="1" applyFill="1" applyBorder="1" applyAlignment="1" quotePrefix="1">
      <alignment vertical="center"/>
    </xf>
    <xf numFmtId="3" fontId="39" fillId="0" borderId="41" xfId="0" applyNumberFormat="1" applyFont="1" applyFill="1" applyBorder="1" applyAlignment="1">
      <alignment vertical="center"/>
    </xf>
    <xf numFmtId="3" fontId="39" fillId="24" borderId="41" xfId="0" applyNumberFormat="1" applyFont="1" applyFill="1" applyBorder="1" applyAlignment="1" applyProtection="1">
      <alignment vertical="center"/>
      <protection/>
    </xf>
    <xf numFmtId="3" fontId="40" fillId="0" borderId="0" xfId="61" applyNumberFormat="1" applyFont="1" applyBorder="1" applyAlignment="1" applyProtection="1">
      <alignment vertical="center"/>
      <protection/>
    </xf>
    <xf numFmtId="3" fontId="39" fillId="24" borderId="0" xfId="0" applyNumberFormat="1" applyFont="1" applyFill="1" applyBorder="1" applyAlignment="1">
      <alignment vertical="center"/>
    </xf>
    <xf numFmtId="3" fontId="39" fillId="0" borderId="55" xfId="0" applyNumberFormat="1" applyFont="1" applyBorder="1" applyAlignment="1">
      <alignment vertical="center"/>
    </xf>
    <xf numFmtId="3" fontId="39" fillId="0" borderId="39" xfId="0" applyNumberFormat="1" applyFont="1" applyBorder="1" applyAlignment="1">
      <alignment vertical="center"/>
    </xf>
    <xf numFmtId="43" fontId="40" fillId="0" borderId="17" xfId="0" applyNumberFormat="1" applyFont="1" applyBorder="1" applyAlignment="1">
      <alignment vertical="center"/>
    </xf>
    <xf numFmtId="43" fontId="40" fillId="0" borderId="12" xfId="0" applyNumberFormat="1" applyFont="1" applyBorder="1" applyAlignment="1">
      <alignment vertical="center"/>
    </xf>
    <xf numFmtId="43" fontId="40" fillId="0" borderId="56" xfId="0" applyNumberFormat="1" applyFont="1" applyBorder="1" applyAlignment="1">
      <alignment vertical="center"/>
    </xf>
    <xf numFmtId="43" fontId="40" fillId="0" borderId="19" xfId="0" applyNumberFormat="1" applyFont="1" applyBorder="1" applyAlignment="1">
      <alignment vertical="center"/>
    </xf>
    <xf numFmtId="43" fontId="40" fillId="0" borderId="20" xfId="0" applyNumberFormat="1" applyFont="1" applyBorder="1" applyAlignment="1">
      <alignment vertical="center"/>
    </xf>
    <xf numFmtId="43" fontId="40" fillId="0" borderId="57" xfId="0" applyNumberFormat="1" applyFont="1" applyBorder="1" applyAlignment="1">
      <alignment vertical="center"/>
    </xf>
    <xf numFmtId="0" fontId="40" fillId="0" borderId="0" xfId="53" applyFont="1" applyAlignment="1">
      <alignment vertical="center"/>
      <protection/>
    </xf>
    <xf numFmtId="0" fontId="39" fillId="0" borderId="0" xfId="53" applyFont="1" applyAlignment="1">
      <alignment vertical="center"/>
      <protection/>
    </xf>
    <xf numFmtId="0" fontId="40" fillId="0" borderId="0" xfId="53" applyFont="1" applyBorder="1" applyAlignment="1">
      <alignment vertical="center"/>
      <protection/>
    </xf>
    <xf numFmtId="0" fontId="39" fillId="0" borderId="17" xfId="0" applyFont="1" applyBorder="1" applyAlignment="1">
      <alignment horizontal="center" vertical="center" wrapText="1"/>
    </xf>
    <xf numFmtId="0" fontId="40" fillId="0" borderId="0" xfId="0" applyFont="1" applyFill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1" fontId="44" fillId="8" borderId="13" xfId="56" applyNumberFormat="1" applyFont="1" applyFill="1" applyBorder="1" applyAlignment="1">
      <alignment horizontal="center" vertical="center"/>
      <protection/>
    </xf>
    <xf numFmtId="2" fontId="44" fillId="8" borderId="12" xfId="56" applyNumberFormat="1" applyFont="1" applyFill="1" applyBorder="1" applyAlignment="1">
      <alignment horizontal="center" vertical="center"/>
      <protection/>
    </xf>
    <xf numFmtId="0" fontId="39" fillId="0" borderId="51" xfId="53" applyFont="1" applyBorder="1" applyAlignment="1">
      <alignment horizontal="center" vertical="center" wrapText="1"/>
      <protection/>
    </xf>
    <xf numFmtId="0" fontId="39" fillId="0" borderId="52" xfId="53" applyFont="1" applyBorder="1" applyAlignment="1">
      <alignment horizontal="center" vertical="center" wrapText="1"/>
      <protection/>
    </xf>
    <xf numFmtId="0" fontId="39" fillId="0" borderId="0" xfId="53" applyFont="1" applyBorder="1" applyAlignment="1">
      <alignment horizontal="center" vertical="center" wrapText="1"/>
      <protection/>
    </xf>
    <xf numFmtId="173" fontId="39" fillId="0" borderId="19" xfId="50" applyNumberFormat="1" applyFont="1" applyBorder="1" applyAlignment="1">
      <alignment vertical="center"/>
    </xf>
    <xf numFmtId="0" fontId="39" fillId="0" borderId="20" xfId="53" applyFont="1" applyBorder="1" applyAlignment="1">
      <alignment vertical="center"/>
      <protection/>
    </xf>
    <xf numFmtId="173" fontId="39" fillId="22" borderId="0" xfId="53" applyNumberFormat="1" applyFont="1" applyFill="1" applyBorder="1" applyAlignment="1">
      <alignment vertical="center"/>
      <protection/>
    </xf>
    <xf numFmtId="173" fontId="40" fillId="26" borderId="11" xfId="50" applyNumberFormat="1" applyFont="1" applyFill="1" applyBorder="1" applyAlignment="1">
      <alignment vertical="center"/>
    </xf>
    <xf numFmtId="0" fontId="40" fillId="0" borderId="14" xfId="53" applyFont="1" applyFill="1" applyBorder="1" applyAlignment="1">
      <alignment vertical="center"/>
      <protection/>
    </xf>
    <xf numFmtId="173" fontId="40" fillId="26" borderId="17" xfId="50" applyNumberFormat="1" applyFont="1" applyFill="1" applyBorder="1" applyAlignment="1">
      <alignment vertical="center"/>
    </xf>
    <xf numFmtId="0" fontId="40" fillId="0" borderId="58" xfId="53" applyFont="1" applyBorder="1" applyAlignment="1">
      <alignment vertical="center"/>
      <protection/>
    </xf>
    <xf numFmtId="173" fontId="39" fillId="0" borderId="0" xfId="50" applyNumberFormat="1" applyFont="1" applyBorder="1" applyAlignment="1">
      <alignment vertical="center"/>
    </xf>
    <xf numFmtId="0" fontId="39" fillId="0" borderId="0" xfId="53" applyFont="1" applyBorder="1" applyAlignment="1">
      <alignment vertical="center"/>
      <protection/>
    </xf>
    <xf numFmtId="0" fontId="40" fillId="0" borderId="0" xfId="62" applyFont="1" applyAlignment="1">
      <alignment vertical="center"/>
      <protection/>
    </xf>
    <xf numFmtId="4" fontId="40" fillId="0" borderId="0" xfId="62" applyNumberFormat="1" applyFont="1" applyAlignment="1">
      <alignment vertical="center"/>
      <protection/>
    </xf>
    <xf numFmtId="4" fontId="40" fillId="26" borderId="11" xfId="62" applyNumberFormat="1" applyFont="1" applyFill="1" applyBorder="1" applyAlignment="1" applyProtection="1">
      <alignment horizontal="center" vertical="center"/>
      <protection locked="0"/>
    </xf>
    <xf numFmtId="173" fontId="40" fillId="0" borderId="11" xfId="50" applyNumberFormat="1" applyFont="1" applyBorder="1" applyAlignment="1" applyProtection="1">
      <alignment horizontal="right" vertical="center"/>
      <protection locked="0"/>
    </xf>
    <xf numFmtId="0" fontId="40" fillId="0" borderId="59" xfId="62" applyNumberFormat="1" applyFont="1" applyFill="1" applyBorder="1" applyAlignment="1" applyProtection="1">
      <alignment vertical="center"/>
      <protection locked="0"/>
    </xf>
    <xf numFmtId="0" fontId="40" fillId="0" borderId="27" xfId="62" applyNumberFormat="1" applyFont="1" applyFill="1" applyBorder="1" applyAlignment="1" applyProtection="1">
      <alignment vertical="center"/>
      <protection locked="0"/>
    </xf>
    <xf numFmtId="173" fontId="40" fillId="0" borderId="17" xfId="50" applyNumberFormat="1" applyFont="1" applyBorder="1" applyAlignment="1" applyProtection="1">
      <alignment horizontal="right" vertical="center"/>
      <protection locked="0"/>
    </xf>
    <xf numFmtId="49" fontId="40" fillId="0" borderId="60" xfId="62" applyNumberFormat="1" applyFont="1" applyFill="1" applyBorder="1" applyAlignment="1" applyProtection="1">
      <alignment horizontal="center" vertical="center"/>
      <protection locked="0"/>
    </xf>
    <xf numFmtId="49" fontId="40" fillId="0" borderId="25" xfId="62" applyNumberFormat="1" applyFont="1" applyFill="1" applyBorder="1" applyAlignment="1" applyProtection="1">
      <alignment horizontal="center" vertical="center"/>
      <protection locked="0"/>
    </xf>
    <xf numFmtId="0" fontId="40" fillId="0" borderId="60" xfId="62" applyNumberFormat="1" applyFont="1" applyFill="1" applyBorder="1" applyAlignment="1" applyProtection="1">
      <alignment vertical="center"/>
      <protection locked="0"/>
    </xf>
    <xf numFmtId="0" fontId="40" fillId="0" borderId="25" xfId="62" applyNumberFormat="1" applyFont="1" applyFill="1" applyBorder="1" applyAlignment="1" applyProtection="1">
      <alignment vertical="center"/>
      <protection locked="0"/>
    </xf>
    <xf numFmtId="4" fontId="40" fillId="26" borderId="61" xfId="62" applyNumberFormat="1" applyFont="1" applyFill="1" applyBorder="1" applyAlignment="1" applyProtection="1">
      <alignment horizontal="center" vertical="center"/>
      <protection locked="0"/>
    </xf>
    <xf numFmtId="173" fontId="40" fillId="0" borderId="48" xfId="50" applyNumberFormat="1" applyFont="1" applyBorder="1" applyAlignment="1" applyProtection="1">
      <alignment horizontal="right" vertical="center"/>
      <protection locked="0"/>
    </xf>
    <xf numFmtId="0" fontId="40" fillId="0" borderId="62" xfId="62" applyNumberFormat="1" applyFont="1" applyFill="1" applyBorder="1" applyAlignment="1" applyProtection="1">
      <alignment vertical="center"/>
      <protection locked="0"/>
    </xf>
    <xf numFmtId="0" fontId="40" fillId="0" borderId="20" xfId="62" applyNumberFormat="1" applyFont="1" applyFill="1" applyBorder="1" applyAlignment="1" applyProtection="1">
      <alignment vertical="center"/>
      <protection locked="0"/>
    </xf>
    <xf numFmtId="4" fontId="40" fillId="0" borderId="17" xfId="62" applyNumberFormat="1" applyFont="1" applyBorder="1" applyAlignment="1" applyProtection="1">
      <alignment horizontal="center" vertical="center"/>
      <protection locked="0"/>
    </xf>
    <xf numFmtId="173" fontId="40" fillId="0" borderId="17" xfId="62" applyNumberFormat="1" applyFont="1" applyBorder="1" applyAlignment="1" applyProtection="1">
      <alignment horizontal="right" vertical="center"/>
      <protection locked="0"/>
    </xf>
    <xf numFmtId="4" fontId="40" fillId="0" borderId="48" xfId="62" applyNumberFormat="1" applyFont="1" applyBorder="1" applyAlignment="1" applyProtection="1">
      <alignment horizontal="center" vertical="center"/>
      <protection locked="0"/>
    </xf>
    <xf numFmtId="173" fontId="40" fillId="0" borderId="48" xfId="62" applyNumberFormat="1" applyFont="1" applyBorder="1" applyAlignment="1" applyProtection="1">
      <alignment horizontal="right" vertical="center"/>
      <protection locked="0"/>
    </xf>
    <xf numFmtId="0" fontId="39" fillId="0" borderId="0" xfId="62" applyFont="1" applyBorder="1" applyAlignment="1">
      <alignment horizontal="center" vertical="center"/>
      <protection/>
    </xf>
    <xf numFmtId="0" fontId="40" fillId="0" borderId="0" xfId="62" applyFont="1" applyBorder="1" applyAlignment="1">
      <alignment vertical="center"/>
      <protection/>
    </xf>
    <xf numFmtId="173" fontId="39" fillId="0" borderId="0" xfId="62" applyNumberFormat="1" applyFont="1" applyBorder="1" applyAlignment="1" applyProtection="1">
      <alignment horizontal="right" vertical="center"/>
      <protection locked="0"/>
    </xf>
    <xf numFmtId="0" fontId="40" fillId="0" borderId="0" xfId="0" applyFont="1" applyAlignment="1">
      <alignment horizontal="center" vertical="center" wrapText="1"/>
    </xf>
    <xf numFmtId="0" fontId="40" fillId="0" borderId="63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6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43" fontId="40" fillId="0" borderId="15" xfId="0" applyNumberFormat="1" applyFont="1" applyBorder="1" applyAlignment="1">
      <alignment vertical="center"/>
    </xf>
    <xf numFmtId="43" fontId="40" fillId="0" borderId="22" xfId="0" applyNumberFormat="1" applyFont="1" applyBorder="1" applyAlignment="1">
      <alignment vertical="center"/>
    </xf>
    <xf numFmtId="43" fontId="40" fillId="0" borderId="0" xfId="0" applyNumberFormat="1" applyFont="1" applyBorder="1" applyAlignment="1">
      <alignment vertical="center"/>
    </xf>
    <xf numFmtId="0" fontId="40" fillId="0" borderId="0" xfId="63" applyFont="1" applyAlignment="1">
      <alignment vertical="center"/>
      <protection/>
    </xf>
    <xf numFmtId="0" fontId="40" fillId="0" borderId="56" xfId="0" applyFont="1" applyBorder="1" applyAlignment="1">
      <alignment horizontal="center" vertical="center"/>
    </xf>
    <xf numFmtId="49" fontId="40" fillId="0" borderId="0" xfId="0" applyNumberFormat="1" applyFont="1" applyBorder="1" applyAlignment="1">
      <alignment vertical="center"/>
    </xf>
    <xf numFmtId="0" fontId="40" fillId="0" borderId="0" xfId="0" applyFont="1" applyBorder="1" applyAlignment="1">
      <alignment horizontal="right" vertical="center" wrapText="1"/>
    </xf>
    <xf numFmtId="4" fontId="40" fillId="0" borderId="11" xfId="0" applyNumberFormat="1" applyFont="1" applyBorder="1" applyAlignment="1">
      <alignment horizontal="right" vertical="center" wrapText="1"/>
    </xf>
    <xf numFmtId="4" fontId="40" fillId="0" borderId="17" xfId="0" applyNumberFormat="1" applyFont="1" applyBorder="1" applyAlignment="1">
      <alignment horizontal="right" vertical="center" wrapText="1"/>
    </xf>
    <xf numFmtId="4" fontId="40" fillId="0" borderId="12" xfId="0" applyNumberFormat="1" applyFont="1" applyBorder="1" applyAlignment="1">
      <alignment horizontal="right" vertical="center" wrapText="1"/>
    </xf>
    <xf numFmtId="4" fontId="39" fillId="0" borderId="19" xfId="0" applyNumberFormat="1" applyFont="1" applyBorder="1" applyAlignment="1">
      <alignment horizontal="right" vertical="center" wrapText="1"/>
    </xf>
    <xf numFmtId="4" fontId="39" fillId="0" borderId="20" xfId="0" applyNumberFormat="1" applyFont="1" applyBorder="1" applyAlignment="1">
      <alignment horizontal="right" vertical="center" wrapText="1"/>
    </xf>
    <xf numFmtId="4" fontId="40" fillId="0" borderId="14" xfId="0" applyNumberFormat="1" applyFont="1" applyBorder="1" applyAlignment="1">
      <alignment horizontal="right" vertical="center"/>
    </xf>
    <xf numFmtId="4" fontId="40" fillId="0" borderId="12" xfId="0" applyNumberFormat="1" applyFont="1" applyBorder="1" applyAlignment="1">
      <alignment horizontal="right" vertical="center"/>
    </xf>
    <xf numFmtId="0" fontId="40" fillId="0" borderId="42" xfId="0" applyFont="1" applyBorder="1" applyAlignment="1">
      <alignment horizontal="right" vertical="center" wrapText="1"/>
    </xf>
    <xf numFmtId="0" fontId="40" fillId="0" borderId="42" xfId="0" applyFont="1" applyBorder="1" applyAlignment="1">
      <alignment vertical="center"/>
    </xf>
    <xf numFmtId="4" fontId="39" fillId="0" borderId="20" xfId="0" applyNumberFormat="1" applyFont="1" applyBorder="1" applyAlignment="1">
      <alignment horizontal="right" vertical="center"/>
    </xf>
    <xf numFmtId="0" fontId="49" fillId="0" borderId="0" xfId="0" applyFont="1" applyBorder="1" applyAlignment="1">
      <alignment vertical="center"/>
    </xf>
    <xf numFmtId="0" fontId="40" fillId="0" borderId="41" xfId="0" applyFont="1" applyBorder="1" applyAlignment="1">
      <alignment vertical="center"/>
    </xf>
    <xf numFmtId="0" fontId="40" fillId="0" borderId="65" xfId="0" applyFont="1" applyBorder="1" applyAlignment="1">
      <alignment vertical="center"/>
    </xf>
    <xf numFmtId="0" fontId="39" fillId="0" borderId="66" xfId="0" applyFont="1" applyFill="1" applyBorder="1" applyAlignment="1" applyProtection="1">
      <alignment horizontal="center" vertical="center"/>
      <protection locked="0"/>
    </xf>
    <xf numFmtId="4" fontId="40" fillId="0" borderId="17" xfId="0" applyNumberFormat="1" applyFont="1" applyBorder="1" applyAlignment="1" applyProtection="1">
      <alignment horizontal="right" vertical="center"/>
      <protection locked="0"/>
    </xf>
    <xf numFmtId="2" fontId="44" fillId="8" borderId="12" xfId="56" applyNumberFormat="1" applyFont="1" applyFill="1" applyBorder="1" applyAlignment="1">
      <alignment horizontal="center" vertical="center" wrapText="1"/>
      <protection/>
    </xf>
    <xf numFmtId="0" fontId="39" fillId="0" borderId="56" xfId="0" applyFont="1" applyFill="1" applyBorder="1" applyAlignment="1" applyProtection="1">
      <alignment horizontal="center" vertical="center"/>
      <protection locked="0"/>
    </xf>
    <xf numFmtId="0" fontId="39" fillId="0" borderId="58" xfId="0" applyFont="1" applyFill="1" applyBorder="1" applyAlignment="1" applyProtection="1">
      <alignment horizontal="center" vertical="center"/>
      <protection locked="0"/>
    </xf>
    <xf numFmtId="0" fontId="40" fillId="0" borderId="56" xfId="0" applyFont="1" applyBorder="1" applyAlignment="1" applyProtection="1">
      <alignment horizontal="left" vertical="center"/>
      <protection locked="0"/>
    </xf>
    <xf numFmtId="4" fontId="40" fillId="0" borderId="66" xfId="0" applyNumberFormat="1" applyFont="1" applyBorder="1" applyAlignment="1" applyProtection="1">
      <alignment horizontal="left" vertical="center"/>
      <protection locked="0"/>
    </xf>
    <xf numFmtId="4" fontId="40" fillId="0" borderId="12" xfId="0" applyNumberFormat="1" applyFont="1" applyBorder="1" applyAlignment="1" applyProtection="1">
      <alignment horizontal="right" vertical="center"/>
      <protection locked="0"/>
    </xf>
    <xf numFmtId="4" fontId="40" fillId="0" borderId="18" xfId="0" applyNumberFormat="1" applyFont="1" applyBorder="1" applyAlignment="1" applyProtection="1">
      <alignment horizontal="right" vertical="center"/>
      <protection locked="0"/>
    </xf>
    <xf numFmtId="4" fontId="40" fillId="0" borderId="17" xfId="0" applyNumberFormat="1" applyFont="1" applyBorder="1" applyAlignment="1" applyProtection="1">
      <alignment horizontal="left" vertical="center"/>
      <protection locked="0"/>
    </xf>
    <xf numFmtId="0" fontId="39" fillId="0" borderId="57" xfId="0" applyFont="1" applyBorder="1" applyAlignment="1">
      <alignment horizontal="center" vertical="center"/>
    </xf>
    <xf numFmtId="4" fontId="39" fillId="0" borderId="19" xfId="0" applyNumberFormat="1" applyFont="1" applyBorder="1" applyAlignment="1" applyProtection="1">
      <alignment horizontal="right" vertical="center"/>
      <protection/>
    </xf>
    <xf numFmtId="3" fontId="39" fillId="8" borderId="23" xfId="0" applyNumberFormat="1" applyFont="1" applyFill="1" applyBorder="1" applyAlignment="1">
      <alignment vertical="center"/>
    </xf>
    <xf numFmtId="173" fontId="39" fillId="8" borderId="25" xfId="0" applyNumberFormat="1" applyFont="1" applyFill="1" applyBorder="1" applyAlignment="1">
      <alignment vertical="center"/>
    </xf>
    <xf numFmtId="4" fontId="40" fillId="26" borderId="67" xfId="62" applyNumberFormat="1" applyFont="1" applyFill="1" applyBorder="1" applyAlignment="1" applyProtection="1">
      <alignment horizontal="center" vertical="center"/>
      <protection locked="0"/>
    </xf>
    <xf numFmtId="173" fontId="40" fillId="0" borderId="19" xfId="50" applyNumberFormat="1" applyFont="1" applyBorder="1" applyAlignment="1" applyProtection="1">
      <alignment horizontal="right" vertical="center"/>
      <protection locked="0"/>
    </xf>
    <xf numFmtId="173" fontId="40" fillId="0" borderId="14" xfId="62" applyNumberFormat="1" applyFont="1" applyBorder="1" applyAlignment="1" applyProtection="1">
      <alignment horizontal="right" vertical="center"/>
      <protection locked="0"/>
    </xf>
    <xf numFmtId="173" fontId="40" fillId="0" borderId="12" xfId="62" applyNumberFormat="1" applyFont="1" applyBorder="1" applyAlignment="1" applyProtection="1">
      <alignment horizontal="right" vertical="center"/>
      <protection locked="0"/>
    </xf>
    <xf numFmtId="173" fontId="40" fillId="0" borderId="25" xfId="62" applyNumberFormat="1" applyFont="1" applyBorder="1" applyAlignment="1" applyProtection="1">
      <alignment horizontal="right" vertical="center"/>
      <protection locked="0"/>
    </xf>
    <xf numFmtId="3" fontId="40" fillId="0" borderId="0" xfId="64" applyNumberFormat="1" applyFont="1">
      <alignment/>
      <protection/>
    </xf>
    <xf numFmtId="3" fontId="40" fillId="0" borderId="0" xfId="64" applyNumberFormat="1" applyFont="1" applyBorder="1">
      <alignment/>
      <protection/>
    </xf>
    <xf numFmtId="4" fontId="40" fillId="0" borderId="0" xfId="64" applyNumberFormat="1" applyFont="1">
      <alignment/>
      <protection/>
    </xf>
    <xf numFmtId="1" fontId="44" fillId="8" borderId="68" xfId="58" applyNumberFormat="1" applyFont="1" applyFill="1" applyBorder="1" applyAlignment="1">
      <alignment horizontal="center" vertical="center"/>
      <protection/>
    </xf>
    <xf numFmtId="3" fontId="40" fillId="0" borderId="0" xfId="64" applyNumberFormat="1" applyFont="1" applyAlignment="1">
      <alignment horizontal="centerContinuous"/>
      <protection/>
    </xf>
    <xf numFmtId="4" fontId="40" fillId="0" borderId="0" xfId="64" applyNumberFormat="1" applyFont="1" applyAlignment="1">
      <alignment horizontal="centerContinuous"/>
      <protection/>
    </xf>
    <xf numFmtId="3" fontId="44" fillId="8" borderId="69" xfId="58" applyNumberFormat="1" applyFont="1" applyFill="1" applyBorder="1" applyAlignment="1">
      <alignment horizontal="center" vertical="center" wrapText="1"/>
      <protection/>
    </xf>
    <xf numFmtId="3" fontId="39" fillId="0" borderId="63" xfId="64" applyNumberFormat="1" applyFont="1" applyBorder="1" applyAlignment="1">
      <alignment vertical="center"/>
      <protection/>
    </xf>
    <xf numFmtId="3" fontId="40" fillId="0" borderId="48" xfId="64" applyNumberFormat="1" applyFont="1" applyBorder="1" applyAlignment="1">
      <alignment vertical="center"/>
      <protection/>
    </xf>
    <xf numFmtId="1" fontId="39" fillId="0" borderId="60" xfId="0" applyNumberFormat="1" applyFont="1" applyBorder="1" applyAlignment="1">
      <alignment horizontal="center" vertical="center" wrapText="1"/>
    </xf>
    <xf numFmtId="3" fontId="39" fillId="0" borderId="25" xfId="0" applyNumberFormat="1" applyFont="1" applyBorder="1" applyAlignment="1">
      <alignment horizontal="center" vertical="center" wrapText="1"/>
    </xf>
    <xf numFmtId="3" fontId="39" fillId="0" borderId="50" xfId="64" applyNumberFormat="1" applyFont="1" applyFill="1" applyBorder="1" applyAlignment="1">
      <alignment horizontal="left" vertical="center" wrapText="1"/>
      <protection/>
    </xf>
    <xf numFmtId="3" fontId="40" fillId="0" borderId="51" xfId="64" applyNumberFormat="1" applyFont="1" applyFill="1" applyBorder="1" applyAlignment="1">
      <alignment vertical="center"/>
      <protection/>
    </xf>
    <xf numFmtId="43" fontId="39" fillId="0" borderId="51" xfId="64" applyNumberFormat="1" applyFont="1" applyFill="1" applyBorder="1" applyAlignment="1">
      <alignment vertical="center"/>
      <protection/>
    </xf>
    <xf numFmtId="43" fontId="39" fillId="0" borderId="47" xfId="64" applyNumberFormat="1" applyFont="1" applyFill="1" applyBorder="1" applyAlignment="1">
      <alignment vertical="center"/>
      <protection/>
    </xf>
    <xf numFmtId="3" fontId="39" fillId="0" borderId="70" xfId="64" applyNumberFormat="1" applyFont="1" applyBorder="1" applyAlignment="1">
      <alignment horizontal="left" vertical="center" wrapText="1"/>
      <protection/>
    </xf>
    <xf numFmtId="3" fontId="40" fillId="0" borderId="71" xfId="64" applyNumberFormat="1" applyFont="1" applyBorder="1" applyAlignment="1">
      <alignment vertical="center"/>
      <protection/>
    </xf>
    <xf numFmtId="3" fontId="39" fillId="0" borderId="56" xfId="64" applyNumberFormat="1" applyFont="1" applyBorder="1" applyAlignment="1">
      <alignment horizontal="left" vertical="center" wrapText="1"/>
      <protection/>
    </xf>
    <xf numFmtId="3" fontId="40" fillId="0" borderId="17" xfId="64" applyNumberFormat="1" applyFont="1" applyBorder="1" applyAlignment="1">
      <alignment vertical="center"/>
      <protection/>
    </xf>
    <xf numFmtId="3" fontId="40" fillId="0" borderId="10" xfId="67" applyNumberFormat="1" applyFont="1" applyBorder="1" applyAlignment="1">
      <alignment vertical="center"/>
      <protection/>
    </xf>
    <xf numFmtId="0" fontId="40" fillId="0" borderId="10" xfId="67" applyNumberFormat="1" applyFont="1" applyBorder="1" applyAlignment="1">
      <alignment horizontal="left" vertical="center" wrapText="1"/>
      <protection/>
    </xf>
    <xf numFmtId="3" fontId="40" fillId="0" borderId="0" xfId="64" applyNumberFormat="1" applyFont="1" applyFill="1">
      <alignment/>
      <protection/>
    </xf>
    <xf numFmtId="3" fontId="40" fillId="0" borderId="72" xfId="64" applyNumberFormat="1" applyFont="1" applyBorder="1" applyAlignment="1">
      <alignment vertical="center"/>
      <protection/>
    </xf>
    <xf numFmtId="3" fontId="40" fillId="0" borderId="73" xfId="67" applyNumberFormat="1" applyFont="1" applyBorder="1" applyAlignment="1">
      <alignment vertical="center"/>
      <protection/>
    </xf>
    <xf numFmtId="3" fontId="40" fillId="0" borderId="66" xfId="67" applyNumberFormat="1" applyFont="1" applyBorder="1" applyAlignment="1">
      <alignment vertical="center"/>
      <protection/>
    </xf>
    <xf numFmtId="3" fontId="39" fillId="16" borderId="57" xfId="64" applyNumberFormat="1" applyFont="1" applyFill="1" applyBorder="1" applyAlignment="1">
      <alignment horizontal="left" vertical="center" wrapText="1"/>
      <protection/>
    </xf>
    <xf numFmtId="3" fontId="40" fillId="16" borderId="74" xfId="67" applyNumberFormat="1" applyFont="1" applyFill="1" applyBorder="1" applyAlignment="1">
      <alignment vertical="center"/>
      <protection/>
    </xf>
    <xf numFmtId="3" fontId="39" fillId="0" borderId="64" xfId="64" applyNumberFormat="1" applyFont="1" applyBorder="1" applyAlignment="1">
      <alignment horizontal="left" vertical="center" wrapText="1"/>
      <protection/>
    </xf>
    <xf numFmtId="3" fontId="40" fillId="0" borderId="29" xfId="67" applyNumberFormat="1" applyFont="1" applyBorder="1" applyAlignment="1">
      <alignment vertical="center"/>
      <protection/>
    </xf>
    <xf numFmtId="3" fontId="40" fillId="0" borderId="75" xfId="67" applyNumberFormat="1" applyFont="1" applyBorder="1" applyAlignment="1">
      <alignment vertical="center"/>
      <protection/>
    </xf>
    <xf numFmtId="3" fontId="39" fillId="26" borderId="50" xfId="64" applyNumberFormat="1" applyFont="1" applyFill="1" applyBorder="1" applyAlignment="1">
      <alignment horizontal="left" vertical="center" wrapText="1"/>
      <protection/>
    </xf>
    <xf numFmtId="3" fontId="40" fillId="26" borderId="51" xfId="64" applyNumberFormat="1" applyFont="1" applyFill="1" applyBorder="1" applyAlignment="1">
      <alignment vertical="center"/>
      <protection/>
    </xf>
    <xf numFmtId="3" fontId="39" fillId="16" borderId="76" xfId="64" applyNumberFormat="1" applyFont="1" applyFill="1" applyBorder="1" applyAlignment="1">
      <alignment horizontal="left" vertical="center" wrapText="1"/>
      <protection/>
    </xf>
    <xf numFmtId="3" fontId="40" fillId="16" borderId="77" xfId="64" applyNumberFormat="1" applyFont="1" applyFill="1" applyBorder="1" applyAlignment="1">
      <alignment vertical="center"/>
      <protection/>
    </xf>
    <xf numFmtId="3" fontId="40" fillId="0" borderId="70" xfId="67" applyNumberFormat="1" applyFont="1" applyBorder="1" applyAlignment="1">
      <alignment vertical="center"/>
      <protection/>
    </xf>
    <xf numFmtId="3" fontId="40" fillId="0" borderId="71" xfId="67" applyNumberFormat="1" applyFont="1" applyBorder="1" applyAlignment="1">
      <alignment vertical="center"/>
      <protection/>
    </xf>
    <xf numFmtId="3" fontId="40" fillId="0" borderId="57" xfId="67" applyNumberFormat="1" applyFont="1" applyBorder="1" applyAlignment="1">
      <alignment vertical="center"/>
      <protection/>
    </xf>
    <xf numFmtId="3" fontId="40" fillId="0" borderId="19" xfId="67" applyNumberFormat="1" applyFont="1" applyBorder="1" applyAlignment="1">
      <alignment vertical="center"/>
      <protection/>
    </xf>
    <xf numFmtId="173" fontId="40" fillId="0" borderId="0" xfId="64" applyNumberFormat="1" applyFont="1">
      <alignment/>
      <protection/>
    </xf>
    <xf numFmtId="0" fontId="52" fillId="0" borderId="0" xfId="57" applyNumberFormat="1" applyFont="1" applyFill="1" applyBorder="1" applyAlignment="1">
      <alignment horizontal="center" vertical="center"/>
      <protection/>
    </xf>
    <xf numFmtId="0" fontId="38" fillId="0" borderId="0" xfId="57" applyNumberFormat="1" applyFont="1" applyFill="1" applyBorder="1" applyAlignment="1">
      <alignment horizontal="center" vertical="center"/>
      <protection/>
    </xf>
    <xf numFmtId="3" fontId="37" fillId="0" borderId="0" xfId="66" applyNumberFormat="1" applyFont="1" applyBorder="1">
      <alignment/>
      <protection/>
    </xf>
    <xf numFmtId="3" fontId="40" fillId="0" borderId="0" xfId="66" applyNumberFormat="1" applyFont="1" applyBorder="1">
      <alignment/>
      <protection/>
    </xf>
    <xf numFmtId="2" fontId="52" fillId="0" borderId="0" xfId="57" applyNumberFormat="1" applyFont="1" applyFill="1" applyBorder="1" applyAlignment="1">
      <alignment horizontal="center" vertical="center"/>
      <protection/>
    </xf>
    <xf numFmtId="2" fontId="38" fillId="0" borderId="0" xfId="57" applyNumberFormat="1" applyFont="1" applyFill="1" applyBorder="1" applyAlignment="1">
      <alignment horizontal="center" vertical="center"/>
      <protection/>
    </xf>
    <xf numFmtId="2" fontId="53" fillId="0" borderId="0" xfId="57" applyNumberFormat="1" applyFont="1" applyFill="1" applyBorder="1" applyAlignment="1">
      <alignment horizontal="center" vertical="center"/>
      <protection/>
    </xf>
    <xf numFmtId="2" fontId="54" fillId="0" borderId="0" xfId="57" applyNumberFormat="1" applyFont="1" applyFill="1" applyBorder="1" applyAlignment="1">
      <alignment horizontal="center" vertical="center"/>
      <protection/>
    </xf>
    <xf numFmtId="0" fontId="39" fillId="0" borderId="17" xfId="0" applyFont="1" applyFill="1" applyBorder="1" applyAlignment="1">
      <alignment horizontal="center" vertical="center" wrapText="1"/>
    </xf>
    <xf numFmtId="2" fontId="39" fillId="0" borderId="48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Border="1" applyAlignment="1">
      <alignment horizontal="center" vertical="center" wrapText="1"/>
    </xf>
    <xf numFmtId="4" fontId="38" fillId="0" borderId="0" xfId="66" applyNumberFormat="1" applyFont="1" applyBorder="1" applyAlignment="1">
      <alignment horizontal="center" vertical="center" wrapText="1"/>
      <protection/>
    </xf>
    <xf numFmtId="4" fontId="41" fillId="0" borderId="0" xfId="66" applyNumberFormat="1" applyFont="1" applyBorder="1" applyAlignment="1">
      <alignment horizontal="right" vertical="center"/>
      <protection/>
    </xf>
    <xf numFmtId="3" fontId="40" fillId="0" borderId="0" xfId="66" applyNumberFormat="1" applyFont="1" applyBorder="1" applyAlignment="1">
      <alignment vertical="center"/>
      <protection/>
    </xf>
    <xf numFmtId="174" fontId="41" fillId="0" borderId="0" xfId="48" applyNumberFormat="1" applyFont="1" applyBorder="1" applyAlignment="1" applyProtection="1">
      <alignment horizontal="right" vertical="center"/>
      <protection locked="0"/>
    </xf>
    <xf numFmtId="174" fontId="38" fillId="0" borderId="0" xfId="48" applyNumberFormat="1" applyFont="1" applyBorder="1" applyAlignment="1" applyProtection="1">
      <alignment horizontal="right" vertical="center"/>
      <protection locked="0"/>
    </xf>
    <xf numFmtId="4" fontId="38" fillId="0" borderId="0" xfId="66" applyNumberFormat="1" applyFont="1" applyBorder="1" applyAlignment="1">
      <alignment vertical="center"/>
      <protection/>
    </xf>
    <xf numFmtId="174" fontId="51" fillId="0" borderId="0" xfId="48" applyNumberFormat="1" applyFont="1" applyBorder="1" applyAlignment="1" applyProtection="1">
      <alignment horizontal="right" vertical="center"/>
      <protection locked="0"/>
    </xf>
    <xf numFmtId="174" fontId="37" fillId="0" borderId="0" xfId="48" applyNumberFormat="1" applyFont="1" applyBorder="1" applyAlignment="1" applyProtection="1">
      <alignment horizontal="right" vertical="center"/>
      <protection locked="0"/>
    </xf>
    <xf numFmtId="3" fontId="37" fillId="0" borderId="0" xfId="66" applyNumberFormat="1" applyFont="1" applyBorder="1" applyAlignment="1">
      <alignment vertical="center"/>
      <protection/>
    </xf>
    <xf numFmtId="174" fontId="51" fillId="0" borderId="0" xfId="48" applyNumberFormat="1" applyFont="1" applyFill="1" applyBorder="1" applyAlignment="1" applyProtection="1">
      <alignment horizontal="right" vertical="center"/>
      <protection locked="0"/>
    </xf>
    <xf numFmtId="174" fontId="41" fillId="0" borderId="0" xfId="48" applyNumberFormat="1" applyFont="1" applyFill="1" applyBorder="1" applyAlignment="1" applyProtection="1">
      <alignment horizontal="right" vertical="center"/>
      <protection locked="0"/>
    </xf>
    <xf numFmtId="174" fontId="38" fillId="0" borderId="0" xfId="48" applyNumberFormat="1" applyFont="1" applyFill="1" applyBorder="1" applyAlignment="1" applyProtection="1">
      <alignment horizontal="right" vertical="center"/>
      <protection locked="0"/>
    </xf>
    <xf numFmtId="174" fontId="37" fillId="0" borderId="0" xfId="48" applyNumberFormat="1" applyFont="1" applyFill="1" applyBorder="1" applyAlignment="1" applyProtection="1">
      <alignment horizontal="right" vertical="center"/>
      <protection locked="0"/>
    </xf>
    <xf numFmtId="3" fontId="37" fillId="0" borderId="0" xfId="66" applyNumberFormat="1" applyFont="1" applyFill="1" applyBorder="1" applyAlignment="1">
      <alignment vertical="center"/>
      <protection/>
    </xf>
    <xf numFmtId="174" fontId="41" fillId="0" borderId="0" xfId="48" applyNumberFormat="1" applyFont="1" applyBorder="1" applyAlignment="1">
      <alignment horizontal="right" vertical="center"/>
    </xf>
    <xf numFmtId="174" fontId="38" fillId="0" borderId="0" xfId="48" applyNumberFormat="1" applyFont="1" applyBorder="1" applyAlignment="1">
      <alignment horizontal="right" vertical="center"/>
    </xf>
    <xf numFmtId="174" fontId="51" fillId="0" borderId="0" xfId="48" applyNumberFormat="1" applyFont="1" applyFill="1" applyBorder="1" applyAlignment="1">
      <alignment horizontal="right" vertical="center"/>
    </xf>
    <xf numFmtId="174" fontId="37" fillId="0" borderId="0" xfId="48" applyNumberFormat="1" applyFont="1" applyFill="1" applyBorder="1" applyAlignment="1">
      <alignment horizontal="right" vertical="center"/>
    </xf>
    <xf numFmtId="174" fontId="41" fillId="0" borderId="0" xfId="48" applyNumberFormat="1" applyFont="1" applyFill="1" applyBorder="1" applyAlignment="1">
      <alignment horizontal="right" vertical="center"/>
    </xf>
    <xf numFmtId="174" fontId="38" fillId="0" borderId="0" xfId="48" applyNumberFormat="1" applyFont="1" applyFill="1" applyBorder="1" applyAlignment="1">
      <alignment horizontal="right" vertical="center"/>
    </xf>
    <xf numFmtId="174" fontId="41" fillId="0" borderId="0" xfId="48" applyNumberFormat="1" applyFont="1" applyBorder="1" applyAlignment="1" applyProtection="1">
      <alignment vertical="center"/>
      <protection locked="0"/>
    </xf>
    <xf numFmtId="174" fontId="41" fillId="0" borderId="0" xfId="48" applyNumberFormat="1" applyFont="1" applyFill="1" applyBorder="1" applyAlignment="1">
      <alignment vertical="center"/>
    </xf>
    <xf numFmtId="4" fontId="40" fillId="0" borderId="0" xfId="66" applyNumberFormat="1" applyFont="1" applyBorder="1">
      <alignment/>
      <protection/>
    </xf>
    <xf numFmtId="4" fontId="37" fillId="0" borderId="0" xfId="66" applyNumberFormat="1" applyFont="1" applyBorder="1">
      <alignment/>
      <protection/>
    </xf>
    <xf numFmtId="0" fontId="37" fillId="0" borderId="0" xfId="0" applyFont="1" applyAlignment="1">
      <alignment/>
    </xf>
    <xf numFmtId="3" fontId="39" fillId="0" borderId="0" xfId="66" applyNumberFormat="1" applyFont="1" applyBorder="1">
      <alignment/>
      <protection/>
    </xf>
    <xf numFmtId="4" fontId="40" fillId="0" borderId="0" xfId="66" applyNumberFormat="1" applyFont="1" applyBorder="1" applyAlignment="1">
      <alignment horizontal="center"/>
      <protection/>
    </xf>
    <xf numFmtId="4" fontId="37" fillId="0" borderId="0" xfId="66" applyNumberFormat="1" applyFont="1" applyBorder="1" applyAlignment="1">
      <alignment horizontal="center"/>
      <protection/>
    </xf>
    <xf numFmtId="173" fontId="40" fillId="0" borderId="0" xfId="66" applyNumberFormat="1" applyFont="1" applyBorder="1">
      <alignment/>
      <protection/>
    </xf>
    <xf numFmtId="173" fontId="37" fillId="0" borderId="0" xfId="66" applyNumberFormat="1" applyFont="1" applyBorder="1">
      <alignment/>
      <protection/>
    </xf>
    <xf numFmtId="173" fontId="40" fillId="22" borderId="0" xfId="66" applyNumberFormat="1" applyFont="1" applyFill="1" applyBorder="1">
      <alignment/>
      <protection/>
    </xf>
    <xf numFmtId="173" fontId="37" fillId="22" borderId="0" xfId="66" applyNumberFormat="1" applyFont="1" applyFill="1" applyBorder="1">
      <alignment/>
      <protection/>
    </xf>
    <xf numFmtId="3" fontId="40" fillId="0" borderId="0" xfId="66" applyNumberFormat="1" applyFont="1" applyFill="1" applyBorder="1">
      <alignment/>
      <protection/>
    </xf>
    <xf numFmtId="173" fontId="40" fillId="0" borderId="0" xfId="66" applyNumberFormat="1" applyFont="1" applyFill="1" applyBorder="1">
      <alignment/>
      <protection/>
    </xf>
    <xf numFmtId="173" fontId="37" fillId="0" borderId="0" xfId="66" applyNumberFormat="1" applyFont="1" applyFill="1" applyBorder="1">
      <alignment/>
      <protection/>
    </xf>
    <xf numFmtId="3" fontId="37" fillId="0" borderId="0" xfId="66" applyNumberFormat="1" applyFont="1" applyFill="1" applyBorder="1">
      <alignment/>
      <protection/>
    </xf>
    <xf numFmtId="3" fontId="40" fillId="22" borderId="0" xfId="66" applyNumberFormat="1" applyFont="1" applyFill="1" applyBorder="1" applyAlignment="1">
      <alignment horizontal="right"/>
      <protection/>
    </xf>
    <xf numFmtId="4" fontId="40" fillId="22" borderId="0" xfId="66" applyNumberFormat="1" applyFont="1" applyFill="1" applyBorder="1">
      <alignment/>
      <protection/>
    </xf>
    <xf numFmtId="4" fontId="37" fillId="22" borderId="0" xfId="66" applyNumberFormat="1" applyFont="1" applyFill="1" applyBorder="1">
      <alignment/>
      <protection/>
    </xf>
    <xf numFmtId="0" fontId="40" fillId="0" borderId="0" xfId="57" applyFont="1" applyAlignment="1">
      <alignment vertical="center"/>
      <protection/>
    </xf>
    <xf numFmtId="167" fontId="53" fillId="0" borderId="0" xfId="57" applyNumberFormat="1" applyFont="1" applyFill="1" applyBorder="1" applyAlignment="1">
      <alignment horizontal="center" vertical="center" wrapText="1"/>
      <protection/>
    </xf>
    <xf numFmtId="0" fontId="39" fillId="0" borderId="17" xfId="57" applyFont="1" applyFill="1" applyBorder="1" applyAlignment="1">
      <alignment horizontal="center" vertical="center"/>
      <protection/>
    </xf>
    <xf numFmtId="0" fontId="39" fillId="0" borderId="17" xfId="57" applyFont="1" applyFill="1" applyBorder="1" applyAlignment="1">
      <alignment horizontal="center" vertical="center" wrapText="1"/>
      <protection/>
    </xf>
    <xf numFmtId="0" fontId="39" fillId="0" borderId="0" xfId="57" applyFont="1" applyFill="1" applyBorder="1" applyAlignment="1">
      <alignment horizontal="center" vertical="center" wrapText="1"/>
      <protection/>
    </xf>
    <xf numFmtId="0" fontId="39" fillId="0" borderId="17" xfId="57" applyFont="1" applyFill="1" applyBorder="1" applyAlignment="1">
      <alignment vertical="center"/>
      <protection/>
    </xf>
    <xf numFmtId="4" fontId="39" fillId="0" borderId="0" xfId="57" applyNumberFormat="1" applyFont="1" applyFill="1" applyBorder="1" applyAlignment="1">
      <alignment horizontal="right" vertical="center"/>
      <protection/>
    </xf>
    <xf numFmtId="4" fontId="40" fillId="0" borderId="0" xfId="57" applyNumberFormat="1" applyFont="1" applyFill="1" applyBorder="1" applyAlignment="1">
      <alignment horizontal="right" vertical="center"/>
      <protection/>
    </xf>
    <xf numFmtId="0" fontId="40" fillId="0" borderId="17" xfId="57" applyFont="1" applyFill="1" applyBorder="1" applyAlignment="1">
      <alignment vertical="center"/>
      <protection/>
    </xf>
    <xf numFmtId="4" fontId="40" fillId="0" borderId="0" xfId="57" applyNumberFormat="1" applyFont="1" applyAlignment="1">
      <alignment vertical="center"/>
      <protection/>
    </xf>
    <xf numFmtId="0" fontId="40" fillId="0" borderId="0" xfId="57" applyFont="1" applyFill="1" applyAlignment="1">
      <alignment vertical="center"/>
      <protection/>
    </xf>
    <xf numFmtId="0" fontId="41" fillId="0" borderId="0" xfId="57" applyFont="1" applyFill="1" applyBorder="1" applyAlignment="1">
      <alignment horizontal="left" vertical="center"/>
      <protection/>
    </xf>
    <xf numFmtId="4" fontId="39" fillId="0" borderId="0" xfId="57" applyNumberFormat="1" applyFont="1" applyBorder="1" applyAlignment="1">
      <alignment horizontal="right" vertical="center"/>
      <protection/>
    </xf>
    <xf numFmtId="0" fontId="42" fillId="0" borderId="0" xfId="57" applyFont="1" applyAlignment="1" quotePrefix="1">
      <alignment vertical="center"/>
      <protection/>
    </xf>
    <xf numFmtId="2" fontId="40" fillId="0" borderId="0" xfId="57" applyNumberFormat="1" applyFont="1" applyAlignment="1">
      <alignment vertical="center"/>
      <protection/>
    </xf>
    <xf numFmtId="2" fontId="40" fillId="0" borderId="0" xfId="57" applyNumberFormat="1" applyFont="1" applyFill="1" applyAlignment="1">
      <alignment vertical="center"/>
      <protection/>
    </xf>
    <xf numFmtId="4" fontId="40" fillId="0" borderId="17" xfId="57" applyNumberFormat="1" applyFont="1" applyFill="1" applyBorder="1" applyAlignment="1">
      <alignment vertical="center"/>
      <protection/>
    </xf>
    <xf numFmtId="4" fontId="40" fillId="0" borderId="0" xfId="57" applyNumberFormat="1" applyFont="1" applyFill="1" applyBorder="1" applyAlignment="1">
      <alignment vertical="center"/>
      <protection/>
    </xf>
    <xf numFmtId="0" fontId="40" fillId="0" borderId="0" xfId="57" applyFont="1" applyFill="1" applyBorder="1" applyAlignment="1">
      <alignment vertical="center"/>
      <protection/>
    </xf>
    <xf numFmtId="4" fontId="40" fillId="27" borderId="0" xfId="57" applyNumberFormat="1" applyFont="1" applyFill="1" applyBorder="1" applyAlignment="1">
      <alignment vertical="center"/>
      <protection/>
    </xf>
    <xf numFmtId="173" fontId="40" fillId="0" borderId="66" xfId="56" applyNumberFormat="1" applyFont="1" applyFill="1" applyBorder="1" applyAlignment="1">
      <alignment vertical="center"/>
      <protection/>
    </xf>
    <xf numFmtId="0" fontId="40" fillId="0" borderId="66" xfId="56" applyFont="1" applyBorder="1" applyAlignment="1">
      <alignment vertical="center"/>
      <protection/>
    </xf>
    <xf numFmtId="4" fontId="40" fillId="11" borderId="17" xfId="57" applyNumberFormat="1" applyFont="1" applyFill="1" applyBorder="1" applyAlignment="1">
      <alignment vertical="center"/>
      <protection/>
    </xf>
    <xf numFmtId="0" fontId="39" fillId="0" borderId="0" xfId="57" applyFont="1" applyFill="1" applyBorder="1" applyAlignment="1">
      <alignment vertical="center"/>
      <protection/>
    </xf>
    <xf numFmtId="4" fontId="39" fillId="0" borderId="0" xfId="57" applyNumberFormat="1" applyFont="1" applyFill="1" applyBorder="1" applyAlignment="1">
      <alignment vertical="center"/>
      <protection/>
    </xf>
    <xf numFmtId="2" fontId="40" fillId="0" borderId="0" xfId="57" applyNumberFormat="1" applyFont="1" applyFill="1" applyBorder="1" applyAlignment="1">
      <alignment vertical="center"/>
      <protection/>
    </xf>
    <xf numFmtId="0" fontId="40" fillId="0" borderId="0" xfId="57" applyFont="1">
      <alignment/>
      <protection/>
    </xf>
    <xf numFmtId="2" fontId="40" fillId="0" borderId="0" xfId="57" applyNumberFormat="1" applyFont="1">
      <alignment/>
      <protection/>
    </xf>
    <xf numFmtId="2" fontId="40" fillId="0" borderId="0" xfId="57" applyNumberFormat="1" applyFont="1" applyFill="1">
      <alignment/>
      <protection/>
    </xf>
    <xf numFmtId="0" fontId="40" fillId="0" borderId="0" xfId="57" applyFont="1" applyFill="1">
      <alignment/>
      <protection/>
    </xf>
    <xf numFmtId="0" fontId="52" fillId="0" borderId="0" xfId="57" applyFont="1" applyFill="1" applyBorder="1" applyAlignment="1">
      <alignment horizontal="center" vertical="center" wrapText="1"/>
      <protection/>
    </xf>
    <xf numFmtId="2" fontId="39" fillId="0" borderId="17" xfId="0" applyNumberFormat="1" applyFont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4" fontId="40" fillId="0" borderId="0" xfId="66" applyNumberFormat="1" applyFont="1" applyFill="1" applyBorder="1" applyAlignment="1">
      <alignment horizontal="right" vertical="center"/>
      <protection/>
    </xf>
    <xf numFmtId="4" fontId="40" fillId="0" borderId="0" xfId="57" applyNumberFormat="1" applyFont="1" applyFill="1" applyAlignment="1">
      <alignment vertical="center"/>
      <protection/>
    </xf>
    <xf numFmtId="173" fontId="40" fillId="0" borderId="27" xfId="0" applyNumberFormat="1" applyFont="1" applyFill="1" applyBorder="1" applyAlignment="1" applyProtection="1">
      <alignment vertical="center"/>
      <protection/>
    </xf>
    <xf numFmtId="173" fontId="40" fillId="0" borderId="22" xfId="49" applyNumberFormat="1" applyFont="1" applyBorder="1" applyAlignment="1" applyProtection="1">
      <alignment vertical="center"/>
      <protection/>
    </xf>
    <xf numFmtId="173" fontId="40" fillId="0" borderId="22" xfId="49" applyNumberFormat="1" applyFont="1" applyBorder="1" applyAlignment="1">
      <alignment vertical="center"/>
    </xf>
    <xf numFmtId="173" fontId="39" fillId="24" borderId="22" xfId="49" applyNumberFormat="1" applyFont="1" applyFill="1" applyBorder="1" applyAlignment="1" applyProtection="1">
      <alignment vertical="center"/>
      <protection/>
    </xf>
    <xf numFmtId="173" fontId="40" fillId="0" borderId="78" xfId="49" applyNumberFormat="1" applyFont="1" applyBorder="1" applyAlignment="1">
      <alignment vertical="center"/>
    </xf>
    <xf numFmtId="173" fontId="39" fillId="24" borderId="65" xfId="0" applyNumberFormat="1" applyFont="1" applyFill="1" applyBorder="1" applyAlignment="1" applyProtection="1">
      <alignment vertical="center"/>
      <protection/>
    </xf>
    <xf numFmtId="3" fontId="39" fillId="24" borderId="53" xfId="0" applyNumberFormat="1" applyFont="1" applyFill="1" applyBorder="1" applyAlignment="1">
      <alignment vertical="center"/>
    </xf>
    <xf numFmtId="173" fontId="39" fillId="8" borderId="79" xfId="0" applyNumberFormat="1" applyFont="1" applyFill="1" applyBorder="1" applyAlignment="1">
      <alignment vertical="center"/>
    </xf>
    <xf numFmtId="173" fontId="39" fillId="8" borderId="22" xfId="0" applyNumberFormat="1" applyFont="1" applyFill="1" applyBorder="1" applyAlignment="1" applyProtection="1">
      <alignment vertical="center"/>
      <protection/>
    </xf>
    <xf numFmtId="173" fontId="39" fillId="8" borderId="65" xfId="0" applyNumberFormat="1" applyFont="1" applyFill="1" applyBorder="1" applyAlignment="1">
      <alignment vertical="center"/>
    </xf>
    <xf numFmtId="173" fontId="40" fillId="0" borderId="79" xfId="0" applyNumberFormat="1" applyFont="1" applyBorder="1" applyAlignment="1">
      <alignment vertical="center"/>
    </xf>
    <xf numFmtId="173" fontId="39" fillId="0" borderId="65" xfId="0" applyNumberFormat="1" applyFont="1" applyBorder="1" applyAlignment="1">
      <alignment vertical="center"/>
    </xf>
    <xf numFmtId="0" fontId="40" fillId="0" borderId="44" xfId="0" applyFont="1" applyBorder="1" applyAlignment="1">
      <alignment vertical="center"/>
    </xf>
    <xf numFmtId="3" fontId="39" fillId="0" borderId="53" xfId="0" applyNumberFormat="1" applyFont="1" applyFill="1" applyBorder="1" applyAlignment="1">
      <alignment vertical="center"/>
    </xf>
    <xf numFmtId="173" fontId="40" fillId="0" borderId="22" xfId="0" applyNumberFormat="1" applyFont="1" applyBorder="1" applyAlignment="1">
      <alignment vertical="center"/>
    </xf>
    <xf numFmtId="173" fontId="40" fillId="0" borderId="22" xfId="0" applyNumberFormat="1" applyFont="1" applyFill="1" applyBorder="1" applyAlignment="1" applyProtection="1">
      <alignment vertical="center"/>
      <protection/>
    </xf>
    <xf numFmtId="173" fontId="40" fillId="0" borderId="22" xfId="0" applyNumberFormat="1" applyFont="1" applyBorder="1" applyAlignment="1" applyProtection="1">
      <alignment vertical="center"/>
      <protection/>
    </xf>
    <xf numFmtId="173" fontId="39" fillId="24" borderId="22" xfId="0" applyNumberFormat="1" applyFont="1" applyFill="1" applyBorder="1" applyAlignment="1" applyProtection="1">
      <alignment vertical="center"/>
      <protection/>
    </xf>
    <xf numFmtId="173" fontId="40" fillId="0" borderId="78" xfId="0" applyNumberFormat="1" applyFont="1" applyBorder="1" applyAlignment="1">
      <alignment vertical="center"/>
    </xf>
    <xf numFmtId="173" fontId="39" fillId="0" borderId="79" xfId="0" applyNumberFormat="1" applyFont="1" applyFill="1" applyBorder="1" applyAlignment="1" applyProtection="1">
      <alignment vertical="center"/>
      <protection/>
    </xf>
    <xf numFmtId="173" fontId="39" fillId="0" borderId="22" xfId="0" applyNumberFormat="1" applyFont="1" applyFill="1" applyBorder="1" applyAlignment="1">
      <alignment vertical="center"/>
    </xf>
    <xf numFmtId="173" fontId="39" fillId="0" borderId="65" xfId="0" applyNumberFormat="1" applyFont="1" applyFill="1" applyBorder="1" applyAlignment="1">
      <alignment vertical="center"/>
    </xf>
    <xf numFmtId="173" fontId="39" fillId="8" borderId="22" xfId="0" applyNumberFormat="1" applyFont="1" applyFill="1" applyBorder="1" applyAlignment="1">
      <alignment vertical="center"/>
    </xf>
    <xf numFmtId="3" fontId="39" fillId="0" borderId="44" xfId="0" applyNumberFormat="1" applyFont="1" applyFill="1" applyBorder="1" applyAlignment="1" applyProtection="1">
      <alignment vertical="center"/>
      <protection/>
    </xf>
    <xf numFmtId="3" fontId="39" fillId="8" borderId="26" xfId="0" applyNumberFormat="1" applyFont="1" applyFill="1" applyBorder="1" applyAlignment="1">
      <alignment vertical="center"/>
    </xf>
    <xf numFmtId="174" fontId="39" fillId="0" borderId="17" xfId="48" applyNumberFormat="1" applyFont="1" applyFill="1" applyBorder="1" applyAlignment="1" applyProtection="1">
      <alignment horizontal="right" vertical="center"/>
      <protection locked="0"/>
    </xf>
    <xf numFmtId="174" fontId="40" fillId="0" borderId="17" xfId="48" applyNumberFormat="1" applyFont="1" applyFill="1" applyBorder="1" applyAlignment="1" applyProtection="1">
      <alignment horizontal="right" vertical="center"/>
      <protection locked="0"/>
    </xf>
    <xf numFmtId="174" fontId="39" fillId="0" borderId="17" xfId="48" applyNumberFormat="1" applyFont="1" applyFill="1" applyBorder="1" applyAlignment="1" applyProtection="1">
      <alignment vertical="center"/>
      <protection locked="0"/>
    </xf>
    <xf numFmtId="174" fontId="39" fillId="0" borderId="17" xfId="48" applyNumberFormat="1" applyFont="1" applyFill="1" applyBorder="1" applyAlignment="1" applyProtection="1">
      <alignment horizontal="right" vertical="center"/>
      <protection/>
    </xf>
    <xf numFmtId="174" fontId="40" fillId="0" borderId="17" xfId="48" applyNumberFormat="1" applyFont="1" applyFill="1" applyBorder="1" applyAlignment="1" applyProtection="1">
      <alignment horizontal="right" vertical="center"/>
      <protection/>
    </xf>
    <xf numFmtId="174" fontId="39" fillId="0" borderId="17" xfId="48" applyNumberFormat="1" applyFont="1" applyFill="1" applyBorder="1" applyAlignment="1" applyProtection="1">
      <alignment vertical="center"/>
      <protection/>
    </xf>
    <xf numFmtId="4" fontId="39" fillId="0" borderId="17" xfId="57" applyNumberFormat="1" applyFont="1" applyFill="1" applyBorder="1" applyAlignment="1" applyProtection="1">
      <alignment horizontal="right" vertical="center"/>
      <protection/>
    </xf>
    <xf numFmtId="0" fontId="40" fillId="0" borderId="12" xfId="53" applyFont="1" applyBorder="1" applyAlignment="1" applyProtection="1">
      <alignment vertical="center"/>
      <protection locked="0"/>
    </xf>
    <xf numFmtId="4" fontId="40" fillId="0" borderId="17" xfId="57" applyNumberFormat="1" applyFont="1" applyBorder="1" applyAlignment="1" applyProtection="1">
      <alignment vertical="center"/>
      <protection locked="0"/>
    </xf>
    <xf numFmtId="4" fontId="40" fillId="0" borderId="17" xfId="57" applyNumberFormat="1" applyFont="1" applyFill="1" applyBorder="1" applyAlignment="1" applyProtection="1">
      <alignment vertical="center"/>
      <protection locked="0"/>
    </xf>
    <xf numFmtId="4" fontId="40" fillId="0" borderId="17" xfId="66" applyNumberFormat="1" applyFont="1" applyBorder="1" applyAlignment="1" applyProtection="1">
      <alignment horizontal="right" vertical="center"/>
      <protection locked="0"/>
    </xf>
    <xf numFmtId="4" fontId="40" fillId="0" borderId="17" xfId="66" applyNumberFormat="1" applyFont="1" applyFill="1" applyBorder="1" applyAlignment="1" applyProtection="1">
      <alignment horizontal="right" vertical="center"/>
      <protection locked="0"/>
    </xf>
    <xf numFmtId="4" fontId="39" fillId="0" borderId="17" xfId="57" applyNumberFormat="1" applyFont="1" applyFill="1" applyBorder="1" applyAlignment="1" applyProtection="1">
      <alignment vertical="center"/>
      <protection locked="0"/>
    </xf>
    <xf numFmtId="4" fontId="39" fillId="0" borderId="17" xfId="57" applyNumberFormat="1" applyFont="1" applyBorder="1" applyAlignment="1" applyProtection="1">
      <alignment vertical="center"/>
      <protection/>
    </xf>
    <xf numFmtId="4" fontId="40" fillId="0" borderId="17" xfId="57" applyNumberFormat="1" applyFont="1" applyBorder="1" applyAlignment="1" applyProtection="1">
      <alignment vertical="center"/>
      <protection/>
    </xf>
    <xf numFmtId="4" fontId="39" fillId="0" borderId="17" xfId="57" applyNumberFormat="1" applyFont="1" applyFill="1" applyBorder="1" applyAlignment="1" applyProtection="1">
      <alignment vertical="center"/>
      <protection/>
    </xf>
    <xf numFmtId="4" fontId="39" fillId="0" borderId="17" xfId="57" applyNumberFormat="1" applyFont="1" applyFill="1" applyBorder="1" applyAlignment="1" applyProtection="1">
      <alignment horizontal="right" vertical="center"/>
      <protection locked="0"/>
    </xf>
    <xf numFmtId="4" fontId="40" fillId="0" borderId="17" xfId="57" applyNumberFormat="1" applyFont="1" applyFill="1" applyBorder="1" applyAlignment="1" applyProtection="1">
      <alignment horizontal="right" vertical="center"/>
      <protection locked="0"/>
    </xf>
    <xf numFmtId="4" fontId="40" fillId="0" borderId="17" xfId="57" applyNumberFormat="1" applyFont="1" applyFill="1" applyBorder="1" applyAlignment="1" applyProtection="1">
      <alignment horizontal="right" vertical="center"/>
      <protection/>
    </xf>
    <xf numFmtId="43" fontId="39" fillId="0" borderId="71" xfId="0" applyNumberFormat="1" applyFont="1" applyBorder="1" applyAlignment="1" applyProtection="1">
      <alignment horizontal="center" vertical="center" wrapText="1"/>
      <protection locked="0"/>
    </xf>
    <xf numFmtId="43" fontId="39" fillId="0" borderId="13" xfId="0" applyNumberFormat="1" applyFont="1" applyBorder="1" applyAlignment="1" applyProtection="1">
      <alignment horizontal="center" vertical="center" wrapText="1"/>
      <protection locked="0"/>
    </xf>
    <xf numFmtId="43" fontId="39" fillId="0" borderId="17" xfId="0" applyNumberFormat="1" applyFont="1" applyBorder="1" applyAlignment="1" applyProtection="1">
      <alignment horizontal="center" vertical="center" wrapText="1"/>
      <protection locked="0"/>
    </xf>
    <xf numFmtId="43" fontId="39" fillId="0" borderId="12" xfId="0" applyNumberFormat="1" applyFont="1" applyBorder="1" applyAlignment="1" applyProtection="1">
      <alignment horizontal="center" vertical="center" wrapText="1"/>
      <protection locked="0"/>
    </xf>
    <xf numFmtId="43" fontId="39" fillId="26" borderId="51" xfId="64" applyNumberFormat="1" applyFont="1" applyFill="1" applyBorder="1" applyAlignment="1" applyProtection="1">
      <alignment vertical="center"/>
      <protection locked="0"/>
    </xf>
    <xf numFmtId="43" fontId="39" fillId="26" borderId="52" xfId="64" applyNumberFormat="1" applyFont="1" applyFill="1" applyBorder="1" applyAlignment="1" applyProtection="1">
      <alignment vertical="center"/>
      <protection locked="0"/>
    </xf>
    <xf numFmtId="173" fontId="40" fillId="0" borderId="71" xfId="64" applyNumberFormat="1" applyFont="1" applyBorder="1" applyAlignment="1" applyProtection="1">
      <alignment vertical="center" wrapText="1"/>
      <protection locked="0"/>
    </xf>
    <xf numFmtId="173" fontId="40" fillId="0" borderId="13" xfId="64" applyNumberFormat="1" applyFont="1" applyBorder="1" applyAlignment="1" applyProtection="1">
      <alignment vertical="center" wrapText="1"/>
      <protection locked="0"/>
    </xf>
    <xf numFmtId="173" fontId="40" fillId="0" borderId="19" xfId="64" applyNumberFormat="1" applyFont="1" applyBorder="1" applyAlignment="1" applyProtection="1">
      <alignment vertical="center" wrapText="1"/>
      <protection locked="0"/>
    </xf>
    <xf numFmtId="173" fontId="40" fillId="0" borderId="80" xfId="64" applyNumberFormat="1" applyFont="1" applyBorder="1" applyAlignment="1" applyProtection="1">
      <alignment vertical="center" wrapText="1"/>
      <protection locked="0"/>
    </xf>
    <xf numFmtId="43" fontId="39" fillId="0" borderId="17" xfId="0" applyNumberFormat="1" applyFont="1" applyBorder="1" applyAlignment="1" applyProtection="1">
      <alignment horizontal="center" vertical="center" wrapText="1"/>
      <protection/>
    </xf>
    <xf numFmtId="43" fontId="39" fillId="16" borderId="19" xfId="0" applyNumberFormat="1" applyFont="1" applyFill="1" applyBorder="1" applyAlignment="1" applyProtection="1">
      <alignment horizontal="center" vertical="center" wrapText="1"/>
      <protection/>
    </xf>
    <xf numFmtId="43" fontId="39" fillId="16" borderId="20" xfId="0" applyNumberFormat="1" applyFont="1" applyFill="1" applyBorder="1" applyAlignment="1" applyProtection="1">
      <alignment horizontal="center" vertical="center" wrapText="1"/>
      <protection/>
    </xf>
    <xf numFmtId="43" fontId="39" fillId="0" borderId="51" xfId="0" applyNumberFormat="1" applyFont="1" applyFill="1" applyBorder="1" applyAlignment="1" applyProtection="1">
      <alignment horizontal="center" vertical="center" wrapText="1"/>
      <protection/>
    </xf>
    <xf numFmtId="43" fontId="39" fillId="0" borderId="52" xfId="0" applyNumberFormat="1" applyFont="1" applyFill="1" applyBorder="1" applyAlignment="1" applyProtection="1">
      <alignment horizontal="center" vertical="center" wrapText="1"/>
      <protection/>
    </xf>
    <xf numFmtId="43" fontId="39" fillId="0" borderId="71" xfId="0" applyNumberFormat="1" applyFont="1" applyBorder="1" applyAlignment="1" applyProtection="1">
      <alignment horizontal="center" vertical="center" wrapText="1"/>
      <protection/>
    </xf>
    <xf numFmtId="43" fontId="39" fillId="0" borderId="11" xfId="0" applyNumberFormat="1" applyFont="1" applyBorder="1" applyAlignment="1" applyProtection="1">
      <alignment horizontal="center" vertical="center" wrapText="1"/>
      <protection/>
    </xf>
    <xf numFmtId="43" fontId="39" fillId="16" borderId="48" xfId="0" applyNumberFormat="1" applyFont="1" applyFill="1" applyBorder="1" applyAlignment="1" applyProtection="1">
      <alignment horizontal="center" vertical="center" wrapText="1"/>
      <protection/>
    </xf>
    <xf numFmtId="43" fontId="39" fillId="16" borderId="25" xfId="0" applyNumberFormat="1" applyFont="1" applyFill="1" applyBorder="1" applyAlignment="1" applyProtection="1">
      <alignment horizontal="center" vertical="center" wrapText="1"/>
      <protection/>
    </xf>
    <xf numFmtId="43" fontId="39" fillId="16" borderId="77" xfId="0" applyNumberFormat="1" applyFont="1" applyFill="1" applyBorder="1" applyAlignment="1" applyProtection="1">
      <alignment horizontal="center" vertical="center" wrapText="1"/>
      <protection/>
    </xf>
    <xf numFmtId="43" fontId="39" fillId="16" borderId="49" xfId="0" applyNumberFormat="1" applyFont="1" applyFill="1" applyBorder="1" applyAlignment="1" applyProtection="1">
      <alignment horizontal="center" vertical="center" wrapText="1"/>
      <protection/>
    </xf>
    <xf numFmtId="0" fontId="40" fillId="0" borderId="11" xfId="0" applyFont="1" applyBorder="1" applyAlignment="1" applyProtection="1">
      <alignment vertical="center"/>
      <protection locked="0"/>
    </xf>
    <xf numFmtId="173" fontId="40" fillId="0" borderId="11" xfId="50" applyNumberFormat="1" applyFont="1" applyBorder="1" applyAlignment="1" applyProtection="1">
      <alignment vertical="center"/>
      <protection locked="0"/>
    </xf>
    <xf numFmtId="0" fontId="40" fillId="0" borderId="14" xfId="53" applyFont="1" applyBorder="1" applyAlignment="1" applyProtection="1">
      <alignment vertical="center"/>
      <protection locked="0"/>
    </xf>
    <xf numFmtId="173" fontId="40" fillId="0" borderId="17" xfId="50" applyNumberFormat="1" applyFont="1" applyBorder="1" applyAlignment="1" applyProtection="1">
      <alignment vertical="center"/>
      <protection locked="0"/>
    </xf>
    <xf numFmtId="173" fontId="40" fillId="0" borderId="48" xfId="50" applyNumberFormat="1" applyFont="1" applyBorder="1" applyAlignment="1" applyProtection="1">
      <alignment vertical="center"/>
      <protection locked="0"/>
    </xf>
    <xf numFmtId="0" fontId="40" fillId="0" borderId="25" xfId="53" applyFont="1" applyBorder="1" applyAlignment="1" applyProtection="1">
      <alignment vertical="center"/>
      <protection locked="0"/>
    </xf>
    <xf numFmtId="173" fontId="40" fillId="0" borderId="61" xfId="50" applyNumberFormat="1" applyFont="1" applyBorder="1" applyAlignment="1" applyProtection="1">
      <alignment vertical="center"/>
      <protection locked="0"/>
    </xf>
    <xf numFmtId="0" fontId="40" fillId="0" borderId="27" xfId="53" applyFont="1" applyBorder="1" applyAlignment="1" applyProtection="1">
      <alignment vertical="center"/>
      <protection locked="0"/>
    </xf>
    <xf numFmtId="0" fontId="39" fillId="2" borderId="50" xfId="62" applyFont="1" applyFill="1" applyBorder="1" applyAlignment="1" applyProtection="1">
      <alignment horizontal="left" vertical="center" wrapText="1"/>
      <protection/>
    </xf>
    <xf numFmtId="0" fontId="40" fillId="0" borderId="51" xfId="62" applyFont="1" applyBorder="1" applyAlignment="1" applyProtection="1">
      <alignment vertical="center"/>
      <protection/>
    </xf>
    <xf numFmtId="0" fontId="39" fillId="0" borderId="51" xfId="62" applyFont="1" applyBorder="1" applyAlignment="1" applyProtection="1">
      <alignment horizontal="center" vertical="center"/>
      <protection/>
    </xf>
    <xf numFmtId="0" fontId="39" fillId="0" borderId="47" xfId="62" applyFont="1" applyBorder="1" applyAlignment="1" applyProtection="1">
      <alignment horizontal="center" vertical="center"/>
      <protection/>
    </xf>
    <xf numFmtId="0" fontId="39" fillId="0" borderId="81" xfId="62" applyFont="1" applyBorder="1" applyAlignment="1" applyProtection="1">
      <alignment vertical="center"/>
      <protection/>
    </xf>
    <xf numFmtId="0" fontId="40" fillId="0" borderId="67" xfId="62" applyFont="1" applyBorder="1" applyAlignment="1" applyProtection="1">
      <alignment vertical="center"/>
      <protection/>
    </xf>
    <xf numFmtId="4" fontId="40" fillId="28" borderId="82" xfId="62" applyNumberFormat="1" applyFont="1" applyFill="1" applyBorder="1" applyAlignment="1" applyProtection="1">
      <alignment horizontal="center" vertical="center"/>
      <protection/>
    </xf>
    <xf numFmtId="173" fontId="47" fillId="7" borderId="83" xfId="44" applyNumberFormat="1" applyFont="1" applyBorder="1" applyAlignment="1" applyProtection="1">
      <alignment horizontal="right" vertical="center"/>
      <protection/>
    </xf>
    <xf numFmtId="173" fontId="47" fillId="7" borderId="84" xfId="44" applyNumberFormat="1" applyFont="1" applyBorder="1" applyAlignment="1" applyProtection="1">
      <alignment horizontal="right" vertical="center"/>
      <protection/>
    </xf>
    <xf numFmtId="4" fontId="40" fillId="28" borderId="53" xfId="62" applyNumberFormat="1" applyFont="1" applyFill="1" applyBorder="1" applyAlignment="1" applyProtection="1">
      <alignment horizontal="center" vertical="center"/>
      <protection/>
    </xf>
    <xf numFmtId="4" fontId="40" fillId="28" borderId="67" xfId="62" applyNumberFormat="1" applyFont="1" applyFill="1" applyBorder="1" applyAlignment="1" applyProtection="1">
      <alignment horizontal="center" vertical="center"/>
      <protection/>
    </xf>
    <xf numFmtId="4" fontId="40" fillId="28" borderId="38" xfId="62" applyNumberFormat="1" applyFont="1" applyFill="1" applyBorder="1" applyAlignment="1" applyProtection="1">
      <alignment horizontal="center" vertical="center"/>
      <protection/>
    </xf>
    <xf numFmtId="0" fontId="40" fillId="0" borderId="11" xfId="62" applyFont="1" applyBorder="1" applyAlignment="1" applyProtection="1">
      <alignment vertical="center"/>
      <protection/>
    </xf>
    <xf numFmtId="0" fontId="40" fillId="0" borderId="63" xfId="62" applyFont="1" applyBorder="1" applyAlignment="1" applyProtection="1">
      <alignment vertical="center"/>
      <protection/>
    </xf>
    <xf numFmtId="0" fontId="39" fillId="0" borderId="85" xfId="62" applyFont="1" applyBorder="1" applyAlignment="1" applyProtection="1">
      <alignment vertical="center"/>
      <protection/>
    </xf>
    <xf numFmtId="0" fontId="40" fillId="0" borderId="86" xfId="62" applyFont="1" applyBorder="1" applyAlignment="1" applyProtection="1">
      <alignment vertical="center"/>
      <protection/>
    </xf>
    <xf numFmtId="4" fontId="40" fillId="28" borderId="85" xfId="62" applyNumberFormat="1" applyFont="1" applyFill="1" applyBorder="1" applyAlignment="1" applyProtection="1">
      <alignment horizontal="center" vertical="center"/>
      <protection/>
    </xf>
    <xf numFmtId="0" fontId="40" fillId="0" borderId="64" xfId="62" applyFont="1" applyBorder="1" applyAlignment="1" applyProtection="1">
      <alignment horizontal="left" vertical="center" wrapText="1"/>
      <protection/>
    </xf>
    <xf numFmtId="0" fontId="40" fillId="0" borderId="61" xfId="62" applyFont="1" applyBorder="1" applyAlignment="1" applyProtection="1">
      <alignment vertical="center"/>
      <protection/>
    </xf>
    <xf numFmtId="0" fontId="39" fillId="0" borderId="87" xfId="62" applyFont="1" applyBorder="1" applyAlignment="1" applyProtection="1">
      <alignment vertical="center"/>
      <protection/>
    </xf>
    <xf numFmtId="0" fontId="40" fillId="0" borderId="88" xfId="62" applyFont="1" applyBorder="1" applyAlignment="1" applyProtection="1">
      <alignment vertical="center"/>
      <protection/>
    </xf>
    <xf numFmtId="0" fontId="39" fillId="0" borderId="89" xfId="62" applyFont="1" applyFill="1" applyBorder="1" applyAlignment="1" applyProtection="1">
      <alignment horizontal="center" vertical="center"/>
      <protection/>
    </xf>
    <xf numFmtId="4" fontId="40" fillId="28" borderId="51" xfId="62" applyNumberFormat="1" applyFont="1" applyFill="1" applyBorder="1" applyAlignment="1" applyProtection="1">
      <alignment horizontal="center" vertical="center"/>
      <protection/>
    </xf>
    <xf numFmtId="173" fontId="48" fillId="7" borderId="90" xfId="44" applyNumberFormat="1" applyFont="1" applyBorder="1" applyAlignment="1" applyProtection="1">
      <alignment horizontal="center" vertical="center"/>
      <protection/>
    </xf>
    <xf numFmtId="4" fontId="40" fillId="28" borderId="52" xfId="62" applyNumberFormat="1" applyFont="1" applyFill="1" applyBorder="1" applyAlignment="1" applyProtection="1">
      <alignment horizontal="center" vertical="center"/>
      <protection/>
    </xf>
    <xf numFmtId="0" fontId="39" fillId="0" borderId="85" xfId="62" applyFont="1" applyBorder="1" applyAlignment="1" applyProtection="1">
      <alignment horizontal="center" vertical="center"/>
      <protection/>
    </xf>
    <xf numFmtId="4" fontId="40" fillId="29" borderId="51" xfId="62" applyNumberFormat="1" applyFont="1" applyFill="1" applyBorder="1" applyAlignment="1" applyProtection="1">
      <alignment horizontal="center" vertical="center"/>
      <protection/>
    </xf>
    <xf numFmtId="0" fontId="39" fillId="14" borderId="50" xfId="62" applyFont="1" applyFill="1" applyBorder="1" applyAlignment="1" applyProtection="1">
      <alignment horizontal="left" vertical="center" wrapText="1"/>
      <protection/>
    </xf>
    <xf numFmtId="173" fontId="39" fillId="0" borderId="52" xfId="62" applyNumberFormat="1" applyFont="1" applyBorder="1" applyAlignment="1" applyProtection="1">
      <alignment horizontal="right" vertical="center"/>
      <protection/>
    </xf>
    <xf numFmtId="0" fontId="40" fillId="0" borderId="91" xfId="62" applyFont="1" applyBorder="1" applyAlignment="1" applyProtection="1">
      <alignment vertical="center"/>
      <protection locked="0"/>
    </xf>
    <xf numFmtId="0" fontId="40" fillId="0" borderId="11" xfId="62" applyFont="1" applyBorder="1" applyAlignment="1" applyProtection="1">
      <alignment vertical="center"/>
      <protection locked="0"/>
    </xf>
    <xf numFmtId="0" fontId="40" fillId="0" borderId="63" xfId="62" applyFont="1" applyBorder="1" applyAlignment="1" applyProtection="1">
      <alignment vertical="center"/>
      <protection locked="0"/>
    </xf>
    <xf numFmtId="0" fontId="40" fillId="0" borderId="57" xfId="62" applyFont="1" applyBorder="1" applyAlignment="1" applyProtection="1">
      <alignment vertical="center"/>
      <protection locked="0"/>
    </xf>
    <xf numFmtId="0" fontId="40" fillId="0" borderId="67" xfId="62" applyFont="1" applyBorder="1" applyAlignment="1" applyProtection="1">
      <alignment vertical="center"/>
      <protection locked="0"/>
    </xf>
    <xf numFmtId="0" fontId="40" fillId="0" borderId="61" xfId="62" applyFont="1" applyBorder="1" applyAlignment="1" applyProtection="1">
      <alignment vertical="center"/>
      <protection locked="0"/>
    </xf>
    <xf numFmtId="4" fontId="40" fillId="0" borderId="22" xfId="0" applyNumberFormat="1" applyFont="1" applyBorder="1" applyAlignment="1">
      <alignment vertical="center"/>
    </xf>
    <xf numFmtId="4" fontId="39" fillId="0" borderId="19" xfId="0" applyNumberFormat="1" applyFont="1" applyBorder="1" applyAlignment="1">
      <alignment horizontal="right" vertical="center"/>
    </xf>
    <xf numFmtId="0" fontId="40" fillId="0" borderId="76" xfId="62" applyFont="1" applyBorder="1" applyAlignment="1" applyProtection="1">
      <alignment vertical="center"/>
      <protection locked="0"/>
    </xf>
    <xf numFmtId="0" fontId="40" fillId="0" borderId="71" xfId="62" applyFont="1" applyBorder="1" applyAlignment="1" applyProtection="1">
      <alignment vertical="center"/>
      <protection locked="0"/>
    </xf>
    <xf numFmtId="4" fontId="40" fillId="26" borderId="71" xfId="62" applyNumberFormat="1" applyFont="1" applyFill="1" applyBorder="1" applyAlignment="1" applyProtection="1">
      <alignment horizontal="center" vertical="center"/>
      <protection locked="0"/>
    </xf>
    <xf numFmtId="173" fontId="40" fillId="0" borderId="71" xfId="50" applyNumberFormat="1" applyFont="1" applyBorder="1" applyAlignment="1" applyProtection="1">
      <alignment horizontal="right" vertical="center"/>
      <protection locked="0"/>
    </xf>
    <xf numFmtId="173" fontId="40" fillId="0" borderId="71" xfId="50" applyNumberFormat="1" applyFont="1" applyFill="1" applyBorder="1" applyAlignment="1" applyProtection="1">
      <alignment horizontal="right" vertical="center"/>
      <protection locked="0"/>
    </xf>
    <xf numFmtId="0" fontId="40" fillId="0" borderId="17" xfId="62" applyNumberFormat="1" applyFont="1" applyFill="1" applyBorder="1" applyAlignment="1" applyProtection="1">
      <alignment vertical="center"/>
      <protection locked="0"/>
    </xf>
    <xf numFmtId="0" fontId="39" fillId="0" borderId="92" xfId="62" applyFont="1" applyBorder="1" applyAlignment="1" applyProtection="1">
      <alignment horizontal="center" vertical="center"/>
      <protection/>
    </xf>
    <xf numFmtId="4" fontId="40" fillId="29" borderId="67" xfId="62" applyNumberFormat="1" applyFont="1" applyFill="1" applyBorder="1" applyAlignment="1" applyProtection="1">
      <alignment horizontal="center" vertical="center"/>
      <protection/>
    </xf>
    <xf numFmtId="0" fontId="40" fillId="0" borderId="12" xfId="62" applyNumberFormat="1" applyFont="1" applyFill="1" applyBorder="1" applyAlignment="1" applyProtection="1">
      <alignment vertical="center"/>
      <protection locked="0"/>
    </xf>
    <xf numFmtId="0" fontId="40" fillId="0" borderId="19" xfId="62" applyNumberFormat="1" applyFont="1" applyFill="1" applyBorder="1" applyAlignment="1" applyProtection="1">
      <alignment vertical="center"/>
      <protection locked="0"/>
    </xf>
    <xf numFmtId="0" fontId="39" fillId="0" borderId="0" xfId="62" applyFont="1" applyAlignment="1">
      <alignment vertical="center"/>
      <protection/>
    </xf>
    <xf numFmtId="0" fontId="39" fillId="0" borderId="0" xfId="62" applyFont="1" applyAlignment="1">
      <alignment horizontal="center" vertical="center"/>
      <protection/>
    </xf>
    <xf numFmtId="0" fontId="40" fillId="0" borderId="0" xfId="0" applyFont="1" applyAlignment="1" applyProtection="1">
      <alignment vertical="center"/>
      <protection/>
    </xf>
    <xf numFmtId="173" fontId="40" fillId="0" borderId="11" xfId="0" applyNumberFormat="1" applyFont="1" applyBorder="1" applyAlignment="1" applyProtection="1">
      <alignment vertical="center"/>
      <protection locked="0"/>
    </xf>
    <xf numFmtId="3" fontId="40" fillId="0" borderId="0" xfId="0" applyNumberFormat="1" applyFont="1" applyAlignment="1">
      <alignment vertical="center"/>
    </xf>
    <xf numFmtId="4" fontId="40" fillId="26" borderId="17" xfId="62" applyNumberFormat="1" applyFont="1" applyFill="1" applyBorder="1" applyAlignment="1" applyProtection="1">
      <alignment horizontal="center" vertical="center"/>
      <protection locked="0"/>
    </xf>
    <xf numFmtId="3" fontId="39" fillId="0" borderId="18" xfId="66" applyNumberFormat="1" applyFont="1" applyFill="1" applyBorder="1" applyAlignment="1">
      <alignment vertical="center" wrapText="1"/>
      <protection/>
    </xf>
    <xf numFmtId="3" fontId="40" fillId="0" borderId="18" xfId="66" applyNumberFormat="1" applyFont="1" applyFill="1" applyBorder="1" applyAlignment="1">
      <alignment vertical="center"/>
      <protection/>
    </xf>
    <xf numFmtId="173" fontId="40" fillId="0" borderId="0" xfId="0" applyNumberFormat="1" applyFont="1" applyFill="1" applyBorder="1" applyAlignment="1" applyProtection="1">
      <alignment vertical="center"/>
      <protection/>
    </xf>
    <xf numFmtId="0" fontId="37" fillId="0" borderId="0" xfId="0" applyFont="1" applyAlignment="1">
      <alignment vertical="center"/>
    </xf>
    <xf numFmtId="173" fontId="37" fillId="0" borderId="0" xfId="49" applyNumberFormat="1" applyFont="1" applyBorder="1" applyAlignment="1" applyProtection="1">
      <alignment vertical="center"/>
      <protection/>
    </xf>
    <xf numFmtId="2" fontId="40" fillId="0" borderId="0" xfId="0" applyNumberFormat="1" applyFont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173" fontId="40" fillId="0" borderId="0" xfId="0" applyNumberFormat="1" applyFont="1" applyFill="1" applyAlignment="1">
      <alignment vertical="center"/>
    </xf>
    <xf numFmtId="173" fontId="39" fillId="0" borderId="0" xfId="0" applyNumberFormat="1" applyFont="1" applyFill="1" applyBorder="1" applyAlignment="1" applyProtection="1">
      <alignment horizontal="center" vertical="center"/>
      <protection/>
    </xf>
    <xf numFmtId="173" fontId="40" fillId="0" borderId="0" xfId="0" applyNumberFormat="1" applyFont="1" applyFill="1" applyBorder="1" applyAlignment="1">
      <alignment horizontal="center" vertical="center"/>
    </xf>
    <xf numFmtId="173" fontId="39" fillId="0" borderId="0" xfId="0" applyNumberFormat="1" applyFont="1" applyFill="1" applyBorder="1" applyAlignment="1">
      <alignment vertical="center"/>
    </xf>
    <xf numFmtId="173" fontId="40" fillId="0" borderId="0" xfId="49" applyNumberFormat="1" applyFont="1" applyFill="1" applyBorder="1" applyAlignment="1" applyProtection="1">
      <alignment vertical="center"/>
      <protection/>
    </xf>
    <xf numFmtId="173" fontId="40" fillId="0" borderId="0" xfId="49" applyNumberFormat="1" applyFont="1" applyFill="1" applyBorder="1" applyAlignment="1">
      <alignment vertical="center"/>
    </xf>
    <xf numFmtId="173" fontId="39" fillId="0" borderId="0" xfId="49" applyNumberFormat="1" applyFont="1" applyFill="1" applyBorder="1" applyAlignment="1" applyProtection="1">
      <alignment vertical="center"/>
      <protection/>
    </xf>
    <xf numFmtId="173" fontId="39" fillId="0" borderId="0" xfId="0" applyNumberFormat="1" applyFont="1" applyFill="1" applyBorder="1" applyAlignment="1" applyProtection="1">
      <alignment vertical="center"/>
      <protection/>
    </xf>
    <xf numFmtId="173" fontId="40" fillId="0" borderId="0" xfId="0" applyNumberFormat="1" applyFont="1" applyFill="1" applyBorder="1" applyAlignment="1">
      <alignment vertical="center"/>
    </xf>
    <xf numFmtId="173" fontId="39" fillId="0" borderId="0" xfId="61" applyNumberFormat="1" applyFont="1" applyFill="1" applyBorder="1" applyAlignment="1" applyProtection="1">
      <alignment horizontal="center" vertical="center" wrapText="1"/>
      <protection/>
    </xf>
    <xf numFmtId="173" fontId="40" fillId="0" borderId="0" xfId="61" applyNumberFormat="1" applyFont="1" applyFill="1" applyBorder="1" applyAlignment="1">
      <alignment horizontal="center" vertical="center" wrapText="1"/>
      <protection/>
    </xf>
    <xf numFmtId="0" fontId="40" fillId="0" borderId="63" xfId="62" applyFont="1" applyFill="1" applyBorder="1" applyAlignment="1" applyProtection="1">
      <alignment vertical="center"/>
      <protection locked="0"/>
    </xf>
    <xf numFmtId="0" fontId="40" fillId="0" borderId="11" xfId="62" applyFont="1" applyFill="1" applyBorder="1" applyAlignment="1" applyProtection="1">
      <alignment vertical="center"/>
      <protection locked="0"/>
    </xf>
    <xf numFmtId="4" fontId="40" fillId="0" borderId="11" xfId="62" applyNumberFormat="1" applyFont="1" applyFill="1" applyBorder="1" applyAlignment="1" applyProtection="1">
      <alignment horizontal="center" vertical="center"/>
      <protection locked="0"/>
    </xf>
    <xf numFmtId="173" fontId="40" fillId="0" borderId="17" xfId="50" applyNumberFormat="1" applyFont="1" applyFill="1" applyBorder="1" applyAlignment="1" applyProtection="1">
      <alignment horizontal="right" vertical="center"/>
      <protection locked="0"/>
    </xf>
    <xf numFmtId="2" fontId="40" fillId="0" borderId="0" xfId="62" applyNumberFormat="1" applyFont="1" applyAlignment="1">
      <alignment vertical="center"/>
      <protection/>
    </xf>
    <xf numFmtId="3" fontId="39" fillId="0" borderId="0" xfId="0" applyNumberFormat="1" applyFont="1" applyAlignment="1">
      <alignment vertical="center"/>
    </xf>
    <xf numFmtId="4" fontId="39" fillId="0" borderId="0" xfId="0" applyNumberFormat="1" applyFont="1" applyAlignment="1">
      <alignment vertical="center"/>
    </xf>
    <xf numFmtId="0" fontId="40" fillId="0" borderId="60" xfId="62" applyNumberFormat="1" applyFont="1" applyFill="1" applyBorder="1" applyAlignment="1" applyProtection="1">
      <alignment horizontal="center" vertical="center"/>
      <protection locked="0"/>
    </xf>
    <xf numFmtId="0" fontId="40" fillId="0" borderId="25" xfId="62" applyNumberFormat="1" applyFont="1" applyFill="1" applyBorder="1" applyAlignment="1" applyProtection="1">
      <alignment horizontal="center" vertical="center"/>
      <protection locked="0"/>
    </xf>
    <xf numFmtId="173" fontId="39" fillId="0" borderId="93" xfId="62" applyNumberFormat="1" applyFont="1" applyFill="1" applyBorder="1" applyAlignment="1" applyProtection="1">
      <alignment horizontal="right" vertical="center"/>
      <protection/>
    </xf>
    <xf numFmtId="173" fontId="39" fillId="0" borderId="52" xfId="62" applyNumberFormat="1" applyFont="1" applyFill="1" applyBorder="1" applyAlignment="1" applyProtection="1">
      <alignment horizontal="right" vertical="center"/>
      <protection/>
    </xf>
    <xf numFmtId="173" fontId="39" fillId="0" borderId="88" xfId="62" applyNumberFormat="1" applyFont="1" applyFill="1" applyBorder="1" applyAlignment="1" applyProtection="1">
      <alignment vertical="center"/>
      <protection/>
    </xf>
    <xf numFmtId="173" fontId="39" fillId="0" borderId="67" xfId="62" applyNumberFormat="1" applyFont="1" applyFill="1" applyBorder="1" applyAlignment="1" applyProtection="1">
      <alignment horizontal="right" vertical="center"/>
      <protection/>
    </xf>
    <xf numFmtId="173" fontId="39" fillId="0" borderId="38" xfId="62" applyNumberFormat="1" applyFont="1" applyFill="1" applyBorder="1" applyAlignment="1" applyProtection="1">
      <alignment horizontal="right" vertical="center"/>
      <protection/>
    </xf>
    <xf numFmtId="173" fontId="39" fillId="0" borderId="51" xfId="62" applyNumberFormat="1" applyFont="1" applyFill="1" applyBorder="1" applyAlignment="1" applyProtection="1">
      <alignment horizontal="right" vertical="center"/>
      <protection/>
    </xf>
    <xf numFmtId="0" fontId="40" fillId="0" borderId="56" xfId="0" applyFont="1" applyFill="1" applyBorder="1" applyAlignment="1" applyProtection="1">
      <alignment horizontal="left" vertical="center"/>
      <protection locked="0"/>
    </xf>
    <xf numFmtId="4" fontId="40" fillId="0" borderId="17" xfId="0" applyNumberFormat="1" applyFont="1" applyFill="1" applyBorder="1" applyAlignment="1" applyProtection="1">
      <alignment horizontal="left" vertical="center"/>
      <protection locked="0"/>
    </xf>
    <xf numFmtId="4" fontId="40" fillId="0" borderId="12" xfId="0" applyNumberFormat="1" applyFont="1" applyFill="1" applyBorder="1" applyAlignment="1" applyProtection="1">
      <alignment horizontal="right" vertical="center"/>
      <protection locked="0"/>
    </xf>
    <xf numFmtId="43" fontId="39" fillId="0" borderId="12" xfId="0" applyNumberFormat="1" applyFont="1" applyBorder="1" applyAlignment="1" applyProtection="1">
      <alignment horizontal="center" vertical="center" wrapText="1"/>
      <protection/>
    </xf>
    <xf numFmtId="43" fontId="39" fillId="0" borderId="13" xfId="0" applyNumberFormat="1" applyFont="1" applyBorder="1" applyAlignment="1" applyProtection="1">
      <alignment horizontal="center" vertical="center" wrapText="1"/>
      <protection/>
    </xf>
    <xf numFmtId="43" fontId="39" fillId="0" borderId="14" xfId="0" applyNumberFormat="1" applyFont="1" applyBorder="1" applyAlignment="1" applyProtection="1">
      <alignment horizontal="center" vertical="center" wrapText="1"/>
      <protection/>
    </xf>
    <xf numFmtId="4" fontId="40" fillId="0" borderId="66" xfId="0" applyNumberFormat="1" applyFont="1" applyBorder="1" applyAlignment="1" applyProtection="1">
      <alignment horizontal="right" vertical="center"/>
      <protection locked="0"/>
    </xf>
    <xf numFmtId="0" fontId="39" fillId="0" borderId="17" xfId="0" applyFont="1" applyFill="1" applyBorder="1" applyAlignment="1" applyProtection="1">
      <alignment horizontal="center" vertical="center" wrapText="1"/>
      <protection locked="0"/>
    </xf>
    <xf numFmtId="4" fontId="42" fillId="22" borderId="0" xfId="57" applyNumberFormat="1" applyFont="1" applyFill="1" applyBorder="1" applyAlignment="1">
      <alignment horizontal="left" vertical="center"/>
      <protection/>
    </xf>
    <xf numFmtId="0" fontId="40" fillId="22" borderId="0" xfId="57" applyFont="1" applyFill="1" applyAlignment="1">
      <alignment vertical="center"/>
      <protection/>
    </xf>
    <xf numFmtId="0" fontId="55" fillId="0" borderId="11" xfId="0" applyFont="1" applyFill="1" applyBorder="1" applyAlignment="1" applyProtection="1">
      <alignment horizontal="center" vertical="center"/>
      <protection locked="0"/>
    </xf>
    <xf numFmtId="0" fontId="55" fillId="0" borderId="14" xfId="0" applyFont="1" applyFill="1" applyBorder="1" applyAlignment="1" applyProtection="1">
      <alignment horizontal="center" vertical="center"/>
      <protection locked="0"/>
    </xf>
    <xf numFmtId="0" fontId="55" fillId="0" borderId="71" xfId="0" applyFont="1" applyFill="1" applyBorder="1" applyAlignment="1" applyProtection="1">
      <alignment horizontal="center" vertical="center"/>
      <protection locked="0"/>
    </xf>
    <xf numFmtId="0" fontId="55" fillId="0" borderId="13" xfId="0" applyFont="1" applyFill="1" applyBorder="1" applyAlignment="1" applyProtection="1">
      <alignment horizontal="center" vertical="center"/>
      <protection locked="0"/>
    </xf>
    <xf numFmtId="0" fontId="55" fillId="0" borderId="17" xfId="0" applyFont="1" applyFill="1" applyBorder="1" applyAlignment="1" applyProtection="1">
      <alignment horizontal="center" vertical="center"/>
      <protection locked="0"/>
    </xf>
    <xf numFmtId="0" fontId="55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56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65" xfId="0" applyBorder="1" applyAlignment="1">
      <alignment/>
    </xf>
    <xf numFmtId="4" fontId="0" fillId="0" borderId="0" xfId="0" applyNumberFormat="1" applyAlignment="1">
      <alignment/>
    </xf>
    <xf numFmtId="4" fontId="0" fillId="0" borderId="22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65" xfId="0" applyNumberFormat="1" applyBorder="1" applyAlignment="1">
      <alignment/>
    </xf>
    <xf numFmtId="0" fontId="0" fillId="0" borderId="0" xfId="0" applyAlignment="1">
      <alignment vertical="center"/>
    </xf>
    <xf numFmtId="2" fontId="6" fillId="0" borderId="15" xfId="59" applyNumberFormat="1" applyFont="1" applyFill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167" fontId="58" fillId="0" borderId="15" xfId="59" applyNumberFormat="1" applyFont="1" applyFill="1" applyBorder="1" applyAlignment="1">
      <alignment horizontal="left" vertical="center"/>
      <protection/>
    </xf>
    <xf numFmtId="0" fontId="59" fillId="0" borderId="15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60" fillId="0" borderId="28" xfId="0" applyFont="1" applyBorder="1" applyAlignment="1">
      <alignment vertical="center"/>
    </xf>
    <xf numFmtId="0" fontId="60" fillId="0" borderId="55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78" xfId="0" applyFont="1" applyBorder="1" applyAlignment="1">
      <alignment horizontal="center" vertical="center" wrapText="1"/>
    </xf>
    <xf numFmtId="1" fontId="59" fillId="0" borderId="94" xfId="0" applyNumberFormat="1" applyFont="1" applyBorder="1" applyAlignment="1">
      <alignment horizontal="center" vertical="center"/>
    </xf>
    <xf numFmtId="4" fontId="59" fillId="0" borderId="22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60" fillId="0" borderId="28" xfId="0" applyFont="1" applyBorder="1" applyAlignment="1">
      <alignment/>
    </xf>
    <xf numFmtId="0" fontId="60" fillId="0" borderId="55" xfId="0" applyFont="1" applyBorder="1" applyAlignment="1">
      <alignment horizontal="left"/>
    </xf>
    <xf numFmtId="0" fontId="60" fillId="0" borderId="55" xfId="0" applyFont="1" applyBorder="1" applyAlignment="1">
      <alignment horizontal="center" wrapText="1"/>
    </xf>
    <xf numFmtId="0" fontId="59" fillId="0" borderId="15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14" fontId="59" fillId="0" borderId="0" xfId="0" applyNumberFormat="1" applyFont="1" applyBorder="1" applyAlignment="1">
      <alignment horizontal="center" vertical="center"/>
    </xf>
    <xf numFmtId="14" fontId="59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Border="1" applyAlignment="1">
      <alignment vertical="center"/>
    </xf>
    <xf numFmtId="167" fontId="58" fillId="0" borderId="28" xfId="59" applyNumberFormat="1" applyFont="1" applyFill="1" applyBorder="1" applyAlignment="1">
      <alignment horizontal="left" vertical="center"/>
      <protection/>
    </xf>
    <xf numFmtId="0" fontId="0" fillId="0" borderId="55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16" borderId="12" xfId="0" applyFill="1" applyBorder="1" applyAlignment="1">
      <alignment/>
    </xf>
    <xf numFmtId="4" fontId="0" fillId="16" borderId="12" xfId="0" applyNumberFormat="1" applyFill="1" applyBorder="1" applyAlignment="1">
      <alignment/>
    </xf>
    <xf numFmtId="4" fontId="39" fillId="16" borderId="12" xfId="0" applyNumberFormat="1" applyFont="1" applyFill="1" applyBorder="1" applyAlignment="1">
      <alignment vertical="center"/>
    </xf>
    <xf numFmtId="0" fontId="61" fillId="0" borderId="0" xfId="53" applyFont="1">
      <alignment/>
      <protection/>
    </xf>
    <xf numFmtId="0" fontId="26" fillId="0" borderId="0" xfId="53" applyFont="1">
      <alignment/>
      <protection/>
    </xf>
    <xf numFmtId="0" fontId="61" fillId="0" borderId="0" xfId="53" applyFont="1" applyAlignment="1">
      <alignment vertical="center"/>
      <protection/>
    </xf>
    <xf numFmtId="17" fontId="26" fillId="16" borderId="17" xfId="53" applyNumberFormat="1" applyFont="1" applyFill="1" applyBorder="1" applyAlignment="1">
      <alignment horizontal="center"/>
      <protection/>
    </xf>
    <xf numFmtId="0" fontId="26" fillId="16" borderId="17" xfId="53" applyFont="1" applyFill="1" applyBorder="1" applyAlignment="1">
      <alignment horizontal="center"/>
      <protection/>
    </xf>
    <xf numFmtId="0" fontId="57" fillId="8" borderId="13" xfId="59" applyNumberFormat="1" applyFont="1" applyFill="1" applyBorder="1" applyAlignment="1">
      <alignment horizontal="center" vertical="center"/>
      <protection/>
    </xf>
    <xf numFmtId="0" fontId="62" fillId="0" borderId="0" xfId="63" applyFont="1" applyAlignment="1">
      <alignment vertical="center"/>
      <protection/>
    </xf>
    <xf numFmtId="0" fontId="63" fillId="0" borderId="0" xfId="53" applyFont="1">
      <alignment/>
      <protection/>
    </xf>
    <xf numFmtId="0" fontId="62" fillId="0" borderId="0" xfId="0" applyFont="1" applyAlignment="1">
      <alignment/>
    </xf>
    <xf numFmtId="0" fontId="64" fillId="0" borderId="0" xfId="53" applyFont="1" applyAlignment="1">
      <alignment vertical="center"/>
      <protection/>
    </xf>
    <xf numFmtId="0" fontId="64" fillId="0" borderId="0" xfId="53" applyFont="1">
      <alignment/>
      <protection/>
    </xf>
    <xf numFmtId="17" fontId="63" fillId="16" borderId="17" xfId="53" applyNumberFormat="1" applyFont="1" applyFill="1" applyBorder="1" applyAlignment="1">
      <alignment horizontal="center"/>
      <protection/>
    </xf>
    <xf numFmtId="17" fontId="63" fillId="0" borderId="0" xfId="53" applyNumberFormat="1" applyFont="1" applyFill="1" applyBorder="1" applyAlignment="1">
      <alignment horizontal="center"/>
      <protection/>
    </xf>
    <xf numFmtId="0" fontId="63" fillId="16" borderId="17" xfId="53" applyFont="1" applyFill="1" applyBorder="1" applyAlignment="1">
      <alignment horizontal="center"/>
      <protection/>
    </xf>
    <xf numFmtId="0" fontId="63" fillId="0" borderId="0" xfId="53" applyFont="1" applyFill="1" applyBorder="1" applyAlignment="1">
      <alignment horizontal="center"/>
      <protection/>
    </xf>
    <xf numFmtId="1" fontId="66" fillId="8" borderId="95" xfId="56" applyNumberFormat="1" applyFont="1" applyFill="1" applyBorder="1" applyAlignment="1">
      <alignment horizontal="center" vertical="center"/>
      <protection/>
    </xf>
    <xf numFmtId="2" fontId="66" fillId="8" borderId="96" xfId="56" applyNumberFormat="1" applyFont="1" applyFill="1" applyBorder="1" applyAlignment="1">
      <alignment horizontal="center" vertical="center" wrapText="1"/>
      <protection/>
    </xf>
    <xf numFmtId="0" fontId="62" fillId="0" borderId="0" xfId="0" applyFont="1" applyAlignment="1">
      <alignment vertical="center"/>
    </xf>
    <xf numFmtId="0" fontId="65" fillId="0" borderId="97" xfId="0" applyFont="1" applyBorder="1" applyAlignment="1" applyProtection="1">
      <alignment horizontal="center" vertical="center"/>
      <protection locked="0"/>
    </xf>
    <xf numFmtId="0" fontId="65" fillId="0" borderId="17" xfId="0" applyFont="1" applyBorder="1" applyAlignment="1" applyProtection="1">
      <alignment horizontal="center" vertical="center"/>
      <protection locked="0"/>
    </xf>
    <xf numFmtId="0" fontId="65" fillId="0" borderId="96" xfId="0" applyFont="1" applyBorder="1" applyAlignment="1" applyProtection="1">
      <alignment horizontal="center" vertical="center"/>
      <protection locked="0"/>
    </xf>
    <xf numFmtId="0" fontId="62" fillId="0" borderId="98" xfId="0" applyFont="1" applyBorder="1" applyAlignment="1" applyProtection="1">
      <alignment horizontal="left" vertical="center"/>
      <protection locked="0"/>
    </xf>
    <xf numFmtId="4" fontId="62" fillId="0" borderId="11" xfId="0" applyNumberFormat="1" applyFont="1" applyBorder="1" applyAlignment="1" applyProtection="1">
      <alignment horizontal="right" vertical="center"/>
      <protection locked="0"/>
    </xf>
    <xf numFmtId="0" fontId="62" fillId="0" borderId="11" xfId="0" applyFont="1" applyBorder="1" applyAlignment="1" applyProtection="1">
      <alignment horizontal="left" vertical="center"/>
      <protection locked="0"/>
    </xf>
    <xf numFmtId="4" fontId="62" fillId="0" borderId="99" xfId="0" applyNumberFormat="1" applyFont="1" applyBorder="1" applyAlignment="1" applyProtection="1">
      <alignment horizontal="right" vertical="center"/>
      <protection locked="0"/>
    </xf>
    <xf numFmtId="0" fontId="62" fillId="0" borderId="97" xfId="0" applyFont="1" applyBorder="1" applyAlignment="1" applyProtection="1">
      <alignment horizontal="left" vertical="center"/>
      <protection locked="0"/>
    </xf>
    <xf numFmtId="4" fontId="62" fillId="0" borderId="17" xfId="0" applyNumberFormat="1" applyFont="1" applyBorder="1" applyAlignment="1" applyProtection="1">
      <alignment horizontal="right" vertical="center"/>
      <protection locked="0"/>
    </xf>
    <xf numFmtId="0" fontId="62" fillId="0" borderId="17" xfId="0" applyFont="1" applyBorder="1" applyAlignment="1" applyProtection="1">
      <alignment horizontal="left" vertical="center"/>
      <protection locked="0"/>
    </xf>
    <xf numFmtId="4" fontId="62" fillId="0" borderId="96" xfId="0" applyNumberFormat="1" applyFont="1" applyBorder="1" applyAlignment="1" applyProtection="1">
      <alignment horizontal="right" vertical="center"/>
      <protection locked="0"/>
    </xf>
    <xf numFmtId="0" fontId="62" fillId="0" borderId="97" xfId="0" applyFont="1" applyFill="1" applyBorder="1" applyAlignment="1" applyProtection="1">
      <alignment horizontal="left" vertical="center"/>
      <protection locked="0"/>
    </xf>
    <xf numFmtId="4" fontId="62" fillId="0" borderId="17" xfId="0" applyNumberFormat="1" applyFont="1" applyFill="1" applyBorder="1" applyAlignment="1" applyProtection="1">
      <alignment horizontal="right" vertical="center"/>
      <protection locked="0"/>
    </xf>
    <xf numFmtId="4" fontId="62" fillId="0" borderId="96" xfId="0" applyNumberFormat="1" applyFont="1" applyFill="1" applyBorder="1" applyAlignment="1" applyProtection="1">
      <alignment horizontal="right" vertical="center"/>
      <protection locked="0"/>
    </xf>
    <xf numFmtId="0" fontId="62" fillId="0" borderId="0" xfId="0" applyFont="1" applyFill="1" applyAlignment="1">
      <alignment vertical="center"/>
    </xf>
    <xf numFmtId="4" fontId="62" fillId="0" borderId="0" xfId="0" applyNumberFormat="1" applyFont="1" applyAlignment="1">
      <alignment vertical="center"/>
    </xf>
    <xf numFmtId="0" fontId="62" fillId="0" borderId="97" xfId="0" applyFont="1" applyBorder="1" applyAlignment="1" applyProtection="1">
      <alignment horizontal="left" vertical="center" wrapText="1"/>
      <protection locked="0"/>
    </xf>
    <xf numFmtId="0" fontId="65" fillId="0" borderId="100" xfId="0" applyFont="1" applyBorder="1" applyAlignment="1">
      <alignment horizontal="center" vertical="center"/>
    </xf>
    <xf numFmtId="4" fontId="65" fillId="0" borderId="72" xfId="0" applyNumberFormat="1" applyFont="1" applyBorder="1" applyAlignment="1" applyProtection="1">
      <alignment horizontal="right" vertical="center"/>
      <protection/>
    </xf>
    <xf numFmtId="0" fontId="65" fillId="0" borderId="72" xfId="0" applyFont="1" applyBorder="1" applyAlignment="1">
      <alignment horizontal="center" vertical="center"/>
    </xf>
    <xf numFmtId="4" fontId="65" fillId="0" borderId="101" xfId="0" applyNumberFormat="1" applyFont="1" applyBorder="1" applyAlignment="1">
      <alignment horizontal="right" vertical="center"/>
    </xf>
    <xf numFmtId="3" fontId="62" fillId="0" borderId="0" xfId="0" applyNumberFormat="1" applyFont="1" applyAlignment="1">
      <alignment/>
    </xf>
    <xf numFmtId="0" fontId="65" fillId="0" borderId="56" xfId="0" applyFont="1" applyBorder="1" applyAlignment="1" applyProtection="1">
      <alignment horizontal="center" vertical="center"/>
      <protection locked="0"/>
    </xf>
    <xf numFmtId="0" fontId="65" fillId="0" borderId="12" xfId="0" applyFont="1" applyBorder="1" applyAlignment="1" applyProtection="1">
      <alignment horizontal="center" vertical="center"/>
      <protection locked="0"/>
    </xf>
    <xf numFmtId="0" fontId="62" fillId="0" borderId="56" xfId="0" applyFont="1" applyBorder="1" applyAlignment="1" applyProtection="1">
      <alignment horizontal="left" vertical="center" wrapText="1"/>
      <protection locked="0"/>
    </xf>
    <xf numFmtId="4" fontId="62" fillId="0" borderId="12" xfId="0" applyNumberFormat="1" applyFont="1" applyBorder="1" applyAlignment="1" applyProtection="1">
      <alignment horizontal="right" vertical="center"/>
      <protection locked="0"/>
    </xf>
    <xf numFmtId="0" fontId="65" fillId="0" borderId="57" xfId="0" applyFont="1" applyBorder="1" applyAlignment="1">
      <alignment horizontal="center" vertical="center"/>
    </xf>
    <xf numFmtId="4" fontId="65" fillId="0" borderId="19" xfId="0" applyNumberFormat="1" applyFont="1" applyBorder="1" applyAlignment="1" applyProtection="1">
      <alignment horizontal="right" vertical="center"/>
      <protection/>
    </xf>
    <xf numFmtId="0" fontId="65" fillId="0" borderId="19" xfId="0" applyFont="1" applyBorder="1" applyAlignment="1">
      <alignment horizontal="center" vertical="center"/>
    </xf>
    <xf numFmtId="4" fontId="65" fillId="0" borderId="20" xfId="0" applyNumberFormat="1" applyFont="1" applyBorder="1" applyAlignment="1">
      <alignment horizontal="right" vertical="center"/>
    </xf>
    <xf numFmtId="0" fontId="68" fillId="0" borderId="0" xfId="0" applyFont="1" applyAlignment="1">
      <alignment/>
    </xf>
    <xf numFmtId="10" fontId="59" fillId="0" borderId="0" xfId="0" applyNumberFormat="1" applyFont="1" applyBorder="1" applyAlignment="1">
      <alignment horizontal="center" vertical="center"/>
    </xf>
    <xf numFmtId="1" fontId="59" fillId="0" borderId="0" xfId="0" applyNumberFormat="1" applyFont="1" applyBorder="1" applyAlignment="1">
      <alignment horizontal="center" vertical="center"/>
    </xf>
    <xf numFmtId="10" fontId="59" fillId="0" borderId="0" xfId="0" applyNumberFormat="1" applyFont="1" applyBorder="1" applyAlignment="1">
      <alignment vertical="center"/>
    </xf>
    <xf numFmtId="4" fontId="59" fillId="0" borderId="0" xfId="0" applyNumberFormat="1" applyFont="1" applyBorder="1" applyAlignment="1">
      <alignment horizontal="center" vertical="center"/>
    </xf>
    <xf numFmtId="4" fontId="59" fillId="0" borderId="94" xfId="0" applyNumberFormat="1" applyFont="1" applyBorder="1" applyAlignment="1">
      <alignment horizontal="center" vertical="center"/>
    </xf>
    <xf numFmtId="4" fontId="59" fillId="0" borderId="22" xfId="0" applyNumberFormat="1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vertical="center"/>
    </xf>
    <xf numFmtId="174" fontId="40" fillId="26" borderId="17" xfId="48" applyNumberFormat="1" applyFont="1" applyFill="1" applyBorder="1" applyAlignment="1" applyProtection="1">
      <alignment horizontal="right" vertical="center"/>
      <protection/>
    </xf>
    <xf numFmtId="2" fontId="39" fillId="0" borderId="25" xfId="0" applyNumberFormat="1" applyFont="1" applyFill="1" applyBorder="1" applyAlignment="1">
      <alignment horizontal="center" vertical="center" wrapText="1"/>
    </xf>
    <xf numFmtId="3" fontId="39" fillId="0" borderId="56" xfId="66" applyNumberFormat="1" applyFont="1" applyFill="1" applyBorder="1" applyAlignment="1">
      <alignment vertical="center"/>
      <protection/>
    </xf>
    <xf numFmtId="174" fontId="39" fillId="0" borderId="12" xfId="48" applyNumberFormat="1" applyFont="1" applyFill="1" applyBorder="1" applyAlignment="1" applyProtection="1">
      <alignment horizontal="right" vertical="center"/>
      <protection/>
    </xf>
    <xf numFmtId="3" fontId="40" fillId="0" borderId="56" xfId="66" applyNumberFormat="1" applyFont="1" applyFill="1" applyBorder="1" applyAlignment="1">
      <alignment vertical="center"/>
      <protection/>
    </xf>
    <xf numFmtId="174" fontId="40" fillId="0" borderId="12" xfId="48" applyNumberFormat="1" applyFont="1" applyFill="1" applyBorder="1" applyAlignment="1" applyProtection="1">
      <alignment horizontal="right" vertical="center"/>
      <protection/>
    </xf>
    <xf numFmtId="174" fontId="40" fillId="0" borderId="12" xfId="48" applyNumberFormat="1" applyFont="1" applyFill="1" applyBorder="1" applyAlignment="1" applyProtection="1">
      <alignment horizontal="right" vertical="center"/>
      <protection locked="0"/>
    </xf>
    <xf numFmtId="3" fontId="39" fillId="0" borderId="56" xfId="66" applyNumberFormat="1" applyFont="1" applyFill="1" applyBorder="1" applyAlignment="1">
      <alignment vertical="center" wrapText="1"/>
      <protection/>
    </xf>
    <xf numFmtId="174" fontId="39" fillId="0" borderId="12" xfId="48" applyNumberFormat="1" applyFont="1" applyFill="1" applyBorder="1" applyAlignment="1" applyProtection="1">
      <alignment horizontal="right" vertical="center"/>
      <protection locked="0"/>
    </xf>
    <xf numFmtId="3" fontId="39" fillId="0" borderId="56" xfId="66" applyNumberFormat="1" applyFont="1" applyFill="1" applyBorder="1" applyAlignment="1">
      <alignment horizontal="left" vertical="center" wrapText="1"/>
      <protection/>
    </xf>
    <xf numFmtId="3" fontId="40" fillId="0" borderId="56" xfId="66" applyNumberFormat="1" applyFont="1" applyFill="1" applyBorder="1" applyAlignment="1">
      <alignment vertical="center" wrapText="1"/>
      <protection/>
    </xf>
    <xf numFmtId="174" fontId="39" fillId="0" borderId="12" xfId="48" applyNumberFormat="1" applyFont="1" applyFill="1" applyBorder="1" applyAlignment="1" applyProtection="1">
      <alignment vertical="center"/>
      <protection/>
    </xf>
    <xf numFmtId="174" fontId="39" fillId="0" borderId="12" xfId="48" applyNumberFormat="1" applyFont="1" applyFill="1" applyBorder="1" applyAlignment="1" applyProtection="1">
      <alignment vertical="center"/>
      <protection locked="0"/>
    </xf>
    <xf numFmtId="174" fontId="39" fillId="0" borderId="19" xfId="48" applyNumberFormat="1" applyFont="1" applyFill="1" applyBorder="1" applyAlignment="1" applyProtection="1">
      <alignment horizontal="right" vertical="center"/>
      <protection/>
    </xf>
    <xf numFmtId="174" fontId="39" fillId="0" borderId="20" xfId="48" applyNumberFormat="1" applyFont="1" applyFill="1" applyBorder="1" applyAlignment="1" applyProtection="1">
      <alignment horizontal="right" vertical="center"/>
      <protection/>
    </xf>
    <xf numFmtId="2" fontId="39" fillId="0" borderId="12" xfId="0" applyNumberFormat="1" applyFont="1" applyBorder="1" applyAlignment="1">
      <alignment horizontal="center" vertical="center" wrapText="1"/>
    </xf>
    <xf numFmtId="4" fontId="39" fillId="0" borderId="12" xfId="57" applyNumberFormat="1" applyFont="1" applyFill="1" applyBorder="1" applyAlignment="1" applyProtection="1">
      <alignment horizontal="right" vertical="center"/>
      <protection/>
    </xf>
    <xf numFmtId="0" fontId="39" fillId="0" borderId="56" xfId="57" applyFont="1" applyBorder="1" applyAlignment="1">
      <alignment vertical="center"/>
      <protection/>
    </xf>
    <xf numFmtId="4" fontId="39" fillId="0" borderId="12" xfId="57" applyNumberFormat="1" applyFont="1" applyBorder="1" applyAlignment="1" applyProtection="1">
      <alignment vertical="center"/>
      <protection/>
    </xf>
    <xf numFmtId="4" fontId="40" fillId="0" borderId="12" xfId="57" applyNumberFormat="1" applyFont="1" applyBorder="1" applyAlignment="1" applyProtection="1">
      <alignment vertical="center"/>
      <protection/>
    </xf>
    <xf numFmtId="0" fontId="40" fillId="0" borderId="56" xfId="57" applyFont="1" applyBorder="1" applyAlignment="1">
      <alignment vertical="center"/>
      <protection/>
    </xf>
    <xf numFmtId="4" fontId="40" fillId="0" borderId="12" xfId="57" applyNumberFormat="1" applyFont="1" applyBorder="1" applyAlignment="1" applyProtection="1">
      <alignment vertical="center"/>
      <protection locked="0"/>
    </xf>
    <xf numFmtId="4" fontId="40" fillId="0" borderId="12" xfId="57" applyNumberFormat="1" applyFont="1" applyFill="1" applyBorder="1" applyAlignment="1" applyProtection="1">
      <alignment vertical="center"/>
      <protection locked="0"/>
    </xf>
    <xf numFmtId="4" fontId="40" fillId="0" borderId="12" xfId="66" applyNumberFormat="1" applyFont="1" applyFill="1" applyBorder="1" applyAlignment="1" applyProtection="1">
      <alignment horizontal="right" vertical="center"/>
      <protection locked="0"/>
    </xf>
    <xf numFmtId="0" fontId="39" fillId="0" borderId="56" xfId="57" applyFont="1" applyFill="1" applyBorder="1" applyAlignment="1">
      <alignment vertical="center"/>
      <protection/>
    </xf>
    <xf numFmtId="4" fontId="39" fillId="0" borderId="12" xfId="57" applyNumberFormat="1" applyFont="1" applyFill="1" applyBorder="1" applyAlignment="1" applyProtection="1">
      <alignment vertical="center"/>
      <protection/>
    </xf>
    <xf numFmtId="0" fontId="40" fillId="0" borderId="56" xfId="57" applyFont="1" applyFill="1" applyBorder="1" applyAlignment="1">
      <alignment vertical="center"/>
      <protection/>
    </xf>
    <xf numFmtId="0" fontId="40" fillId="0" borderId="56" xfId="57" applyFont="1" applyFill="1" applyBorder="1" applyAlignment="1">
      <alignment vertical="center" wrapText="1"/>
      <protection/>
    </xf>
    <xf numFmtId="4" fontId="39" fillId="0" borderId="12" xfId="57" applyNumberFormat="1" applyFont="1" applyFill="1" applyBorder="1" applyAlignment="1" applyProtection="1">
      <alignment vertical="center"/>
      <protection locked="0"/>
    </xf>
    <xf numFmtId="0" fontId="39" fillId="0" borderId="56" xfId="57" applyFont="1" applyFill="1" applyBorder="1" applyAlignment="1">
      <alignment vertical="center" wrapText="1"/>
      <protection/>
    </xf>
    <xf numFmtId="4" fontId="39" fillId="0" borderId="19" xfId="57" applyNumberFormat="1" applyFont="1" applyBorder="1" applyAlignment="1" applyProtection="1">
      <alignment horizontal="right" vertical="center"/>
      <protection/>
    </xf>
    <xf numFmtId="4" fontId="39" fillId="0" borderId="20" xfId="57" applyNumberFormat="1" applyFont="1" applyBorder="1" applyAlignment="1" applyProtection="1">
      <alignment horizontal="right" vertical="center"/>
      <protection/>
    </xf>
    <xf numFmtId="0" fontId="39" fillId="25" borderId="13" xfId="57" applyFont="1" applyFill="1" applyBorder="1" applyAlignment="1">
      <alignment horizontal="center" vertical="center" wrapText="1"/>
      <protection/>
    </xf>
    <xf numFmtId="0" fontId="39" fillId="25" borderId="12" xfId="57" applyFont="1" applyFill="1" applyBorder="1" applyAlignment="1">
      <alignment horizontal="center" vertical="center" wrapText="1"/>
      <protection/>
    </xf>
    <xf numFmtId="0" fontId="39" fillId="0" borderId="56" xfId="57" applyFont="1" applyFill="1" applyBorder="1" applyAlignment="1">
      <alignment horizontal="center" vertical="center"/>
      <protection/>
    </xf>
    <xf numFmtId="0" fontId="39" fillId="0" borderId="56" xfId="57" applyFont="1" applyFill="1" applyBorder="1" applyAlignment="1">
      <alignment horizontal="left" vertical="center"/>
      <protection/>
    </xf>
    <xf numFmtId="0" fontId="39" fillId="0" borderId="57" xfId="57" applyFont="1" applyFill="1" applyBorder="1" applyAlignment="1">
      <alignment horizontal="left" vertical="center"/>
      <protection/>
    </xf>
    <xf numFmtId="0" fontId="39" fillId="8" borderId="17" xfId="57" applyNumberFormat="1" applyFont="1" applyFill="1" applyBorder="1" applyAlignment="1">
      <alignment horizontal="center" vertical="center"/>
      <protection/>
    </xf>
    <xf numFmtId="2" fontId="39" fillId="8" borderId="17" xfId="57" applyNumberFormat="1" applyFont="1" applyFill="1" applyBorder="1" applyAlignment="1">
      <alignment horizontal="center" vertical="center"/>
      <protection/>
    </xf>
    <xf numFmtId="0" fontId="39" fillId="0" borderId="17" xfId="57" applyFont="1" applyFill="1" applyBorder="1" applyAlignment="1">
      <alignment horizontal="left" vertical="center"/>
      <protection/>
    </xf>
    <xf numFmtId="0" fontId="39" fillId="8" borderId="13" xfId="57" applyNumberFormat="1" applyFont="1" applyFill="1" applyBorder="1" applyAlignment="1">
      <alignment horizontal="center" vertical="center"/>
      <protection/>
    </xf>
    <xf numFmtId="2" fontId="39" fillId="8" borderId="12" xfId="57" applyNumberFormat="1" applyFont="1" applyFill="1" applyBorder="1" applyAlignment="1">
      <alignment horizontal="center" vertical="center"/>
      <protection/>
    </xf>
    <xf numFmtId="3" fontId="39" fillId="0" borderId="23" xfId="66" applyNumberFormat="1" applyFont="1" applyFill="1" applyBorder="1" applyAlignment="1">
      <alignment horizontal="centerContinuous" vertical="center"/>
      <protection/>
    </xf>
    <xf numFmtId="3" fontId="39" fillId="0" borderId="10" xfId="66" applyNumberFormat="1" applyFont="1" applyFill="1" applyBorder="1" applyAlignment="1">
      <alignment vertical="center"/>
      <protection/>
    </xf>
    <xf numFmtId="4" fontId="39" fillId="0" borderId="17" xfId="66" applyNumberFormat="1" applyFont="1" applyFill="1" applyBorder="1" applyAlignment="1" applyProtection="1">
      <alignment horizontal="right" vertical="center"/>
      <protection locked="0"/>
    </xf>
    <xf numFmtId="4" fontId="39" fillId="0" borderId="12" xfId="66" applyNumberFormat="1" applyFont="1" applyFill="1" applyBorder="1" applyAlignment="1" applyProtection="1">
      <alignment horizontal="right" vertical="center"/>
      <protection locked="0"/>
    </xf>
    <xf numFmtId="3" fontId="39" fillId="0" borderId="57" xfId="66" applyNumberFormat="1" applyFont="1" applyFill="1" applyBorder="1" applyAlignment="1">
      <alignment vertical="center"/>
      <protection/>
    </xf>
    <xf numFmtId="0" fontId="40" fillId="0" borderId="61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39" fillId="0" borderId="57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67" xfId="0" applyFont="1" applyBorder="1" applyAlignment="1">
      <alignment horizontal="center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40" fillId="0" borderId="64" xfId="0" applyFont="1" applyBorder="1" applyAlignment="1" applyProtection="1">
      <alignment vertical="center"/>
      <protection locked="0"/>
    </xf>
    <xf numFmtId="43" fontId="40" fillId="0" borderId="11" xfId="0" applyNumberFormat="1" applyFont="1" applyBorder="1" applyAlignment="1" applyProtection="1">
      <alignment vertical="center"/>
      <protection locked="0"/>
    </xf>
    <xf numFmtId="43" fontId="40" fillId="0" borderId="14" xfId="0" applyNumberFormat="1" applyFont="1" applyBorder="1" applyAlignment="1" applyProtection="1">
      <alignment vertical="center"/>
      <protection locked="0"/>
    </xf>
    <xf numFmtId="43" fontId="40" fillId="0" borderId="64" xfId="0" applyNumberFormat="1" applyFont="1" applyBorder="1" applyAlignment="1" applyProtection="1">
      <alignment vertical="center"/>
      <protection locked="0"/>
    </xf>
    <xf numFmtId="0" fontId="40" fillId="0" borderId="56" xfId="0" applyFont="1" applyBorder="1" applyAlignment="1" applyProtection="1">
      <alignment vertical="center"/>
      <protection locked="0"/>
    </xf>
    <xf numFmtId="0" fontId="40" fillId="0" borderId="17" xfId="0" applyFont="1" applyBorder="1" applyAlignment="1" applyProtection="1">
      <alignment vertical="center"/>
      <protection locked="0"/>
    </xf>
    <xf numFmtId="43" fontId="40" fillId="0" borderId="17" xfId="0" applyNumberFormat="1" applyFont="1" applyBorder="1" applyAlignment="1" applyProtection="1">
      <alignment vertical="center"/>
      <protection locked="0"/>
    </xf>
    <xf numFmtId="43" fontId="40" fillId="0" borderId="12" xfId="0" applyNumberFormat="1" applyFont="1" applyBorder="1" applyAlignment="1" applyProtection="1">
      <alignment vertical="center"/>
      <protection locked="0"/>
    </xf>
    <xf numFmtId="43" fontId="40" fillId="0" borderId="56" xfId="0" applyNumberFormat="1" applyFont="1" applyBorder="1" applyAlignment="1" applyProtection="1">
      <alignment vertical="center"/>
      <protection locked="0"/>
    </xf>
    <xf numFmtId="0" fontId="40" fillId="0" borderId="57" xfId="0" applyFont="1" applyBorder="1" applyAlignment="1" applyProtection="1">
      <alignment vertical="center"/>
      <protection locked="0"/>
    </xf>
    <xf numFmtId="0" fontId="40" fillId="0" borderId="19" xfId="0" applyFont="1" applyBorder="1" applyAlignment="1" applyProtection="1">
      <alignment vertical="center"/>
      <protection locked="0"/>
    </xf>
    <xf numFmtId="43" fontId="40" fillId="0" borderId="19" xfId="0" applyNumberFormat="1" applyFont="1" applyBorder="1" applyAlignment="1" applyProtection="1">
      <alignment vertical="center"/>
      <protection locked="0"/>
    </xf>
    <xf numFmtId="43" fontId="40" fillId="0" borderId="20" xfId="0" applyNumberFormat="1" applyFont="1" applyBorder="1" applyAlignment="1" applyProtection="1">
      <alignment vertical="center"/>
      <protection locked="0"/>
    </xf>
    <xf numFmtId="43" fontId="40" fillId="0" borderId="57" xfId="0" applyNumberFormat="1" applyFont="1" applyBorder="1" applyAlignment="1" applyProtection="1">
      <alignment vertical="center"/>
      <protection locked="0"/>
    </xf>
    <xf numFmtId="0" fontId="27" fillId="0" borderId="56" xfId="53" applyFont="1" applyBorder="1" applyAlignment="1">
      <alignment vertical="center" wrapText="1"/>
      <protection/>
    </xf>
    <xf numFmtId="0" fontId="27" fillId="0" borderId="56" xfId="53" applyFont="1" applyBorder="1" applyAlignment="1">
      <alignment horizontal="left" vertical="center" wrapText="1"/>
      <protection/>
    </xf>
    <xf numFmtId="0" fontId="28" fillId="0" borderId="0" xfId="53" applyFont="1" applyFill="1" applyAlignment="1">
      <alignment vertical="center"/>
      <protection/>
    </xf>
    <xf numFmtId="0" fontId="27" fillId="0" borderId="17" xfId="53" applyFont="1" applyBorder="1" applyAlignment="1">
      <alignment horizontal="center" vertical="center" wrapText="1"/>
      <protection/>
    </xf>
    <xf numFmtId="0" fontId="28" fillId="0" borderId="0" xfId="53" applyFont="1" applyAlignment="1">
      <alignment vertical="center"/>
      <protection/>
    </xf>
    <xf numFmtId="173" fontId="28" fillId="0" borderId="17" xfId="45" applyNumberFormat="1" applyFont="1" applyBorder="1" applyAlignment="1" applyProtection="1">
      <alignment vertical="center" wrapText="1"/>
      <protection/>
    </xf>
    <xf numFmtId="173" fontId="28" fillId="0" borderId="17" xfId="45" applyNumberFormat="1" applyFont="1" applyBorder="1" applyAlignment="1" applyProtection="1">
      <alignment vertical="center" wrapText="1"/>
      <protection locked="0"/>
    </xf>
    <xf numFmtId="0" fontId="28" fillId="0" borderId="12" xfId="53" applyFont="1" applyBorder="1" applyAlignment="1" applyProtection="1">
      <alignment horizontal="left" vertical="center" wrapText="1"/>
      <protection locked="0"/>
    </xf>
    <xf numFmtId="0" fontId="28" fillId="0" borderId="12" xfId="53" applyFont="1" applyBorder="1" applyAlignment="1" applyProtection="1">
      <alignment horizontal="center" vertical="center" wrapText="1"/>
      <protection locked="0"/>
    </xf>
    <xf numFmtId="171" fontId="28" fillId="0" borderId="0" xfId="53" applyNumberFormat="1" applyFont="1" applyAlignment="1">
      <alignment vertical="center"/>
      <protection/>
    </xf>
    <xf numFmtId="173" fontId="27" fillId="0" borderId="17" xfId="45" applyNumberFormat="1" applyFont="1" applyBorder="1" applyAlignment="1" applyProtection="1">
      <alignment vertical="center"/>
      <protection/>
    </xf>
    <xf numFmtId="173" fontId="27" fillId="0" borderId="12" xfId="45" applyNumberFormat="1" applyFont="1" applyBorder="1" applyAlignment="1" applyProtection="1">
      <alignment vertical="center"/>
      <protection locked="0"/>
    </xf>
    <xf numFmtId="0" fontId="27" fillId="0" borderId="0" xfId="53" applyFont="1" applyAlignment="1">
      <alignment vertical="center"/>
      <protection/>
    </xf>
    <xf numFmtId="0" fontId="28" fillId="0" borderId="56" xfId="53" applyFont="1" applyBorder="1" applyAlignment="1">
      <alignment vertical="center"/>
      <protection/>
    </xf>
    <xf numFmtId="0" fontId="28" fillId="0" borderId="17" xfId="53" applyFont="1" applyBorder="1" applyAlignment="1" applyProtection="1">
      <alignment vertical="center"/>
      <protection locked="0"/>
    </xf>
    <xf numFmtId="2" fontId="28" fillId="0" borderId="17" xfId="53" applyNumberFormat="1" applyFont="1" applyBorder="1" applyAlignment="1" applyProtection="1">
      <alignment vertical="center"/>
      <protection locked="0"/>
    </xf>
    <xf numFmtId="0" fontId="28" fillId="0" borderId="12" xfId="53" applyFont="1" applyBorder="1" applyAlignment="1" applyProtection="1">
      <alignment vertical="center"/>
      <protection locked="0"/>
    </xf>
    <xf numFmtId="173" fontId="28" fillId="0" borderId="17" xfId="45" applyNumberFormat="1" applyFont="1" applyFill="1" applyBorder="1" applyAlignment="1" applyProtection="1">
      <alignment vertical="center" wrapText="1"/>
      <protection locked="0"/>
    </xf>
    <xf numFmtId="173" fontId="27" fillId="0" borderId="17" xfId="45" applyNumberFormat="1" applyFont="1" applyFill="1" applyBorder="1" applyAlignment="1" applyProtection="1">
      <alignment vertical="center"/>
      <protection/>
    </xf>
    <xf numFmtId="0" fontId="27" fillId="0" borderId="12" xfId="53" applyFont="1" applyBorder="1" applyAlignment="1" applyProtection="1">
      <alignment vertical="center"/>
      <protection locked="0"/>
    </xf>
    <xf numFmtId="0" fontId="27" fillId="0" borderId="57" xfId="53" applyFont="1" applyBorder="1" applyAlignment="1">
      <alignment horizontal="left" vertical="center" wrapText="1"/>
      <protection/>
    </xf>
    <xf numFmtId="173" fontId="28" fillId="0" borderId="19" xfId="45" applyNumberFormat="1" applyFont="1" applyBorder="1" applyAlignment="1" applyProtection="1">
      <alignment vertical="center" wrapText="1"/>
      <protection/>
    </xf>
    <xf numFmtId="173" fontId="28" fillId="0" borderId="19" xfId="45" applyNumberFormat="1" applyFont="1" applyFill="1" applyBorder="1" applyAlignment="1" applyProtection="1">
      <alignment vertical="center" wrapText="1"/>
      <protection locked="0"/>
    </xf>
    <xf numFmtId="0" fontId="28" fillId="0" borderId="20" xfId="53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 vertical="center"/>
    </xf>
    <xf numFmtId="4" fontId="40" fillId="0" borderId="0" xfId="63" applyNumberFormat="1" applyFont="1" applyAlignment="1">
      <alignment vertical="center"/>
      <protection/>
    </xf>
    <xf numFmtId="0" fontId="39" fillId="0" borderId="0" xfId="63" applyFont="1" applyAlignment="1">
      <alignment vertical="center"/>
      <protection/>
    </xf>
    <xf numFmtId="0" fontId="39" fillId="0" borderId="0" xfId="63" applyFont="1" applyAlignment="1">
      <alignment horizontal="center" vertical="center"/>
      <protection/>
    </xf>
    <xf numFmtId="0" fontId="40" fillId="0" borderId="0" xfId="63" applyFont="1" applyAlignment="1">
      <alignment horizontal="center" vertical="center"/>
      <protection/>
    </xf>
    <xf numFmtId="4" fontId="40" fillId="0" borderId="0" xfId="63" applyNumberFormat="1" applyFont="1" applyAlignment="1">
      <alignment horizontal="center" vertical="center"/>
      <protection/>
    </xf>
    <xf numFmtId="0" fontId="39" fillId="0" borderId="18" xfId="63" applyFont="1" applyFill="1" applyBorder="1" applyAlignment="1">
      <alignment horizontal="center" vertical="center" wrapText="1"/>
      <protection/>
    </xf>
    <xf numFmtId="0" fontId="39" fillId="0" borderId="17" xfId="63" applyFont="1" applyFill="1" applyBorder="1" applyAlignment="1">
      <alignment horizontal="center" vertical="center" wrapText="1"/>
      <protection/>
    </xf>
    <xf numFmtId="0" fontId="39" fillId="0" borderId="58" xfId="63" applyFont="1" applyFill="1" applyBorder="1" applyAlignment="1">
      <alignment vertical="center" wrapText="1"/>
      <protection/>
    </xf>
    <xf numFmtId="4" fontId="40" fillId="0" borderId="66" xfId="63" applyNumberFormat="1" applyFont="1" applyBorder="1" applyAlignment="1">
      <alignment horizontal="center" vertical="center"/>
      <protection/>
    </xf>
    <xf numFmtId="4" fontId="40" fillId="0" borderId="66" xfId="63" applyNumberFormat="1" applyFont="1" applyFill="1" applyBorder="1" applyAlignment="1">
      <alignment horizontal="center" vertical="center" wrapText="1"/>
      <protection/>
    </xf>
    <xf numFmtId="4" fontId="40" fillId="0" borderId="17" xfId="63" applyNumberFormat="1" applyFont="1" applyFill="1" applyBorder="1" applyAlignment="1">
      <alignment horizontal="center" vertical="center" wrapText="1"/>
      <protection/>
    </xf>
    <xf numFmtId="0" fontId="39" fillId="0" borderId="48" xfId="63" applyFont="1" applyFill="1" applyBorder="1" applyAlignment="1">
      <alignment horizontal="center" vertical="center" wrapText="1"/>
      <protection/>
    </xf>
    <xf numFmtId="0" fontId="39" fillId="0" borderId="11" xfId="63" applyFont="1" applyFill="1" applyBorder="1" applyAlignment="1">
      <alignment horizontal="center" vertical="center" wrapText="1"/>
      <protection/>
    </xf>
    <xf numFmtId="4" fontId="39" fillId="0" borderId="12" xfId="63" applyNumberFormat="1" applyFont="1" applyFill="1" applyBorder="1" applyAlignment="1">
      <alignment horizontal="center" vertical="center" wrapText="1"/>
      <protection/>
    </xf>
    <xf numFmtId="4" fontId="70" fillId="0" borderId="0" xfId="63" applyNumberFormat="1" applyFont="1" applyAlignment="1">
      <alignment vertical="center"/>
      <protection/>
    </xf>
    <xf numFmtId="4" fontId="40" fillId="0" borderId="56" xfId="63" applyNumberFormat="1" applyFont="1" applyFill="1" applyBorder="1" applyAlignment="1" quotePrefix="1">
      <alignment horizontal="center" vertical="center" wrapText="1"/>
      <protection/>
    </xf>
    <xf numFmtId="0" fontId="40" fillId="0" borderId="17" xfId="63" applyFont="1" applyFill="1" applyBorder="1" applyAlignment="1">
      <alignment horizontal="center" vertical="center"/>
      <protection/>
    </xf>
    <xf numFmtId="173" fontId="40" fillId="0" borderId="17" xfId="63" applyNumberFormat="1" applyFont="1" applyFill="1" applyBorder="1" applyAlignment="1">
      <alignment horizontal="center" vertical="center" wrapText="1"/>
      <protection/>
    </xf>
    <xf numFmtId="4" fontId="40" fillId="0" borderId="12" xfId="63" applyNumberFormat="1" applyFont="1" applyFill="1" applyBorder="1" applyAlignment="1">
      <alignment horizontal="center" vertical="center" wrapText="1"/>
      <protection/>
    </xf>
    <xf numFmtId="4" fontId="70" fillId="0" borderId="0" xfId="63" applyNumberFormat="1" applyFont="1" applyAlignment="1">
      <alignment horizontal="center" vertical="center"/>
      <protection/>
    </xf>
    <xf numFmtId="4" fontId="40" fillId="0" borderId="56" xfId="63" applyNumberFormat="1" applyFont="1" applyFill="1" applyBorder="1" applyAlignment="1">
      <alignment horizontal="center" vertical="center" wrapText="1"/>
      <protection/>
    </xf>
    <xf numFmtId="173" fontId="40" fillId="0" borderId="17" xfId="63" applyNumberFormat="1" applyFont="1" applyBorder="1" applyAlignment="1">
      <alignment horizontal="center" vertical="center"/>
      <protection/>
    </xf>
    <xf numFmtId="0" fontId="40" fillId="0" borderId="17" xfId="63" applyNumberFormat="1" applyFont="1" applyBorder="1" applyAlignment="1">
      <alignment horizontal="center" vertical="center"/>
      <protection/>
    </xf>
    <xf numFmtId="4" fontId="40" fillId="0" borderId="63" xfId="63" applyNumberFormat="1" applyFont="1" applyFill="1" applyBorder="1" applyAlignment="1">
      <alignment horizontal="center" vertical="center" wrapText="1"/>
      <protection/>
    </xf>
    <xf numFmtId="0" fontId="40" fillId="0" borderId="48" xfId="63" applyFont="1" applyFill="1" applyBorder="1" applyAlignment="1">
      <alignment horizontal="center" vertical="center"/>
      <protection/>
    </xf>
    <xf numFmtId="4" fontId="40" fillId="0" borderId="48" xfId="63" applyNumberFormat="1" applyFont="1" applyFill="1" applyBorder="1" applyAlignment="1">
      <alignment horizontal="center" vertical="center" wrapText="1"/>
      <protection/>
    </xf>
    <xf numFmtId="169" fontId="40" fillId="0" borderId="48" xfId="63" applyNumberFormat="1" applyFont="1" applyFill="1" applyBorder="1" applyAlignment="1">
      <alignment horizontal="right" vertical="center" wrapText="1"/>
      <protection/>
    </xf>
    <xf numFmtId="0" fontId="40" fillId="0" borderId="48" xfId="63" applyNumberFormat="1" applyFont="1" applyBorder="1" applyAlignment="1">
      <alignment horizontal="center" vertical="center"/>
      <protection/>
    </xf>
    <xf numFmtId="4" fontId="40" fillId="0" borderId="25" xfId="63" applyNumberFormat="1" applyFont="1" applyFill="1" applyBorder="1" applyAlignment="1">
      <alignment horizontal="center" vertical="center" wrapText="1"/>
      <protection/>
    </xf>
    <xf numFmtId="49" fontId="40" fillId="0" borderId="85" xfId="63" applyNumberFormat="1" applyFont="1" applyBorder="1" applyAlignment="1">
      <alignment horizontal="center" vertical="center"/>
      <protection/>
    </xf>
    <xf numFmtId="0" fontId="40" fillId="0" borderId="102" xfId="63" applyFont="1" applyBorder="1" applyAlignment="1">
      <alignment horizontal="center" vertical="center"/>
      <protection/>
    </xf>
    <xf numFmtId="0" fontId="40" fillId="0" borderId="85" xfId="63" applyFont="1" applyBorder="1" applyAlignment="1">
      <alignment horizontal="center" vertical="center"/>
      <protection/>
    </xf>
    <xf numFmtId="0" fontId="40" fillId="0" borderId="85" xfId="63" applyNumberFormat="1" applyFont="1" applyBorder="1" applyAlignment="1" applyProtection="1">
      <alignment horizontal="center" vertical="center"/>
      <protection locked="0"/>
    </xf>
    <xf numFmtId="4" fontId="39" fillId="0" borderId="85" xfId="63" applyNumberFormat="1" applyFont="1" applyBorder="1" applyAlignment="1" applyProtection="1">
      <alignment horizontal="right" vertical="center"/>
      <protection locked="0"/>
    </xf>
    <xf numFmtId="4" fontId="40" fillId="0" borderId="85" xfId="63" applyNumberFormat="1" applyFont="1" applyBorder="1" applyAlignment="1">
      <alignment horizontal="center" vertical="center"/>
      <protection/>
    </xf>
    <xf numFmtId="4" fontId="40" fillId="0" borderId="0" xfId="63" applyNumberFormat="1" applyFont="1" applyFill="1" applyBorder="1" applyAlignment="1">
      <alignment horizontal="center" vertical="center" wrapText="1"/>
      <protection/>
    </xf>
    <xf numFmtId="0" fontId="40" fillId="0" borderId="0" xfId="63" applyFont="1" applyFill="1" applyBorder="1" applyAlignment="1">
      <alignment horizontal="center" vertical="center"/>
      <protection/>
    </xf>
    <xf numFmtId="0" fontId="40" fillId="0" borderId="0" xfId="63" applyNumberFormat="1" applyFont="1" applyFill="1" applyBorder="1" applyAlignment="1">
      <alignment horizontal="center" vertical="center" wrapText="1"/>
      <protection/>
    </xf>
    <xf numFmtId="0" fontId="40" fillId="0" borderId="0" xfId="63" applyNumberFormat="1" applyFont="1" applyBorder="1" applyAlignment="1">
      <alignment horizontal="center" vertical="center"/>
      <protection/>
    </xf>
    <xf numFmtId="3" fontId="40" fillId="0" borderId="0" xfId="63" applyNumberFormat="1" applyFont="1" applyFill="1" applyBorder="1" applyAlignment="1">
      <alignment horizontal="center" vertical="center" wrapText="1"/>
      <protection/>
    </xf>
    <xf numFmtId="0" fontId="26" fillId="0" borderId="0" xfId="53" applyFont="1" applyAlignment="1">
      <alignment horizontal="center"/>
      <protection/>
    </xf>
    <xf numFmtId="0" fontId="61" fillId="0" borderId="0" xfId="53" applyFont="1" applyAlignment="1">
      <alignment horizontal="center" vertical="center"/>
      <protection/>
    </xf>
    <xf numFmtId="173" fontId="40" fillId="0" borderId="11" xfId="63" applyNumberFormat="1" applyFont="1" applyFill="1" applyBorder="1" applyAlignment="1">
      <alignment horizontal="center" vertical="center" wrapText="1"/>
      <protection/>
    </xf>
    <xf numFmtId="169" fontId="40" fillId="0" borderId="17" xfId="63" applyNumberFormat="1" applyFont="1" applyFill="1" applyBorder="1" applyAlignment="1">
      <alignment horizontal="center" vertical="center" wrapText="1"/>
      <protection/>
    </xf>
    <xf numFmtId="169" fontId="40" fillId="0" borderId="48" xfId="63" applyNumberFormat="1" applyFont="1" applyFill="1" applyBorder="1" applyAlignment="1">
      <alignment horizontal="center" vertical="center" wrapText="1"/>
      <protection/>
    </xf>
    <xf numFmtId="4" fontId="39" fillId="0" borderId="85" xfId="63" applyNumberFormat="1" applyFont="1" applyBorder="1" applyAlignment="1" applyProtection="1">
      <alignment horizontal="center" vertical="center"/>
      <protection locked="0"/>
    </xf>
    <xf numFmtId="0" fontId="40" fillId="0" borderId="0" xfId="0" applyFont="1" applyAlignment="1">
      <alignment horizontal="center" vertical="center"/>
    </xf>
    <xf numFmtId="0" fontId="61" fillId="0" borderId="0" xfId="53" applyFont="1" applyAlignment="1">
      <alignment horizontal="left"/>
      <protection/>
    </xf>
    <xf numFmtId="17" fontId="26" fillId="0" borderId="0" xfId="53" applyNumberFormat="1" applyFont="1" applyFill="1" applyBorder="1" applyAlignment="1">
      <alignment horizontal="center"/>
      <protection/>
    </xf>
    <xf numFmtId="0" fontId="26" fillId="0" borderId="0" xfId="53" applyFont="1" applyFill="1" applyBorder="1" applyAlignment="1">
      <alignment horizontal="center"/>
      <protection/>
    </xf>
    <xf numFmtId="0" fontId="40" fillId="0" borderId="48" xfId="63" applyNumberFormat="1" applyFont="1" applyFill="1" applyBorder="1" applyAlignment="1">
      <alignment horizontal="right" vertical="center" wrapText="1"/>
      <protection/>
    </xf>
    <xf numFmtId="0" fontId="39" fillId="8" borderId="92" xfId="0" applyFont="1" applyFill="1" applyBorder="1" applyAlignment="1">
      <alignment horizontal="center" vertical="center" wrapText="1"/>
    </xf>
    <xf numFmtId="4" fontId="0" fillId="0" borderId="17" xfId="0" applyNumberFormat="1" applyFont="1" applyBorder="1" applyAlignment="1">
      <alignment vertical="center"/>
    </xf>
    <xf numFmtId="4" fontId="0" fillId="0" borderId="17" xfId="0" applyNumberFormat="1" applyFont="1" applyFill="1" applyBorder="1" applyAlignment="1">
      <alignment vertical="center"/>
    </xf>
    <xf numFmtId="0" fontId="51" fillId="0" borderId="17" xfId="63" applyFont="1" applyFill="1" applyBorder="1" applyAlignment="1">
      <alignment horizontal="center" vertical="center"/>
      <protection/>
    </xf>
    <xf numFmtId="4" fontId="51" fillId="0" borderId="17" xfId="63" applyNumberFormat="1" applyFont="1" applyFill="1" applyBorder="1" applyAlignment="1">
      <alignment horizontal="center" vertical="center" wrapText="1"/>
      <protection/>
    </xf>
    <xf numFmtId="173" fontId="51" fillId="0" borderId="17" xfId="63" applyNumberFormat="1" applyFont="1" applyFill="1" applyBorder="1" applyAlignment="1">
      <alignment horizontal="center" vertical="center" wrapText="1"/>
      <protection/>
    </xf>
    <xf numFmtId="173" fontId="51" fillId="0" borderId="17" xfId="63" applyNumberFormat="1" applyFont="1" applyFill="1" applyBorder="1" applyAlignment="1">
      <alignment horizontal="right" vertical="center" wrapText="1"/>
      <protection/>
    </xf>
    <xf numFmtId="14" fontId="51" fillId="0" borderId="17" xfId="63" applyNumberFormat="1" applyFont="1" applyFill="1" applyBorder="1" applyAlignment="1">
      <alignment horizontal="center" vertical="center" wrapText="1"/>
      <protection/>
    </xf>
    <xf numFmtId="0" fontId="51" fillId="0" borderId="17" xfId="63" applyNumberFormat="1" applyFont="1" applyFill="1" applyBorder="1" applyAlignment="1">
      <alignment horizontal="right" vertical="center" wrapText="1"/>
      <protection/>
    </xf>
    <xf numFmtId="49" fontId="51" fillId="0" borderId="85" xfId="63" applyNumberFormat="1" applyFont="1" applyBorder="1" applyAlignment="1">
      <alignment horizontal="center" vertical="center"/>
      <protection/>
    </xf>
    <xf numFmtId="0" fontId="51" fillId="0" borderId="102" xfId="63" applyFont="1" applyBorder="1" applyAlignment="1">
      <alignment horizontal="center" vertical="center"/>
      <protection/>
    </xf>
    <xf numFmtId="0" fontId="51" fillId="0" borderId="85" xfId="63" applyFont="1" applyBorder="1" applyAlignment="1">
      <alignment horizontal="center" vertical="center"/>
      <protection/>
    </xf>
    <xf numFmtId="0" fontId="51" fillId="0" borderId="85" xfId="63" applyNumberFormat="1" applyFont="1" applyBorder="1" applyAlignment="1" applyProtection="1">
      <alignment horizontal="center" vertical="center"/>
      <protection locked="0"/>
    </xf>
    <xf numFmtId="4" fontId="41" fillId="0" borderId="85" xfId="63" applyNumberFormat="1" applyFont="1" applyBorder="1" applyAlignment="1" applyProtection="1">
      <alignment horizontal="right" vertical="center"/>
      <protection locked="0"/>
    </xf>
    <xf numFmtId="0" fontId="51" fillId="0" borderId="94" xfId="63" applyFont="1" applyBorder="1" applyAlignment="1">
      <alignment horizontal="center" vertical="center"/>
      <protection/>
    </xf>
    <xf numFmtId="173" fontId="51" fillId="0" borderId="17" xfId="63" applyNumberFormat="1" applyFont="1" applyBorder="1" applyAlignment="1">
      <alignment horizontal="right" vertical="center"/>
      <protection/>
    </xf>
    <xf numFmtId="169" fontId="51" fillId="0" borderId="48" xfId="63" applyNumberFormat="1" applyFont="1" applyFill="1" applyBorder="1" applyAlignment="1">
      <alignment horizontal="right" vertical="center" wrapText="1"/>
      <protection/>
    </xf>
    <xf numFmtId="0" fontId="51" fillId="0" borderId="48" xfId="63" applyFont="1" applyFill="1" applyBorder="1" applyAlignment="1">
      <alignment horizontal="center" vertical="center"/>
      <protection/>
    </xf>
    <xf numFmtId="4" fontId="51" fillId="0" borderId="48" xfId="63" applyNumberFormat="1" applyFont="1" applyFill="1" applyBorder="1" applyAlignment="1">
      <alignment horizontal="center" vertical="center" wrapText="1"/>
      <protection/>
    </xf>
    <xf numFmtId="0" fontId="51" fillId="0" borderId="48" xfId="63" applyNumberFormat="1" applyFont="1" applyFill="1" applyBorder="1" applyAlignment="1">
      <alignment horizontal="right" vertical="center" wrapText="1"/>
      <protection/>
    </xf>
    <xf numFmtId="173" fontId="51" fillId="0" borderId="48" xfId="63" applyNumberFormat="1" applyFont="1" applyBorder="1" applyAlignment="1">
      <alignment horizontal="right" vertical="center"/>
      <protection/>
    </xf>
    <xf numFmtId="43" fontId="40" fillId="0" borderId="12" xfId="0" applyNumberFormat="1" applyFont="1" applyBorder="1" applyAlignment="1" applyProtection="1">
      <alignment horizontal="center" vertical="center" wrapText="1"/>
      <protection locked="0"/>
    </xf>
    <xf numFmtId="43" fontId="40" fillId="0" borderId="17" xfId="0" applyNumberFormat="1" applyFont="1" applyBorder="1" applyAlignment="1" applyProtection="1">
      <alignment horizontal="center" vertical="center" wrapText="1"/>
      <protection locked="0"/>
    </xf>
    <xf numFmtId="173" fontId="39" fillId="0" borderId="0" xfId="0" applyNumberFormat="1" applyFont="1" applyBorder="1" applyAlignment="1" applyProtection="1">
      <alignment horizontal="center" vertical="center" wrapText="1"/>
      <protection locked="0"/>
    </xf>
    <xf numFmtId="173" fontId="39" fillId="0" borderId="0" xfId="0" applyNumberFormat="1" applyFont="1" applyBorder="1" applyAlignment="1" applyProtection="1">
      <alignment horizontal="left" vertical="center" wrapText="1"/>
      <protection locked="0"/>
    </xf>
    <xf numFmtId="174" fontId="39" fillId="0" borderId="0" xfId="45" applyNumberFormat="1" applyFont="1" applyFill="1" applyBorder="1" applyAlignment="1" applyProtection="1">
      <alignment vertical="center" wrapText="1"/>
      <protection/>
    </xf>
    <xf numFmtId="174" fontId="39" fillId="0" borderId="0" xfId="45" applyNumberFormat="1" applyFont="1" applyFill="1" applyBorder="1" applyAlignment="1" applyProtection="1">
      <alignment vertical="center" wrapText="1"/>
      <protection locked="0"/>
    </xf>
    <xf numFmtId="173" fontId="39" fillId="0" borderId="0" xfId="45" applyNumberFormat="1" applyFont="1" applyBorder="1" applyAlignment="1" applyProtection="1">
      <alignment vertical="center" wrapText="1"/>
      <protection locked="0"/>
    </xf>
    <xf numFmtId="173" fontId="39" fillId="0" borderId="0" xfId="45" applyNumberFormat="1" applyFont="1" applyFill="1" applyBorder="1" applyAlignment="1" applyProtection="1">
      <alignment vertical="center" wrapText="1"/>
      <protection/>
    </xf>
    <xf numFmtId="0" fontId="40" fillId="0" borderId="17" xfId="0" applyFont="1" applyBorder="1" applyAlignment="1" applyProtection="1">
      <alignment vertical="center" wrapText="1"/>
      <protection locked="0"/>
    </xf>
    <xf numFmtId="168" fontId="39" fillId="0" borderId="17" xfId="45" applyFont="1" applyBorder="1" applyAlignment="1" applyProtection="1">
      <alignment vertical="center" wrapText="1"/>
      <protection locked="0"/>
    </xf>
    <xf numFmtId="168" fontId="40" fillId="0" borderId="17" xfId="45" applyFont="1" applyBorder="1" applyAlignment="1" applyProtection="1">
      <alignment vertical="center" wrapText="1"/>
      <protection locked="0"/>
    </xf>
    <xf numFmtId="173" fontId="40" fillId="0" borderId="17" xfId="45" applyNumberFormat="1" applyFont="1" applyBorder="1" applyAlignment="1" applyProtection="1">
      <alignment vertical="center" wrapText="1"/>
      <protection locked="0"/>
    </xf>
    <xf numFmtId="174" fontId="39" fillId="0" borderId="17" xfId="45" applyNumberFormat="1" applyFont="1" applyBorder="1" applyAlignment="1" applyProtection="1">
      <alignment vertical="center" wrapText="1"/>
      <protection/>
    </xf>
    <xf numFmtId="10" fontId="45" fillId="0" borderId="17" xfId="69" applyNumberFormat="1" applyFont="1" applyBorder="1" applyAlignment="1" applyProtection="1">
      <alignment vertical="center" wrapText="1"/>
      <protection locked="0"/>
    </xf>
    <xf numFmtId="173" fontId="40" fillId="0" borderId="17" xfId="69" applyNumberFormat="1" applyFont="1" applyBorder="1" applyAlignment="1" applyProtection="1">
      <alignment vertical="center" wrapText="1"/>
      <protection locked="0"/>
    </xf>
    <xf numFmtId="173" fontId="40" fillId="0" borderId="17" xfId="0" applyNumberFormat="1" applyFont="1" applyBorder="1" applyAlignment="1" applyProtection="1">
      <alignment vertical="center" wrapText="1"/>
      <protection locked="0"/>
    </xf>
    <xf numFmtId="173" fontId="39" fillId="0" borderId="17" xfId="0" applyNumberFormat="1" applyFont="1" applyBorder="1" applyAlignment="1" applyProtection="1">
      <alignment horizontal="left" vertical="center" wrapText="1"/>
      <protection locked="0"/>
    </xf>
    <xf numFmtId="174" fontId="39" fillId="0" borderId="17" xfId="45" applyNumberFormat="1" applyFont="1" applyFill="1" applyBorder="1" applyAlignment="1" applyProtection="1">
      <alignment vertical="center" wrapText="1"/>
      <protection/>
    </xf>
    <xf numFmtId="174" fontId="39" fillId="0" borderId="17" xfId="45" applyNumberFormat="1" applyFont="1" applyFill="1" applyBorder="1" applyAlignment="1" applyProtection="1">
      <alignment vertical="center" wrapText="1"/>
      <protection locked="0"/>
    </xf>
    <xf numFmtId="173" fontId="39" fillId="0" borderId="17" xfId="45" applyNumberFormat="1" applyFont="1" applyBorder="1" applyAlignment="1" applyProtection="1">
      <alignment vertical="center" wrapText="1"/>
      <protection locked="0"/>
    </xf>
    <xf numFmtId="173" fontId="39" fillId="0" borderId="17" xfId="45" applyNumberFormat="1" applyFont="1" applyFill="1" applyBorder="1" applyAlignment="1" applyProtection="1">
      <alignment vertical="center" wrapText="1"/>
      <protection/>
    </xf>
    <xf numFmtId="0" fontId="40" fillId="0" borderId="17" xfId="0" applyNumberFormat="1" applyFont="1" applyBorder="1" applyAlignment="1" applyProtection="1">
      <alignment vertical="center" wrapText="1"/>
      <protection locked="0"/>
    </xf>
    <xf numFmtId="10" fontId="40" fillId="0" borderId="17" xfId="69" applyNumberFormat="1" applyFont="1" applyBorder="1" applyAlignment="1" applyProtection="1">
      <alignment horizontal="center" vertical="center" wrapText="1"/>
      <protection locked="0"/>
    </xf>
    <xf numFmtId="0" fontId="46" fillId="0" borderId="17" xfId="0" applyFont="1" applyBorder="1" applyAlignment="1" applyProtection="1">
      <alignment vertical="center" wrapText="1"/>
      <protection locked="0"/>
    </xf>
    <xf numFmtId="168" fontId="46" fillId="0" borderId="17" xfId="45" applyFont="1" applyBorder="1" applyAlignment="1" applyProtection="1">
      <alignment vertical="center" wrapText="1"/>
      <protection locked="0"/>
    </xf>
    <xf numFmtId="173" fontId="39" fillId="0" borderId="17" xfId="0" applyNumberFormat="1" applyFont="1" applyBorder="1" applyAlignment="1" applyProtection="1">
      <alignment horizontal="center" vertical="center" wrapText="1"/>
      <protection locked="0"/>
    </xf>
    <xf numFmtId="0" fontId="71" fillId="0" borderId="0" xfId="53" applyFont="1">
      <alignment/>
      <protection/>
    </xf>
    <xf numFmtId="0" fontId="44" fillId="0" borderId="0" xfId="53" applyFont="1">
      <alignment/>
      <protection/>
    </xf>
    <xf numFmtId="0" fontId="71" fillId="0" borderId="0" xfId="53" applyFont="1" applyAlignment="1">
      <alignment vertical="center"/>
      <protection/>
    </xf>
    <xf numFmtId="17" fontId="44" fillId="16" borderId="17" xfId="53" applyNumberFormat="1" applyFont="1" applyFill="1" applyBorder="1" applyAlignment="1">
      <alignment horizontal="center"/>
      <protection/>
    </xf>
    <xf numFmtId="0" fontId="44" fillId="16" borderId="17" xfId="53" applyFont="1" applyFill="1" applyBorder="1" applyAlignment="1">
      <alignment horizontal="center"/>
      <protection/>
    </xf>
    <xf numFmtId="0" fontId="40" fillId="0" borderId="17" xfId="0" applyFont="1" applyBorder="1" applyAlignment="1">
      <alignment vertical="top" wrapText="1"/>
    </xf>
    <xf numFmtId="168" fontId="40" fillId="0" borderId="17" xfId="45" applyFont="1" applyBorder="1" applyAlignment="1">
      <alignment vertical="top" wrapText="1"/>
    </xf>
    <xf numFmtId="173" fontId="46" fillId="0" borderId="17" xfId="0" applyNumberFormat="1" applyFont="1" applyBorder="1" applyAlignment="1">
      <alignment vertical="top" wrapText="1"/>
    </xf>
    <xf numFmtId="0" fontId="46" fillId="0" borderId="17" xfId="0" applyFont="1" applyBorder="1" applyAlignment="1">
      <alignment horizontal="center" vertical="center" wrapText="1"/>
    </xf>
    <xf numFmtId="0" fontId="40" fillId="0" borderId="17" xfId="0" applyFont="1" applyFill="1" applyBorder="1" applyAlignment="1">
      <alignment vertical="top" wrapText="1"/>
    </xf>
    <xf numFmtId="168" fontId="40" fillId="0" borderId="17" xfId="45" applyFont="1" applyFill="1" applyBorder="1" applyAlignment="1">
      <alignment vertical="top" wrapText="1"/>
    </xf>
    <xf numFmtId="173" fontId="46" fillId="0" borderId="17" xfId="0" applyNumberFormat="1" applyFont="1" applyFill="1" applyBorder="1" applyAlignment="1">
      <alignment horizontal="center" wrapText="1"/>
    </xf>
    <xf numFmtId="173" fontId="46" fillId="0" borderId="17" xfId="0" applyNumberFormat="1" applyFont="1" applyFill="1" applyBorder="1" applyAlignment="1">
      <alignment vertical="top" wrapText="1"/>
    </xf>
    <xf numFmtId="173" fontId="40" fillId="0" borderId="17" xfId="69" applyNumberFormat="1" applyFont="1" applyBorder="1" applyAlignment="1">
      <alignment vertical="top" wrapText="1"/>
    </xf>
    <xf numFmtId="173" fontId="40" fillId="0" borderId="17" xfId="0" applyNumberFormat="1" applyFont="1" applyBorder="1" applyAlignment="1">
      <alignment vertical="top" wrapText="1"/>
    </xf>
    <xf numFmtId="173" fontId="39" fillId="0" borderId="17" xfId="45" applyNumberFormat="1" applyFont="1" applyBorder="1" applyAlignment="1">
      <alignment wrapText="1"/>
    </xf>
    <xf numFmtId="173" fontId="39" fillId="0" borderId="17" xfId="0" applyNumberFormat="1" applyFont="1" applyBorder="1" applyAlignment="1">
      <alignment horizontal="left" wrapText="1"/>
    </xf>
    <xf numFmtId="0" fontId="40" fillId="0" borderId="17" xfId="62" applyNumberFormat="1" applyFont="1" applyFill="1" applyBorder="1" applyAlignment="1" applyProtection="1">
      <alignment horizontal="center" vertical="center"/>
      <protection locked="0"/>
    </xf>
    <xf numFmtId="0" fontId="40" fillId="0" borderId="12" xfId="62" applyNumberFormat="1" applyFont="1" applyFill="1" applyBorder="1" applyAlignment="1" applyProtection="1">
      <alignment horizontal="center" vertical="center"/>
      <protection locked="0"/>
    </xf>
    <xf numFmtId="173" fontId="39" fillId="0" borderId="17" xfId="0" applyNumberFormat="1" applyFont="1" applyBorder="1" applyAlignment="1" applyProtection="1">
      <alignment vertical="center" wrapText="1"/>
      <protection locked="0"/>
    </xf>
    <xf numFmtId="4" fontId="40" fillId="0" borderId="11" xfId="0" applyNumberFormat="1" applyFont="1" applyBorder="1" applyAlignment="1">
      <alignment horizontal="center" vertical="center" wrapText="1"/>
    </xf>
    <xf numFmtId="3" fontId="40" fillId="0" borderId="17" xfId="0" applyNumberFormat="1" applyFont="1" applyBorder="1" applyAlignment="1">
      <alignment horizontal="center" vertical="center" wrapText="1"/>
    </xf>
    <xf numFmtId="3" fontId="39" fillId="0" borderId="19" xfId="0" applyNumberFormat="1" applyFont="1" applyBorder="1" applyAlignment="1">
      <alignment horizontal="center" vertical="center" wrapText="1"/>
    </xf>
    <xf numFmtId="2" fontId="40" fillId="0" borderId="0" xfId="64" applyNumberFormat="1" applyFont="1">
      <alignment/>
      <protection/>
    </xf>
    <xf numFmtId="4" fontId="0" fillId="0" borderId="0" xfId="0" applyNumberFormat="1" applyFont="1" applyFill="1" applyAlignment="1" applyProtection="1">
      <alignment vertical="center"/>
      <protection locked="0"/>
    </xf>
    <xf numFmtId="0" fontId="72" fillId="0" borderId="0" xfId="0" applyFont="1" applyBorder="1" applyAlignment="1">
      <alignment vertical="center"/>
    </xf>
    <xf numFmtId="173" fontId="72" fillId="0" borderId="0" xfId="0" applyNumberFormat="1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173" fontId="43" fillId="0" borderId="0" xfId="0" applyNumberFormat="1" applyFont="1" applyBorder="1" applyAlignment="1" applyProtection="1">
      <alignment vertical="center"/>
      <protection/>
    </xf>
    <xf numFmtId="0" fontId="72" fillId="0" borderId="0" xfId="53" applyFont="1" applyFill="1" applyBorder="1" applyAlignment="1">
      <alignment horizontal="left" vertical="center" wrapText="1"/>
      <protection/>
    </xf>
    <xf numFmtId="173" fontId="72" fillId="0" borderId="0" xfId="0" applyNumberFormat="1" applyFont="1" applyFill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 vertical="center" wrapText="1"/>
    </xf>
    <xf numFmtId="173" fontId="72" fillId="0" borderId="0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vertical="center" wrapText="1"/>
    </xf>
    <xf numFmtId="0" fontId="73" fillId="0" borderId="0" xfId="0" applyFont="1" applyAlignment="1">
      <alignment vertical="center"/>
    </xf>
    <xf numFmtId="0" fontId="43" fillId="0" borderId="0" xfId="53" applyFont="1" applyAlignment="1">
      <alignment horizontal="left" vertical="center" wrapText="1"/>
      <protection/>
    </xf>
    <xf numFmtId="2" fontId="72" fillId="0" borderId="0" xfId="53" applyNumberFormat="1" applyFont="1" applyAlignment="1">
      <alignment vertical="center"/>
      <protection/>
    </xf>
    <xf numFmtId="0" fontId="72" fillId="0" borderId="0" xfId="53" applyFont="1" applyAlignment="1">
      <alignment vertical="center"/>
      <protection/>
    </xf>
    <xf numFmtId="4" fontId="72" fillId="0" borderId="0" xfId="53" applyNumberFormat="1" applyFont="1" applyAlignment="1">
      <alignment vertical="center"/>
      <protection/>
    </xf>
    <xf numFmtId="0" fontId="72" fillId="0" borderId="0" xfId="0" applyFont="1" applyAlignment="1">
      <alignment vertical="center"/>
    </xf>
    <xf numFmtId="0" fontId="72" fillId="0" borderId="0" xfId="0" applyFont="1" applyFill="1" applyAlignment="1">
      <alignment vertical="center"/>
    </xf>
    <xf numFmtId="168" fontId="72" fillId="0" borderId="0" xfId="0" applyNumberFormat="1" applyFont="1" applyFill="1" applyAlignment="1">
      <alignment vertical="center"/>
    </xf>
    <xf numFmtId="0" fontId="72" fillId="0" borderId="0" xfId="0" applyFont="1" applyFill="1" applyAlignment="1">
      <alignment horizontal="right" vertical="center"/>
    </xf>
    <xf numFmtId="171" fontId="72" fillId="0" borderId="0" xfId="0" applyNumberFormat="1" applyFont="1" applyFill="1" applyAlignment="1">
      <alignment vertical="center"/>
    </xf>
    <xf numFmtId="174" fontId="72" fillId="0" borderId="0" xfId="0" applyNumberFormat="1" applyFont="1" applyFill="1" applyAlignment="1">
      <alignment vertical="center"/>
    </xf>
    <xf numFmtId="173" fontId="72" fillId="0" borderId="0" xfId="0" applyNumberFormat="1" applyFont="1" applyFill="1" applyAlignment="1">
      <alignment vertical="center"/>
    </xf>
    <xf numFmtId="0" fontId="75" fillId="0" borderId="0" xfId="53" applyFont="1" applyAlignment="1">
      <alignment horizontal="left" vertical="center" wrapText="1"/>
      <protection/>
    </xf>
    <xf numFmtId="4" fontId="72" fillId="0" borderId="0" xfId="62" applyNumberFormat="1" applyFont="1" applyAlignment="1">
      <alignment vertical="center"/>
      <protection/>
    </xf>
    <xf numFmtId="3" fontId="72" fillId="0" borderId="0" xfId="62" applyNumberFormat="1" applyFont="1" applyAlignment="1">
      <alignment vertical="center"/>
      <protection/>
    </xf>
    <xf numFmtId="0" fontId="72" fillId="0" borderId="0" xfId="62" applyFont="1" applyAlignment="1">
      <alignment vertical="center"/>
      <protection/>
    </xf>
    <xf numFmtId="49" fontId="76" fillId="0" borderId="0" xfId="60" applyNumberFormat="1" applyFont="1" applyFill="1" applyAlignment="1">
      <alignment horizontal="center" vertical="center"/>
      <protection/>
    </xf>
    <xf numFmtId="0" fontId="76" fillId="0" borderId="0" xfId="60" applyFont="1" applyFill="1" applyAlignment="1">
      <alignment horizontal="left" vertical="center" wrapText="1"/>
      <protection/>
    </xf>
    <xf numFmtId="4" fontId="76" fillId="0" borderId="0" xfId="60" applyNumberFormat="1" applyFont="1" applyFill="1" applyAlignment="1">
      <alignment vertical="center"/>
      <protection/>
    </xf>
    <xf numFmtId="49" fontId="76" fillId="11" borderId="0" xfId="60" applyNumberFormat="1" applyFont="1" applyFill="1" applyAlignment="1">
      <alignment horizontal="center" vertical="center"/>
      <protection/>
    </xf>
    <xf numFmtId="0" fontId="76" fillId="11" borderId="0" xfId="60" applyFont="1" applyFill="1" applyAlignment="1">
      <alignment horizontal="left" vertical="center" wrapText="1"/>
      <protection/>
    </xf>
    <xf numFmtId="4" fontId="76" fillId="11" borderId="0" xfId="60" applyNumberFormat="1" applyFont="1" applyFill="1" applyAlignment="1">
      <alignment vertical="center"/>
      <protection/>
    </xf>
    <xf numFmtId="2" fontId="72" fillId="0" borderId="0" xfId="0" applyNumberFormat="1" applyFont="1" applyFill="1" applyAlignment="1">
      <alignment vertical="center"/>
    </xf>
    <xf numFmtId="3" fontId="72" fillId="0" borderId="0" xfId="0" applyNumberFormat="1" applyFont="1" applyAlignment="1">
      <alignment vertical="center"/>
    </xf>
    <xf numFmtId="0" fontId="72" fillId="0" borderId="0" xfId="63" applyFont="1" applyAlignment="1">
      <alignment vertical="center"/>
      <protection/>
    </xf>
    <xf numFmtId="4" fontId="72" fillId="0" borderId="0" xfId="63" applyNumberFormat="1" applyFont="1" applyAlignment="1">
      <alignment vertical="center"/>
      <protection/>
    </xf>
    <xf numFmtId="0" fontId="72" fillId="0" borderId="0" xfId="63" applyFont="1" applyFill="1" applyAlignment="1">
      <alignment horizontal="center" vertical="center"/>
      <protection/>
    </xf>
    <xf numFmtId="0" fontId="72" fillId="0" borderId="0" xfId="63" applyFont="1" applyFill="1" applyAlignment="1">
      <alignment vertical="center"/>
      <protection/>
    </xf>
    <xf numFmtId="4" fontId="72" fillId="0" borderId="0" xfId="63" applyNumberFormat="1" applyFont="1" applyFill="1" applyAlignment="1">
      <alignment vertical="center"/>
      <protection/>
    </xf>
    <xf numFmtId="2" fontId="44" fillId="8" borderId="103" xfId="56" applyNumberFormat="1" applyFont="1" applyFill="1" applyBorder="1" applyAlignment="1">
      <alignment horizontal="center" vertical="center" wrapText="1"/>
      <protection/>
    </xf>
    <xf numFmtId="2" fontId="44" fillId="8" borderId="18" xfId="56" applyNumberFormat="1" applyFont="1" applyFill="1" applyBorder="1" applyAlignment="1">
      <alignment horizontal="center" vertical="center" wrapText="1"/>
      <protection/>
    </xf>
    <xf numFmtId="0" fontId="39" fillId="25" borderId="17" xfId="57" applyFont="1" applyFill="1" applyBorder="1" applyAlignment="1">
      <alignment horizontal="center" vertical="center" wrapText="1"/>
      <protection/>
    </xf>
    <xf numFmtId="2" fontId="44" fillId="0" borderId="12" xfId="57" applyNumberFormat="1" applyFont="1" applyFill="1" applyBorder="1" applyAlignment="1">
      <alignment horizontal="center" vertical="center"/>
      <protection/>
    </xf>
    <xf numFmtId="2" fontId="44" fillId="8" borderId="10" xfId="57" applyNumberFormat="1" applyFont="1" applyFill="1" applyBorder="1" applyAlignment="1" applyProtection="1">
      <alignment horizontal="center" vertical="center"/>
      <protection locked="0"/>
    </xf>
    <xf numFmtId="2" fontId="44" fillId="8" borderId="103" xfId="57" applyNumberFormat="1" applyFont="1" applyFill="1" applyBorder="1" applyAlignment="1" applyProtection="1">
      <alignment horizontal="center" vertical="center"/>
      <protection locked="0"/>
    </xf>
    <xf numFmtId="2" fontId="44" fillId="8" borderId="66" xfId="57" applyNumberFormat="1" applyFont="1" applyFill="1" applyBorder="1" applyAlignment="1" applyProtection="1">
      <alignment horizontal="center" vertical="center"/>
      <protection locked="0"/>
    </xf>
    <xf numFmtId="0" fontId="39" fillId="25" borderId="104" xfId="57" applyFont="1" applyFill="1" applyBorder="1" applyAlignment="1">
      <alignment horizontal="center" vertical="center" wrapText="1"/>
      <protection/>
    </xf>
    <xf numFmtId="0" fontId="39" fillId="25" borderId="105" xfId="57" applyFont="1" applyFill="1" applyBorder="1" applyAlignment="1">
      <alignment horizontal="center" vertical="center" wrapText="1"/>
      <protection/>
    </xf>
    <xf numFmtId="0" fontId="39" fillId="25" borderId="73" xfId="57" applyFont="1" applyFill="1" applyBorder="1" applyAlignment="1">
      <alignment horizontal="center" vertical="center" wrapText="1"/>
      <protection/>
    </xf>
    <xf numFmtId="3" fontId="39" fillId="8" borderId="43" xfId="0" applyNumberFormat="1" applyFont="1" applyFill="1" applyBorder="1" applyAlignment="1" applyProtection="1">
      <alignment horizontal="center" vertical="center"/>
      <protection/>
    </xf>
    <xf numFmtId="3" fontId="39" fillId="8" borderId="44" xfId="0" applyNumberFormat="1" applyFont="1" applyFill="1" applyBorder="1" applyAlignment="1" applyProtection="1">
      <alignment horizontal="center" vertical="center"/>
      <protection/>
    </xf>
    <xf numFmtId="3" fontId="39" fillId="8" borderId="41" xfId="0" applyNumberFormat="1" applyFont="1" applyFill="1" applyBorder="1" applyAlignment="1" applyProtection="1">
      <alignment horizontal="center" vertical="center"/>
      <protection/>
    </xf>
    <xf numFmtId="3" fontId="39" fillId="8" borderId="53" xfId="0" applyNumberFormat="1" applyFont="1" applyFill="1" applyBorder="1" applyAlignment="1" applyProtection="1">
      <alignment horizontal="center" vertical="center"/>
      <protection/>
    </xf>
    <xf numFmtId="2" fontId="44" fillId="0" borderId="63" xfId="57" applyNumberFormat="1" applyFont="1" applyFill="1" applyBorder="1" applyAlignment="1">
      <alignment horizontal="center" vertical="center"/>
      <protection/>
    </xf>
    <xf numFmtId="2" fontId="44" fillId="0" borderId="17" xfId="57" applyNumberFormat="1" applyFont="1" applyFill="1" applyBorder="1" applyAlignment="1">
      <alignment horizontal="center" vertical="center"/>
      <protection/>
    </xf>
    <xf numFmtId="173" fontId="40" fillId="8" borderId="38" xfId="61" applyNumberFormat="1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 horizontal="center" vertical="center"/>
    </xf>
    <xf numFmtId="2" fontId="41" fillId="0" borderId="45" xfId="0" applyNumberFormat="1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173" fontId="39" fillId="8" borderId="49" xfId="61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justify" vertical="justify" wrapText="1"/>
    </xf>
    <xf numFmtId="2" fontId="26" fillId="0" borderId="0" xfId="56" applyNumberFormat="1" applyFont="1" applyFill="1" applyBorder="1" applyAlignment="1">
      <alignment horizontal="left" vertical="center" wrapText="1"/>
      <protection/>
    </xf>
    <xf numFmtId="3" fontId="3" fillId="8" borderId="43" xfId="0" applyNumberFormat="1" applyFont="1" applyFill="1" applyBorder="1" applyAlignment="1" applyProtection="1">
      <alignment horizontal="center" vertical="center"/>
      <protection/>
    </xf>
    <xf numFmtId="3" fontId="3" fillId="8" borderId="44" xfId="0" applyNumberFormat="1" applyFont="1" applyFill="1" applyBorder="1" applyAlignment="1" applyProtection="1">
      <alignment horizontal="center" vertical="center"/>
      <protection/>
    </xf>
    <xf numFmtId="3" fontId="3" fillId="8" borderId="15" xfId="0" applyNumberFormat="1" applyFont="1" applyFill="1" applyBorder="1" applyAlignment="1" applyProtection="1">
      <alignment horizontal="center" vertical="center"/>
      <protection/>
    </xf>
    <xf numFmtId="3" fontId="3" fillId="8" borderId="26" xfId="0" applyNumberFormat="1" applyFont="1" applyFill="1" applyBorder="1" applyAlignment="1" applyProtection="1">
      <alignment horizontal="center" vertical="center"/>
      <protection/>
    </xf>
    <xf numFmtId="3" fontId="3" fillId="8" borderId="28" xfId="0" applyNumberFormat="1" applyFont="1" applyFill="1" applyBorder="1" applyAlignment="1" applyProtection="1">
      <alignment horizontal="center" vertical="center"/>
      <protection/>
    </xf>
    <xf numFmtId="3" fontId="3" fillId="8" borderId="29" xfId="0" applyNumberFormat="1" applyFont="1" applyFill="1" applyBorder="1" applyAlignment="1" applyProtection="1">
      <alignment horizontal="center" vertical="center"/>
      <protection/>
    </xf>
    <xf numFmtId="173" fontId="3" fillId="8" borderId="49" xfId="61" applyNumberFormat="1" applyFont="1" applyFill="1" applyBorder="1" applyAlignment="1" applyProtection="1">
      <alignment horizontal="center" vertical="center" wrapText="1"/>
      <protection/>
    </xf>
    <xf numFmtId="173" fontId="0" fillId="8" borderId="27" xfId="61" applyNumberFormat="1" applyFont="1" applyFill="1" applyBorder="1" applyAlignment="1">
      <alignment horizontal="center" vertical="center" wrapText="1"/>
      <protection/>
    </xf>
    <xf numFmtId="173" fontId="0" fillId="8" borderId="14" xfId="61" applyNumberFormat="1" applyFont="1" applyFill="1" applyBorder="1" applyAlignment="1">
      <alignment horizontal="center" vertical="center" wrapText="1"/>
      <protection/>
    </xf>
    <xf numFmtId="173" fontId="3" fillId="8" borderId="106" xfId="0" applyNumberFormat="1" applyFont="1" applyFill="1" applyBorder="1" applyAlignment="1" applyProtection="1">
      <alignment horizontal="center" vertical="center"/>
      <protection/>
    </xf>
    <xf numFmtId="173" fontId="0" fillId="8" borderId="107" xfId="0" applyNumberFormat="1" applyFont="1" applyFill="1" applyBorder="1" applyAlignment="1">
      <alignment horizontal="center" vertical="center"/>
    </xf>
    <xf numFmtId="173" fontId="0" fillId="8" borderId="108" xfId="0" applyNumberFormat="1" applyFont="1" applyFill="1" applyBorder="1" applyAlignment="1">
      <alignment horizontal="center" vertical="center"/>
    </xf>
    <xf numFmtId="3" fontId="3" fillId="0" borderId="109" xfId="0" applyNumberFormat="1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173" fontId="3" fillId="0" borderId="37" xfId="0" applyNumberFormat="1" applyFont="1" applyBorder="1" applyAlignment="1">
      <alignment vertical="center"/>
    </xf>
    <xf numFmtId="173" fontId="3" fillId="0" borderId="35" xfId="0" applyNumberFormat="1" applyFont="1" applyBorder="1" applyAlignment="1">
      <alignment vertical="center"/>
    </xf>
    <xf numFmtId="3" fontId="3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173" fontId="3" fillId="0" borderId="110" xfId="0" applyNumberFormat="1" applyFont="1" applyFill="1" applyBorder="1" applyAlignment="1">
      <alignment vertical="center"/>
    </xf>
    <xf numFmtId="173" fontId="0" fillId="0" borderId="111" xfId="0" applyNumberFormat="1" applyFont="1" applyBorder="1" applyAlignment="1">
      <alignment vertical="center"/>
    </xf>
    <xf numFmtId="0" fontId="56" fillId="25" borderId="70" xfId="59" applyFont="1" applyFill="1" applyBorder="1" applyAlignment="1">
      <alignment horizontal="center" vertical="center" wrapText="1"/>
      <protection/>
    </xf>
    <xf numFmtId="0" fontId="56" fillId="25" borderId="71" xfId="59" applyFont="1" applyFill="1" applyBorder="1" applyAlignment="1">
      <alignment horizontal="center" vertical="center" wrapText="1"/>
      <protection/>
    </xf>
    <xf numFmtId="2" fontId="57" fillId="8" borderId="56" xfId="59" applyNumberFormat="1" applyFont="1" applyFill="1" applyBorder="1" applyAlignment="1">
      <alignment horizontal="left" vertical="center"/>
      <protection/>
    </xf>
    <xf numFmtId="2" fontId="57" fillId="8" borderId="17" xfId="59" applyNumberFormat="1" applyFont="1" applyFill="1" applyBorder="1" applyAlignment="1">
      <alignment horizontal="left" vertical="center"/>
      <protection/>
    </xf>
    <xf numFmtId="2" fontId="57" fillId="8" borderId="12" xfId="59" applyNumberFormat="1" applyFont="1" applyFill="1" applyBorder="1" applyAlignment="1">
      <alignment horizontal="left" vertical="center"/>
      <protection/>
    </xf>
    <xf numFmtId="2" fontId="5" fillId="0" borderId="43" xfId="59" applyNumberFormat="1" applyFont="1" applyFill="1" applyBorder="1" applyAlignment="1">
      <alignment horizontal="left" vertical="center"/>
      <protection/>
    </xf>
    <xf numFmtId="2" fontId="5" fillId="0" borderId="54" xfId="59" applyNumberFormat="1" applyFont="1" applyFill="1" applyBorder="1" applyAlignment="1">
      <alignment horizontal="left" vertical="center"/>
      <protection/>
    </xf>
    <xf numFmtId="2" fontId="5" fillId="0" borderId="79" xfId="59" applyNumberFormat="1" applyFont="1" applyFill="1" applyBorder="1" applyAlignment="1">
      <alignment horizontal="left" vertical="center"/>
      <protection/>
    </xf>
    <xf numFmtId="173" fontId="39" fillId="8" borderId="106" xfId="0" applyNumberFormat="1" applyFont="1" applyFill="1" applyBorder="1" applyAlignment="1" applyProtection="1">
      <alignment horizontal="center" vertical="center"/>
      <protection/>
    </xf>
    <xf numFmtId="173" fontId="40" fillId="8" borderId="112" xfId="0" applyNumberFormat="1" applyFont="1" applyFill="1" applyBorder="1" applyAlignment="1">
      <alignment horizontal="center" vertical="center"/>
    </xf>
    <xf numFmtId="2" fontId="44" fillId="8" borderId="66" xfId="56" applyNumberFormat="1" applyFont="1" applyFill="1" applyBorder="1" applyAlignment="1">
      <alignment horizontal="center" vertical="center" wrapText="1"/>
      <protection/>
    </xf>
    <xf numFmtId="167" fontId="44" fillId="0" borderId="17" xfId="57" applyNumberFormat="1" applyFont="1" applyFill="1" applyBorder="1" applyAlignment="1">
      <alignment horizontal="center" vertical="center" wrapText="1"/>
      <protection/>
    </xf>
    <xf numFmtId="2" fontId="39" fillId="8" borderId="10" xfId="57" applyNumberFormat="1" applyFont="1" applyFill="1" applyBorder="1" applyAlignment="1">
      <alignment horizontal="center" vertical="center"/>
      <protection/>
    </xf>
    <xf numFmtId="2" fontId="39" fillId="8" borderId="103" xfId="57" applyNumberFormat="1" applyFont="1" applyFill="1" applyBorder="1" applyAlignment="1">
      <alignment horizontal="center" vertical="center"/>
      <protection/>
    </xf>
    <xf numFmtId="167" fontId="44" fillId="0" borderId="56" xfId="57" applyNumberFormat="1" applyFont="1" applyFill="1" applyBorder="1" applyAlignment="1">
      <alignment horizontal="center" vertical="center" wrapText="1"/>
      <protection/>
    </xf>
    <xf numFmtId="167" fontId="44" fillId="0" borderId="12" xfId="57" applyNumberFormat="1" applyFont="1" applyFill="1" applyBorder="1" applyAlignment="1">
      <alignment horizontal="center" vertical="center" wrapText="1"/>
      <protection/>
    </xf>
    <xf numFmtId="0" fontId="61" fillId="0" borderId="0" xfId="53" applyFont="1" applyAlignment="1">
      <alignment horizontal="left" vertical="center" wrapText="1"/>
      <protection/>
    </xf>
    <xf numFmtId="3" fontId="39" fillId="16" borderId="23" xfId="67" applyNumberFormat="1" applyFont="1" applyFill="1" applyBorder="1" applyAlignment="1">
      <alignment horizontal="left" vertical="center" wrapText="1"/>
      <protection/>
    </xf>
    <xf numFmtId="3" fontId="39" fillId="16" borderId="24" xfId="67" applyNumberFormat="1" applyFont="1" applyFill="1" applyBorder="1" applyAlignment="1">
      <alignment horizontal="left" vertical="center" wrapText="1"/>
      <protection/>
    </xf>
    <xf numFmtId="0" fontId="39" fillId="25" borderId="70" xfId="58" applyFont="1" applyFill="1" applyBorder="1" applyAlignment="1">
      <alignment horizontal="center" vertical="center" wrapText="1"/>
      <protection/>
    </xf>
    <xf numFmtId="0" fontId="39" fillId="25" borderId="71" xfId="58" applyFont="1" applyFill="1" applyBorder="1" applyAlignment="1">
      <alignment horizontal="center" vertical="center" wrapText="1"/>
      <protection/>
    </xf>
    <xf numFmtId="0" fontId="39" fillId="25" borderId="113" xfId="58" applyFont="1" applyFill="1" applyBorder="1" applyAlignment="1">
      <alignment horizontal="center" vertical="center" wrapText="1"/>
      <protection/>
    </xf>
    <xf numFmtId="2" fontId="44" fillId="8" borderId="16" xfId="58" applyNumberFormat="1" applyFont="1" applyFill="1" applyBorder="1" applyAlignment="1">
      <alignment horizontal="left" vertical="center" wrapText="1"/>
      <protection/>
    </xf>
    <xf numFmtId="2" fontId="44" fillId="8" borderId="102" xfId="58" applyNumberFormat="1" applyFont="1" applyFill="1" applyBorder="1" applyAlignment="1">
      <alignment horizontal="left" vertical="center" wrapText="1"/>
      <protection/>
    </xf>
    <xf numFmtId="2" fontId="44" fillId="0" borderId="104" xfId="58" applyNumberFormat="1" applyFont="1" applyFill="1" applyBorder="1" applyAlignment="1">
      <alignment horizontal="center" vertical="center" wrapText="1"/>
      <protection/>
    </xf>
    <xf numFmtId="2" fontId="44" fillId="0" borderId="105" xfId="58" applyNumberFormat="1" applyFont="1" applyFill="1" applyBorder="1" applyAlignment="1">
      <alignment horizontal="center" vertical="center" wrapText="1"/>
      <protection/>
    </xf>
    <xf numFmtId="2" fontId="44" fillId="0" borderId="114" xfId="58" applyNumberFormat="1" applyFont="1" applyFill="1" applyBorder="1" applyAlignment="1">
      <alignment horizontal="center" vertical="center" wrapText="1"/>
      <protection/>
    </xf>
    <xf numFmtId="3" fontId="39" fillId="16" borderId="16" xfId="67" applyNumberFormat="1" applyFont="1" applyFill="1" applyBorder="1" applyAlignment="1">
      <alignment horizontal="left" vertical="center" wrapText="1"/>
      <protection/>
    </xf>
    <xf numFmtId="3" fontId="39" fillId="16" borderId="102" xfId="67" applyNumberFormat="1" applyFont="1" applyFill="1" applyBorder="1" applyAlignment="1">
      <alignment horizontal="left" vertical="center" wrapText="1"/>
      <protection/>
    </xf>
    <xf numFmtId="0" fontId="39" fillId="8" borderId="16" xfId="0" applyFont="1" applyFill="1" applyBorder="1" applyAlignment="1">
      <alignment horizontal="center" vertical="center"/>
    </xf>
    <xf numFmtId="0" fontId="39" fillId="8" borderId="102" xfId="0" applyFont="1" applyFill="1" applyBorder="1" applyAlignment="1">
      <alignment horizontal="center" vertical="center"/>
    </xf>
    <xf numFmtId="0" fontId="39" fillId="8" borderId="80" xfId="0" applyFont="1" applyFill="1" applyBorder="1" applyAlignment="1">
      <alignment horizontal="center" vertical="center"/>
    </xf>
    <xf numFmtId="0" fontId="39" fillId="8" borderId="43" xfId="0" applyFont="1" applyFill="1" applyBorder="1" applyAlignment="1">
      <alignment horizontal="center" vertical="center"/>
    </xf>
    <xf numFmtId="0" fontId="39" fillId="8" borderId="54" xfId="0" applyFont="1" applyFill="1" applyBorder="1" applyAlignment="1">
      <alignment horizontal="center" vertical="center"/>
    </xf>
    <xf numFmtId="0" fontId="39" fillId="8" borderId="79" xfId="0" applyFont="1" applyFill="1" applyBorder="1" applyAlignment="1">
      <alignment horizontal="center" vertical="center"/>
    </xf>
    <xf numFmtId="0" fontId="39" fillId="8" borderId="28" xfId="0" applyFont="1" applyFill="1" applyBorder="1" applyAlignment="1">
      <alignment horizontal="center" vertical="center"/>
    </xf>
    <xf numFmtId="0" fontId="39" fillId="8" borderId="55" xfId="0" applyFont="1" applyFill="1" applyBorder="1" applyAlignment="1">
      <alignment horizontal="center" vertical="center"/>
    </xf>
    <xf numFmtId="0" fontId="39" fillId="8" borderId="78" xfId="0" applyFont="1" applyFill="1" applyBorder="1" applyAlignment="1">
      <alignment horizontal="center" vertical="center"/>
    </xf>
    <xf numFmtId="0" fontId="39" fillId="0" borderId="64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73" fillId="0" borderId="0" xfId="0" applyFont="1" applyAlignment="1">
      <alignment horizontal="left" vertical="center"/>
    </xf>
    <xf numFmtId="2" fontId="39" fillId="8" borderId="16" xfId="0" applyNumberFormat="1" applyFont="1" applyFill="1" applyBorder="1" applyAlignment="1">
      <alignment horizontal="left" vertical="center"/>
    </xf>
    <xf numFmtId="0" fontId="39" fillId="8" borderId="102" xfId="0" applyFont="1" applyFill="1" applyBorder="1" applyAlignment="1">
      <alignment horizontal="left" vertical="center"/>
    </xf>
    <xf numFmtId="0" fontId="28" fillId="8" borderId="56" xfId="53" applyFont="1" applyFill="1" applyBorder="1" applyAlignment="1">
      <alignment vertical="center" wrapText="1"/>
      <protection/>
    </xf>
    <xf numFmtId="0" fontId="28" fillId="8" borderId="17" xfId="53" applyFont="1" applyFill="1" applyBorder="1" applyAlignment="1">
      <alignment vertical="center" wrapText="1"/>
      <protection/>
    </xf>
    <xf numFmtId="0" fontId="28" fillId="8" borderId="12" xfId="53" applyFont="1" applyFill="1" applyBorder="1" applyAlignment="1">
      <alignment vertical="center" wrapText="1"/>
      <protection/>
    </xf>
    <xf numFmtId="0" fontId="27" fillId="0" borderId="12" xfId="53" applyFont="1" applyBorder="1" applyAlignment="1">
      <alignment horizontal="center" vertical="center" wrapText="1"/>
      <protection/>
    </xf>
    <xf numFmtId="0" fontId="27" fillId="0" borderId="56" xfId="53" applyFont="1" applyBorder="1" applyAlignment="1">
      <alignment horizontal="center" vertical="center" wrapText="1"/>
      <protection/>
    </xf>
    <xf numFmtId="0" fontId="27" fillId="0" borderId="17" xfId="53" applyFont="1" applyBorder="1" applyAlignment="1">
      <alignment horizontal="center" vertical="center" wrapText="1"/>
      <protection/>
    </xf>
    <xf numFmtId="0" fontId="74" fillId="0" borderId="0" xfId="53" applyFont="1" applyAlignment="1">
      <alignment horizontal="left" vertical="center" wrapText="1"/>
      <protection/>
    </xf>
    <xf numFmtId="2" fontId="44" fillId="8" borderId="56" xfId="56" applyNumberFormat="1" applyFont="1" applyFill="1" applyBorder="1" applyAlignment="1">
      <alignment horizontal="center" vertical="center" wrapText="1"/>
      <protection/>
    </xf>
    <xf numFmtId="2" fontId="44" fillId="8" borderId="17" xfId="56" applyNumberFormat="1" applyFont="1" applyFill="1" applyBorder="1" applyAlignment="1">
      <alignment horizontal="center" vertical="center" wrapText="1"/>
      <protection/>
    </xf>
    <xf numFmtId="0" fontId="39" fillId="25" borderId="70" xfId="56" applyFont="1" applyFill="1" applyBorder="1" applyAlignment="1">
      <alignment horizontal="center" vertical="center" wrapText="1"/>
      <protection/>
    </xf>
    <xf numFmtId="0" fontId="39" fillId="25" borderId="71" xfId="56" applyFont="1" applyFill="1" applyBorder="1" applyAlignment="1">
      <alignment horizontal="center" vertical="center" wrapText="1"/>
      <protection/>
    </xf>
    <xf numFmtId="1" fontId="39" fillId="25" borderId="71" xfId="56" applyNumberFormat="1" applyFont="1" applyFill="1" applyBorder="1" applyAlignment="1">
      <alignment horizontal="center" vertical="center" wrapText="1"/>
      <protection/>
    </xf>
    <xf numFmtId="1" fontId="39" fillId="25" borderId="13" xfId="56" applyNumberFormat="1" applyFont="1" applyFill="1" applyBorder="1" applyAlignment="1">
      <alignment horizontal="center" vertical="center" wrapText="1"/>
      <protection/>
    </xf>
    <xf numFmtId="2" fontId="69" fillId="0" borderId="56" xfId="56" applyNumberFormat="1" applyFont="1" applyFill="1" applyBorder="1" applyAlignment="1">
      <alignment horizontal="center" vertical="center" wrapText="1"/>
      <protection/>
    </xf>
    <xf numFmtId="2" fontId="69" fillId="0" borderId="17" xfId="56" applyNumberFormat="1" applyFont="1" applyFill="1" applyBorder="1" applyAlignment="1">
      <alignment horizontal="center" vertical="center" wrapText="1"/>
      <protection/>
    </xf>
    <xf numFmtId="2" fontId="69" fillId="0" borderId="12" xfId="56" applyNumberFormat="1" applyFont="1" applyFill="1" applyBorder="1" applyAlignment="1">
      <alignment horizontal="center" vertical="center" wrapText="1"/>
      <protection/>
    </xf>
    <xf numFmtId="2" fontId="39" fillId="8" borderId="17" xfId="57" applyNumberFormat="1" applyFont="1" applyFill="1" applyBorder="1" applyAlignment="1">
      <alignment horizontal="center" vertical="center" wrapText="1"/>
      <protection/>
    </xf>
    <xf numFmtId="2" fontId="39" fillId="8" borderId="12" xfId="57" applyNumberFormat="1" applyFont="1" applyFill="1" applyBorder="1" applyAlignment="1">
      <alignment horizontal="center" vertical="center" wrapText="1"/>
      <protection/>
    </xf>
    <xf numFmtId="0" fontId="74" fillId="0" borderId="0" xfId="0" applyFont="1" applyFill="1" applyBorder="1" applyAlignment="1">
      <alignment horizontal="left" vertical="center" wrapText="1"/>
    </xf>
    <xf numFmtId="173" fontId="40" fillId="0" borderId="17" xfId="0" applyNumberFormat="1" applyFont="1" applyFill="1" applyBorder="1" applyAlignment="1">
      <alignment vertical="top" wrapText="1"/>
    </xf>
    <xf numFmtId="0" fontId="75" fillId="0" borderId="0" xfId="0" applyFont="1" applyFill="1" applyBorder="1" applyAlignment="1">
      <alignment horizontal="left" vertical="center" wrapText="1"/>
    </xf>
    <xf numFmtId="173" fontId="40" fillId="0" borderId="17" xfId="0" applyNumberFormat="1" applyFont="1" applyFill="1" applyBorder="1" applyAlignment="1">
      <alignment horizontal="center" vertical="top" wrapText="1"/>
    </xf>
    <xf numFmtId="173" fontId="39" fillId="0" borderId="17" xfId="0" applyNumberFormat="1" applyFont="1" applyFill="1" applyBorder="1" applyAlignment="1">
      <alignment horizontal="center" wrapText="1"/>
    </xf>
    <xf numFmtId="173" fontId="46" fillId="0" borderId="17" xfId="0" applyNumberFormat="1" applyFont="1" applyBorder="1" applyAlignment="1">
      <alignment vertical="top" wrapText="1"/>
    </xf>
    <xf numFmtId="0" fontId="46" fillId="0" borderId="17" xfId="0" applyFont="1" applyBorder="1" applyAlignment="1">
      <alignment horizontal="center" vertical="center" wrapText="1"/>
    </xf>
    <xf numFmtId="173" fontId="40" fillId="0" borderId="17" xfId="0" applyNumberFormat="1" applyFont="1" applyBorder="1" applyAlignment="1">
      <alignment vertical="top" wrapText="1"/>
    </xf>
    <xf numFmtId="173" fontId="40" fillId="0" borderId="17" xfId="0" applyNumberFormat="1" applyFont="1" applyBorder="1" applyAlignment="1" applyProtection="1">
      <alignment horizontal="center" vertical="center" wrapText="1"/>
      <protection locked="0"/>
    </xf>
    <xf numFmtId="173" fontId="39" fillId="0" borderId="17" xfId="0" applyNumberFormat="1" applyFont="1" applyBorder="1" applyAlignment="1" applyProtection="1">
      <alignment horizontal="center" vertical="center" wrapText="1"/>
      <protection locked="0"/>
    </xf>
    <xf numFmtId="173" fontId="46" fillId="0" borderId="17" xfId="0" applyNumberFormat="1" applyFont="1" applyBorder="1" applyAlignment="1" applyProtection="1">
      <alignment horizontal="center" vertical="center" wrapText="1"/>
      <protection locked="0"/>
    </xf>
    <xf numFmtId="173" fontId="39" fillId="0" borderId="17" xfId="0" applyNumberFormat="1" applyFont="1" applyBorder="1" applyAlignment="1">
      <alignment horizontal="center" wrapText="1"/>
    </xf>
    <xf numFmtId="173" fontId="46" fillId="0" borderId="17" xfId="0" applyNumberFormat="1" applyFont="1" applyBorder="1" applyAlignment="1">
      <alignment horizontal="center" vertical="center" wrapText="1"/>
    </xf>
    <xf numFmtId="0" fontId="40" fillId="0" borderId="17" xfId="0" applyFont="1" applyBorder="1" applyAlignment="1">
      <alignment vertical="center"/>
    </xf>
    <xf numFmtId="173" fontId="40" fillId="0" borderId="17" xfId="0" applyNumberFormat="1" applyFont="1" applyBorder="1" applyAlignment="1" applyProtection="1">
      <alignment horizontal="left" vertical="center" wrapText="1"/>
      <protection locked="0"/>
    </xf>
    <xf numFmtId="173" fontId="46" fillId="0" borderId="17" xfId="0" applyNumberFormat="1" applyFont="1" applyBorder="1" applyAlignment="1">
      <alignment horizontal="center" wrapText="1"/>
    </xf>
    <xf numFmtId="0" fontId="39" fillId="0" borderId="17" xfId="0" applyFont="1" applyBorder="1" applyAlignment="1">
      <alignment horizontal="center" vertical="center" wrapText="1"/>
    </xf>
    <xf numFmtId="2" fontId="44" fillId="0" borderId="17" xfId="56" applyNumberFormat="1" applyFont="1" applyFill="1" applyBorder="1" applyAlignment="1">
      <alignment horizontal="center" vertical="center" wrapText="1"/>
      <protection/>
    </xf>
    <xf numFmtId="0" fontId="46" fillId="0" borderId="17" xfId="0" applyFont="1" applyBorder="1" applyAlignment="1" applyProtection="1">
      <alignment horizontal="center" vertical="center" wrapText="1"/>
      <protection locked="0"/>
    </xf>
    <xf numFmtId="0" fontId="39" fillId="0" borderId="17" xfId="0" applyFont="1" applyFill="1" applyBorder="1" applyAlignment="1">
      <alignment horizontal="center" vertical="center" wrapText="1"/>
    </xf>
    <xf numFmtId="1" fontId="39" fillId="25" borderId="45" xfId="56" applyNumberFormat="1" applyFont="1" applyFill="1" applyBorder="1" applyAlignment="1">
      <alignment horizontal="center" vertical="center" wrapText="1"/>
      <protection/>
    </xf>
    <xf numFmtId="1" fontId="39" fillId="25" borderId="47" xfId="56" applyNumberFormat="1" applyFont="1" applyFill="1" applyBorder="1" applyAlignment="1">
      <alignment horizontal="center" vertical="center" wrapText="1"/>
      <protection/>
    </xf>
    <xf numFmtId="2" fontId="39" fillId="8" borderId="43" xfId="57" applyNumberFormat="1" applyFont="1" applyFill="1" applyBorder="1" applyAlignment="1">
      <alignment horizontal="center" vertical="center" wrapText="1"/>
      <protection/>
    </xf>
    <xf numFmtId="2" fontId="39" fillId="8" borderId="79" xfId="57" applyNumberFormat="1" applyFont="1" applyFill="1" applyBorder="1" applyAlignment="1">
      <alignment horizontal="center" vertical="center" wrapText="1"/>
      <protection/>
    </xf>
    <xf numFmtId="0" fontId="39" fillId="25" borderId="45" xfId="56" applyFont="1" applyFill="1" applyBorder="1" applyAlignment="1">
      <alignment horizontal="center" vertical="center" wrapText="1"/>
      <protection/>
    </xf>
    <xf numFmtId="0" fontId="39" fillId="25" borderId="46" xfId="56" applyFont="1" applyFill="1" applyBorder="1" applyAlignment="1">
      <alignment horizontal="center" vertical="center" wrapText="1"/>
      <protection/>
    </xf>
    <xf numFmtId="0" fontId="39" fillId="25" borderId="47" xfId="56" applyFont="1" applyFill="1" applyBorder="1" applyAlignment="1">
      <alignment horizontal="center" vertical="center" wrapText="1"/>
      <protection/>
    </xf>
    <xf numFmtId="2" fontId="44" fillId="8" borderId="43" xfId="56" applyNumberFormat="1" applyFont="1" applyFill="1" applyBorder="1" applyAlignment="1">
      <alignment horizontal="center" vertical="center" wrapText="1"/>
      <protection/>
    </xf>
    <xf numFmtId="2" fontId="44" fillId="8" borderId="54" xfId="56" applyNumberFormat="1" applyFont="1" applyFill="1" applyBorder="1" applyAlignment="1">
      <alignment horizontal="center" vertical="center" wrapText="1"/>
      <protection/>
    </xf>
    <xf numFmtId="2" fontId="44" fillId="8" borderId="79" xfId="56" applyNumberFormat="1" applyFont="1" applyFill="1" applyBorder="1" applyAlignment="1">
      <alignment horizontal="center" vertical="center" wrapText="1"/>
      <protection/>
    </xf>
    <xf numFmtId="0" fontId="3" fillId="25" borderId="104" xfId="56" applyFont="1" applyFill="1" applyBorder="1" applyAlignment="1">
      <alignment horizontal="center" vertical="center" wrapText="1"/>
      <protection/>
    </xf>
    <xf numFmtId="0" fontId="3" fillId="25" borderId="105" xfId="56" applyFont="1" applyFill="1" applyBorder="1" applyAlignment="1">
      <alignment horizontal="center" vertical="center" wrapText="1"/>
      <protection/>
    </xf>
    <xf numFmtId="0" fontId="3" fillId="25" borderId="73" xfId="56" applyFont="1" applyFill="1" applyBorder="1" applyAlignment="1">
      <alignment horizontal="center" vertical="center" wrapText="1"/>
      <protection/>
    </xf>
    <xf numFmtId="2" fontId="26" fillId="8" borderId="10" xfId="56" applyNumberFormat="1" applyFont="1" applyFill="1" applyBorder="1" applyAlignment="1">
      <alignment horizontal="left" vertical="center" wrapText="1"/>
      <protection/>
    </xf>
    <xf numFmtId="2" fontId="26" fillId="8" borderId="103" xfId="56" applyNumberFormat="1" applyFont="1" applyFill="1" applyBorder="1" applyAlignment="1">
      <alignment horizontal="left" vertical="center" wrapText="1"/>
      <protection/>
    </xf>
    <xf numFmtId="2" fontId="26" fillId="8" borderId="66" xfId="56" applyNumberFormat="1" applyFont="1" applyFill="1" applyBorder="1" applyAlignment="1">
      <alignment horizontal="left" vertical="center" wrapText="1"/>
      <protection/>
    </xf>
    <xf numFmtId="2" fontId="26" fillId="0" borderId="10" xfId="56" applyNumberFormat="1" applyFont="1" applyFill="1" applyBorder="1" applyAlignment="1">
      <alignment horizontal="center" vertical="center"/>
      <protection/>
    </xf>
    <xf numFmtId="2" fontId="26" fillId="0" borderId="103" xfId="56" applyNumberFormat="1" applyFont="1" applyFill="1" applyBorder="1" applyAlignment="1">
      <alignment horizontal="center" vertical="center"/>
      <protection/>
    </xf>
    <xf numFmtId="2" fontId="26" fillId="0" borderId="58" xfId="56" applyNumberFormat="1" applyFont="1" applyFill="1" applyBorder="1" applyAlignment="1">
      <alignment horizontal="center" vertical="center"/>
      <protection/>
    </xf>
    <xf numFmtId="0" fontId="72" fillId="0" borderId="0" xfId="53" applyFont="1" applyAlignment="1">
      <alignment horizontal="justify" vertical="center" wrapText="1"/>
      <protection/>
    </xf>
    <xf numFmtId="0" fontId="40" fillId="0" borderId="91" xfId="53" applyFont="1" applyBorder="1" applyAlignment="1">
      <alignment horizontal="left" vertical="center" wrapText="1"/>
      <protection/>
    </xf>
    <xf numFmtId="0" fontId="40" fillId="0" borderId="61" xfId="53" applyFont="1" applyBorder="1" applyAlignment="1">
      <alignment horizontal="left" vertical="center" wrapText="1"/>
      <protection/>
    </xf>
    <xf numFmtId="0" fontId="40" fillId="0" borderId="64" xfId="53" applyFont="1" applyBorder="1" applyAlignment="1">
      <alignment horizontal="left" vertical="center" wrapText="1"/>
      <protection/>
    </xf>
    <xf numFmtId="0" fontId="40" fillId="0" borderId="11" xfId="53" applyFont="1" applyBorder="1" applyAlignment="1">
      <alignment horizontal="left" vertical="center" wrapText="1"/>
      <protection/>
    </xf>
    <xf numFmtId="0" fontId="40" fillId="0" borderId="0" xfId="53" applyFont="1" applyBorder="1" applyAlignment="1">
      <alignment vertical="center" wrapText="1"/>
      <protection/>
    </xf>
    <xf numFmtId="0" fontId="39" fillId="0" borderId="57" xfId="53" applyFont="1" applyBorder="1" applyAlignment="1">
      <alignment horizontal="center" vertical="center" wrapText="1"/>
      <protection/>
    </xf>
    <xf numFmtId="0" fontId="39" fillId="0" borderId="19" xfId="53" applyFont="1" applyBorder="1" applyAlignment="1">
      <alignment horizontal="center" vertical="center" wrapText="1"/>
      <protection/>
    </xf>
    <xf numFmtId="0" fontId="39" fillId="25" borderId="104" xfId="56" applyFont="1" applyFill="1" applyBorder="1" applyAlignment="1">
      <alignment horizontal="center" vertical="center" wrapText="1"/>
      <protection/>
    </xf>
    <xf numFmtId="0" fontId="39" fillId="25" borderId="105" xfId="56" applyFont="1" applyFill="1" applyBorder="1" applyAlignment="1">
      <alignment horizontal="center" vertical="center" wrapText="1"/>
      <protection/>
    </xf>
    <xf numFmtId="0" fontId="39" fillId="25" borderId="73" xfId="56" applyFont="1" applyFill="1" applyBorder="1" applyAlignment="1">
      <alignment horizontal="center" vertical="center" wrapText="1"/>
      <protection/>
    </xf>
    <xf numFmtId="2" fontId="44" fillId="0" borderId="23" xfId="56" applyNumberFormat="1" applyFont="1" applyFill="1" applyBorder="1" applyAlignment="1">
      <alignment horizontal="center" vertical="center"/>
      <protection/>
    </xf>
    <xf numFmtId="0" fontId="40" fillId="0" borderId="94" xfId="0" applyFont="1" applyBorder="1" applyAlignment="1">
      <alignment vertical="center"/>
    </xf>
    <xf numFmtId="0" fontId="40" fillId="0" borderId="115" xfId="0" applyFont="1" applyBorder="1" applyAlignment="1">
      <alignment vertical="center"/>
    </xf>
    <xf numFmtId="0" fontId="39" fillId="0" borderId="50" xfId="53" applyFont="1" applyBorder="1" applyAlignment="1">
      <alignment horizontal="left" vertical="center" wrapText="1"/>
      <protection/>
    </xf>
    <xf numFmtId="0" fontId="39" fillId="0" borderId="51" xfId="53" applyFont="1" applyBorder="1" applyAlignment="1">
      <alignment horizontal="left" vertical="center" wrapText="1"/>
      <protection/>
    </xf>
    <xf numFmtId="2" fontId="44" fillId="8" borderId="10" xfId="56" applyNumberFormat="1" applyFont="1" applyFill="1" applyBorder="1" applyAlignment="1">
      <alignment horizontal="center" vertical="center"/>
      <protection/>
    </xf>
    <xf numFmtId="2" fontId="44" fillId="8" borderId="103" xfId="56" applyNumberFormat="1" applyFont="1" applyFill="1" applyBorder="1" applyAlignment="1">
      <alignment horizontal="center" vertical="center"/>
      <protection/>
    </xf>
    <xf numFmtId="2" fontId="44" fillId="8" borderId="66" xfId="56" applyNumberFormat="1" applyFont="1" applyFill="1" applyBorder="1" applyAlignment="1">
      <alignment horizontal="center" vertical="center"/>
      <protection/>
    </xf>
    <xf numFmtId="3" fontId="40" fillId="0" borderId="56" xfId="53" applyNumberFormat="1" applyFont="1" applyBorder="1" applyAlignment="1">
      <alignment horizontal="left" vertical="center" wrapText="1"/>
      <protection/>
    </xf>
    <xf numFmtId="0" fontId="40" fillId="0" borderId="17" xfId="53" applyFont="1" applyBorder="1" applyAlignment="1">
      <alignment horizontal="left" vertical="center" wrapText="1"/>
      <protection/>
    </xf>
    <xf numFmtId="3" fontId="40" fillId="0" borderId="64" xfId="53" applyNumberFormat="1" applyFont="1" applyBorder="1" applyAlignment="1">
      <alignment horizontal="left" vertical="center" wrapText="1"/>
      <protection/>
    </xf>
    <xf numFmtId="0" fontId="40" fillId="0" borderId="63" xfId="53" applyFont="1" applyBorder="1" applyAlignment="1">
      <alignment horizontal="left" vertical="center" wrapText="1"/>
      <protection/>
    </xf>
    <xf numFmtId="0" fontId="40" fillId="0" borderId="48" xfId="53" applyFont="1" applyBorder="1" applyAlignment="1">
      <alignment horizontal="left" vertical="center" wrapText="1"/>
      <protection/>
    </xf>
    <xf numFmtId="0" fontId="40" fillId="0" borderId="10" xfId="53" applyFont="1" applyBorder="1" applyAlignment="1">
      <alignment horizontal="left" vertical="center" wrapText="1"/>
      <protection/>
    </xf>
    <xf numFmtId="0" fontId="40" fillId="0" borderId="103" xfId="53" applyFont="1" applyBorder="1" applyAlignment="1">
      <alignment horizontal="left" vertical="center" wrapText="1"/>
      <protection/>
    </xf>
    <xf numFmtId="0" fontId="40" fillId="0" borderId="0" xfId="0" applyFont="1" applyAlignment="1" quotePrefix="1">
      <alignment horizontal="left" vertical="center"/>
    </xf>
    <xf numFmtId="0" fontId="39" fillId="0" borderId="15" xfId="62" applyFont="1" applyFill="1" applyBorder="1" applyAlignment="1" applyProtection="1">
      <alignment horizontal="center" vertical="center"/>
      <protection/>
    </xf>
    <xf numFmtId="0" fontId="39" fillId="0" borderId="0" xfId="62" applyFont="1" applyFill="1" applyBorder="1" applyAlignment="1" applyProtection="1">
      <alignment horizontal="center" vertical="center"/>
      <protection/>
    </xf>
    <xf numFmtId="0" fontId="39" fillId="0" borderId="22" xfId="62" applyFont="1" applyFill="1" applyBorder="1" applyAlignment="1" applyProtection="1">
      <alignment horizontal="center" vertical="center"/>
      <protection/>
    </xf>
    <xf numFmtId="0" fontId="40" fillId="0" borderId="0" xfId="0" applyFont="1" applyAlignment="1" quotePrefix="1">
      <alignment horizontal="left" vertical="center" wrapText="1"/>
    </xf>
    <xf numFmtId="1" fontId="44" fillId="8" borderId="71" xfId="57" applyNumberFormat="1" applyFont="1" applyFill="1" applyBorder="1" applyAlignment="1" applyProtection="1">
      <alignment horizontal="center" vertical="center"/>
      <protection/>
    </xf>
    <xf numFmtId="1" fontId="44" fillId="8" borderId="13" xfId="57" applyNumberFormat="1" applyFont="1" applyFill="1" applyBorder="1" applyAlignment="1" applyProtection="1">
      <alignment horizontal="center" vertical="center"/>
      <protection/>
    </xf>
    <xf numFmtId="2" fontId="44" fillId="8" borderId="62" xfId="57" applyNumberFormat="1" applyFont="1" applyFill="1" applyBorder="1" applyAlignment="1" applyProtection="1">
      <alignment horizontal="center" vertical="center" wrapText="1"/>
      <protection/>
    </xf>
    <xf numFmtId="2" fontId="44" fillId="8" borderId="102" xfId="57" applyNumberFormat="1" applyFont="1" applyFill="1" applyBorder="1" applyAlignment="1" applyProtection="1">
      <alignment horizontal="center" vertical="center" wrapText="1"/>
      <protection/>
    </xf>
    <xf numFmtId="2" fontId="44" fillId="8" borderId="80" xfId="57" applyNumberFormat="1" applyFont="1" applyFill="1" applyBorder="1" applyAlignment="1" applyProtection="1">
      <alignment horizontal="center" vertical="center" wrapText="1"/>
      <protection/>
    </xf>
    <xf numFmtId="2" fontId="44" fillId="8" borderId="16" xfId="57" applyNumberFormat="1" applyFont="1" applyFill="1" applyBorder="1" applyAlignment="1" applyProtection="1">
      <alignment horizontal="center" vertical="center"/>
      <protection/>
    </xf>
    <xf numFmtId="2" fontId="44" fillId="8" borderId="102" xfId="57" applyNumberFormat="1" applyFont="1" applyFill="1" applyBorder="1" applyAlignment="1" applyProtection="1">
      <alignment horizontal="center" vertical="center"/>
      <protection/>
    </xf>
    <xf numFmtId="0" fontId="39" fillId="25" borderId="104" xfId="57" applyFont="1" applyFill="1" applyBorder="1" applyAlignment="1" applyProtection="1">
      <alignment horizontal="center" vertical="center" wrapText="1"/>
      <protection/>
    </xf>
    <xf numFmtId="0" fontId="39" fillId="25" borderId="105" xfId="57" applyFont="1" applyFill="1" applyBorder="1" applyAlignment="1" applyProtection="1">
      <alignment horizontal="center" vertical="center" wrapText="1"/>
      <protection/>
    </xf>
    <xf numFmtId="0" fontId="40" fillId="0" borderId="18" xfId="62" applyNumberFormat="1" applyFont="1" applyFill="1" applyBorder="1" applyAlignment="1" applyProtection="1">
      <alignment horizontal="center" vertical="center"/>
      <protection locked="0"/>
    </xf>
    <xf numFmtId="0" fontId="40" fillId="0" borderId="103" xfId="62" applyNumberFormat="1" applyFont="1" applyFill="1" applyBorder="1" applyAlignment="1" applyProtection="1">
      <alignment horizontal="center" vertical="center"/>
      <protection locked="0"/>
    </xf>
    <xf numFmtId="0" fontId="40" fillId="0" borderId="58" xfId="62" applyNumberFormat="1" applyFont="1" applyFill="1" applyBorder="1" applyAlignment="1" applyProtection="1">
      <alignment horizontal="center" vertical="center"/>
      <protection locked="0"/>
    </xf>
    <xf numFmtId="0" fontId="39" fillId="0" borderId="104" xfId="0" applyFont="1" applyFill="1" applyBorder="1" applyAlignment="1">
      <alignment horizontal="center" vertical="center" wrapText="1"/>
    </xf>
    <xf numFmtId="0" fontId="39" fillId="0" borderId="114" xfId="0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0" fillId="0" borderId="25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0" fontId="39" fillId="8" borderId="57" xfId="0" applyFont="1" applyFill="1" applyBorder="1" applyAlignment="1">
      <alignment horizontal="center" vertical="center" wrapText="1"/>
    </xf>
    <xf numFmtId="0" fontId="39" fillId="8" borderId="20" xfId="0" applyFont="1" applyFill="1" applyBorder="1" applyAlignment="1">
      <alignment horizontal="center" vertical="center" wrapText="1"/>
    </xf>
    <xf numFmtId="0" fontId="39" fillId="8" borderId="70" xfId="0" applyFont="1" applyFill="1" applyBorder="1" applyAlignment="1">
      <alignment horizontal="center" vertical="center"/>
    </xf>
    <xf numFmtId="0" fontId="39" fillId="8" borderId="13" xfId="0" applyFont="1" applyFill="1" applyBorder="1" applyAlignment="1">
      <alignment horizontal="center" vertical="center"/>
    </xf>
    <xf numFmtId="0" fontId="39" fillId="8" borderId="56" xfId="0" applyFont="1" applyFill="1" applyBorder="1" applyAlignment="1">
      <alignment horizontal="center" vertical="center"/>
    </xf>
    <xf numFmtId="0" fontId="39" fillId="8" borderId="12" xfId="0" applyFont="1" applyFill="1" applyBorder="1" applyAlignment="1">
      <alignment horizontal="center" vertical="center"/>
    </xf>
    <xf numFmtId="0" fontId="40" fillId="0" borderId="41" xfId="0" applyFont="1" applyBorder="1" applyAlignment="1">
      <alignment horizontal="left" vertical="center"/>
    </xf>
    <xf numFmtId="0" fontId="40" fillId="0" borderId="42" xfId="0" applyFont="1" applyBorder="1" applyAlignment="1">
      <alignment horizontal="left" vertical="center"/>
    </xf>
    <xf numFmtId="0" fontId="40" fillId="0" borderId="15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40" fillId="0" borderId="91" xfId="0" applyFont="1" applyBorder="1" applyAlignment="1">
      <alignment horizontal="center" vertical="center" wrapText="1"/>
    </xf>
    <xf numFmtId="0" fontId="40" fillId="0" borderId="64" xfId="0" applyFont="1" applyBorder="1" applyAlignment="1">
      <alignment horizontal="center" vertical="center" wrapText="1"/>
    </xf>
    <xf numFmtId="0" fontId="39" fillId="0" borderId="105" xfId="0" applyFont="1" applyFill="1" applyBorder="1" applyAlignment="1">
      <alignment horizontal="center" vertical="center" wrapText="1"/>
    </xf>
    <xf numFmtId="0" fontId="40" fillId="0" borderId="15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2" fontId="39" fillId="8" borderId="57" xfId="0" applyNumberFormat="1" applyFont="1" applyFill="1" applyBorder="1" applyAlignment="1">
      <alignment horizontal="left" vertical="center"/>
    </xf>
    <xf numFmtId="0" fontId="39" fillId="8" borderId="19" xfId="0" applyFont="1" applyFill="1" applyBorder="1" applyAlignment="1">
      <alignment horizontal="left" vertical="center"/>
    </xf>
    <xf numFmtId="0" fontId="39" fillId="8" borderId="62" xfId="0" applyFont="1" applyFill="1" applyBorder="1" applyAlignment="1">
      <alignment horizontal="left" vertical="center"/>
    </xf>
    <xf numFmtId="0" fontId="39" fillId="8" borderId="15" xfId="0" applyFont="1" applyFill="1" applyBorder="1" applyAlignment="1">
      <alignment horizontal="center" vertical="center"/>
    </xf>
    <xf numFmtId="0" fontId="39" fillId="8" borderId="0" xfId="0" applyFont="1" applyFill="1" applyBorder="1" applyAlignment="1">
      <alignment horizontal="center" vertical="center"/>
    </xf>
    <xf numFmtId="0" fontId="39" fillId="0" borderId="15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0" fillId="0" borderId="116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40" fillId="0" borderId="18" xfId="63" applyNumberFormat="1" applyFont="1" applyFill="1" applyBorder="1" applyAlignment="1">
      <alignment horizontal="center" vertical="center" wrapText="1"/>
      <protection/>
    </xf>
    <xf numFmtId="0" fontId="40" fillId="0" borderId="66" xfId="63" applyNumberFormat="1" applyFont="1" applyFill="1" applyBorder="1" applyAlignment="1">
      <alignment horizontal="center" vertical="center" wrapText="1"/>
      <protection/>
    </xf>
    <xf numFmtId="0" fontId="40" fillId="0" borderId="45" xfId="63" applyNumberFormat="1" applyFont="1" applyBorder="1" applyAlignment="1" applyProtection="1">
      <alignment horizontal="center" vertical="center"/>
      <protection locked="0"/>
    </xf>
    <xf numFmtId="0" fontId="40" fillId="0" borderId="47" xfId="63" applyNumberFormat="1" applyFont="1" applyBorder="1" applyAlignment="1" applyProtection="1">
      <alignment horizontal="center" vertical="center"/>
      <protection locked="0"/>
    </xf>
    <xf numFmtId="0" fontId="40" fillId="0" borderId="60" xfId="63" applyNumberFormat="1" applyFont="1" applyFill="1" applyBorder="1" applyAlignment="1">
      <alignment horizontal="center" vertical="center" wrapText="1"/>
      <protection/>
    </xf>
    <xf numFmtId="0" fontId="40" fillId="0" borderId="24" xfId="63" applyNumberFormat="1" applyFont="1" applyFill="1" applyBorder="1" applyAlignment="1">
      <alignment horizontal="center" vertical="center" wrapText="1"/>
      <protection/>
    </xf>
    <xf numFmtId="0" fontId="39" fillId="0" borderId="18" xfId="63" applyFont="1" applyFill="1" applyBorder="1" applyAlignment="1">
      <alignment horizontal="center" vertical="center" wrapText="1"/>
      <protection/>
    </xf>
    <xf numFmtId="0" fontId="39" fillId="0" borderId="103" xfId="63" applyFont="1" applyFill="1" applyBorder="1" applyAlignment="1">
      <alignment horizontal="center" vertical="center" wrapText="1"/>
      <protection/>
    </xf>
    <xf numFmtId="0" fontId="39" fillId="0" borderId="66" xfId="63" applyFont="1" applyFill="1" applyBorder="1" applyAlignment="1">
      <alignment horizontal="center" vertical="center" wrapText="1"/>
      <protection/>
    </xf>
    <xf numFmtId="0" fontId="40" fillId="0" borderId="18" xfId="63" applyNumberFormat="1" applyFont="1" applyBorder="1" applyAlignment="1" applyProtection="1">
      <alignment horizontal="center" vertical="center"/>
      <protection locked="0"/>
    </xf>
    <xf numFmtId="0" fontId="40" fillId="0" borderId="103" xfId="63" applyNumberFormat="1" applyFont="1" applyBorder="1" applyAlignment="1" applyProtection="1">
      <alignment horizontal="center" vertical="center"/>
      <protection locked="0"/>
    </xf>
    <xf numFmtId="0" fontId="39" fillId="0" borderId="48" xfId="63" applyFont="1" applyFill="1" applyBorder="1" applyAlignment="1">
      <alignment horizontal="center" vertical="center" wrapText="1"/>
      <protection/>
    </xf>
    <xf numFmtId="0" fontId="39" fillId="0" borderId="11" xfId="63" applyFont="1" applyFill="1" applyBorder="1" applyAlignment="1">
      <alignment horizontal="center" vertical="center" wrapText="1"/>
      <protection/>
    </xf>
    <xf numFmtId="0" fontId="39" fillId="0" borderId="60" xfId="63" applyFont="1" applyFill="1" applyBorder="1" applyAlignment="1">
      <alignment horizontal="center" vertical="center" wrapText="1"/>
      <protection/>
    </xf>
    <xf numFmtId="0" fontId="39" fillId="0" borderId="24" xfId="63" applyFont="1" applyFill="1" applyBorder="1" applyAlignment="1">
      <alignment horizontal="center" vertical="center" wrapText="1"/>
      <protection/>
    </xf>
    <xf numFmtId="0" fontId="39" fillId="0" borderId="116" xfId="63" applyFont="1" applyFill="1" applyBorder="1" applyAlignment="1">
      <alignment horizontal="center" vertical="center" wrapText="1"/>
      <protection/>
    </xf>
    <xf numFmtId="0" fontId="39" fillId="0" borderId="29" xfId="63" applyFont="1" applyFill="1" applyBorder="1" applyAlignment="1">
      <alignment horizontal="center" vertical="center" wrapText="1"/>
      <protection/>
    </xf>
    <xf numFmtId="0" fontId="40" fillId="0" borderId="66" xfId="63" applyNumberFormat="1" applyFont="1" applyBorder="1" applyAlignment="1" applyProtection="1">
      <alignment horizontal="center" vertical="center"/>
      <protection locked="0"/>
    </xf>
    <xf numFmtId="0" fontId="40" fillId="0" borderId="58" xfId="63" applyNumberFormat="1" applyFont="1" applyBorder="1" applyAlignment="1" applyProtection="1">
      <alignment horizontal="center" vertical="center"/>
      <protection locked="0"/>
    </xf>
    <xf numFmtId="4" fontId="40" fillId="0" borderId="17" xfId="63" applyNumberFormat="1" applyFont="1" applyFill="1" applyBorder="1" applyAlignment="1">
      <alignment horizontal="center" vertical="center" wrapText="1"/>
      <protection/>
    </xf>
    <xf numFmtId="0" fontId="39" fillId="0" borderId="17" xfId="63" applyFont="1" applyFill="1" applyBorder="1" applyAlignment="1">
      <alignment horizontal="center" vertical="center" wrapText="1"/>
      <protection/>
    </xf>
    <xf numFmtId="4" fontId="40" fillId="0" borderId="18" xfId="63" applyNumberFormat="1" applyFont="1" applyFill="1" applyBorder="1" applyAlignment="1">
      <alignment horizontal="center" vertical="center" wrapText="1"/>
      <protection/>
    </xf>
    <xf numFmtId="4" fontId="40" fillId="0" borderId="103" xfId="63" applyNumberFormat="1" applyFont="1" applyFill="1" applyBorder="1" applyAlignment="1">
      <alignment horizontal="center" vertical="center" wrapText="1"/>
      <protection/>
    </xf>
    <xf numFmtId="4" fontId="40" fillId="0" borderId="66" xfId="63" applyNumberFormat="1" applyFont="1" applyFill="1" applyBorder="1" applyAlignment="1">
      <alignment horizontal="center" vertical="center" wrapText="1"/>
      <protection/>
    </xf>
    <xf numFmtId="0" fontId="39" fillId="0" borderId="56" xfId="63" applyFont="1" applyFill="1" applyBorder="1" applyAlignment="1">
      <alignment horizontal="center" vertical="center" wrapText="1"/>
      <protection/>
    </xf>
    <xf numFmtId="0" fontId="39" fillId="0" borderId="12" xfId="63" applyFont="1" applyFill="1" applyBorder="1" applyAlignment="1">
      <alignment horizontal="center" vertical="center" wrapText="1"/>
      <protection/>
    </xf>
    <xf numFmtId="4" fontId="40" fillId="0" borderId="10" xfId="63" applyNumberFormat="1" applyFont="1" applyBorder="1" applyAlignment="1">
      <alignment horizontal="center" vertical="center"/>
      <protection/>
    </xf>
    <xf numFmtId="4" fontId="40" fillId="0" borderId="103" xfId="63" applyNumberFormat="1" applyFont="1" applyBorder="1" applyAlignment="1">
      <alignment horizontal="center" vertical="center"/>
      <protection/>
    </xf>
    <xf numFmtId="4" fontId="40" fillId="0" borderId="66" xfId="63" applyNumberFormat="1" applyFont="1" applyBorder="1" applyAlignment="1">
      <alignment horizontal="center" vertical="center"/>
      <protection/>
    </xf>
    <xf numFmtId="0" fontId="39" fillId="0" borderId="28" xfId="63" applyFont="1" applyFill="1" applyBorder="1" applyAlignment="1">
      <alignment horizontal="center" vertical="center" wrapText="1"/>
      <protection/>
    </xf>
    <xf numFmtId="0" fontId="39" fillId="0" borderId="55" xfId="63" applyFont="1" applyFill="1" applyBorder="1" applyAlignment="1">
      <alignment horizontal="center" vertical="center" wrapText="1"/>
      <protection/>
    </xf>
    <xf numFmtId="0" fontId="39" fillId="0" borderId="78" xfId="63" applyFont="1" applyFill="1" applyBorder="1" applyAlignment="1">
      <alignment horizontal="center" vertical="center" wrapText="1"/>
      <protection/>
    </xf>
    <xf numFmtId="0" fontId="39" fillId="0" borderId="58" xfId="63" applyFont="1" applyFill="1" applyBorder="1" applyAlignment="1">
      <alignment horizontal="center" vertical="center" wrapText="1"/>
      <protection/>
    </xf>
    <xf numFmtId="0" fontId="39" fillId="0" borderId="10" xfId="63" applyFont="1" applyFill="1" applyBorder="1" applyAlignment="1">
      <alignment horizontal="center" vertical="center" wrapText="1"/>
      <protection/>
    </xf>
    <xf numFmtId="0" fontId="39" fillId="25" borderId="45" xfId="57" applyFont="1" applyFill="1" applyBorder="1" applyAlignment="1">
      <alignment horizontal="center" vertical="center" wrapText="1"/>
      <protection/>
    </xf>
    <xf numFmtId="0" fontId="39" fillId="25" borderId="46" xfId="57" applyFont="1" applyFill="1" applyBorder="1" applyAlignment="1">
      <alignment horizontal="center" vertical="center" wrapText="1"/>
      <protection/>
    </xf>
    <xf numFmtId="0" fontId="39" fillId="25" borderId="47" xfId="57" applyFont="1" applyFill="1" applyBorder="1" applyAlignment="1">
      <alignment horizontal="center" vertical="center" wrapText="1"/>
      <protection/>
    </xf>
    <xf numFmtId="2" fontId="44" fillId="8" borderId="45" xfId="57" applyNumberFormat="1" applyFont="1" applyFill="1" applyBorder="1" applyAlignment="1">
      <alignment horizontal="center" vertical="center"/>
      <protection/>
    </xf>
    <xf numFmtId="2" fontId="44" fillId="8" borderId="46" xfId="57" applyNumberFormat="1" applyFont="1" applyFill="1" applyBorder="1" applyAlignment="1">
      <alignment horizontal="center" vertical="center"/>
      <protection/>
    </xf>
    <xf numFmtId="2" fontId="44" fillId="8" borderId="47" xfId="57" applyNumberFormat="1" applyFont="1" applyFill="1" applyBorder="1" applyAlignment="1">
      <alignment horizontal="center" vertical="center"/>
      <protection/>
    </xf>
    <xf numFmtId="1" fontId="44" fillId="8" borderId="45" xfId="57" applyNumberFormat="1" applyFont="1" applyFill="1" applyBorder="1" applyAlignment="1">
      <alignment horizontal="center" vertical="center"/>
      <protection/>
    </xf>
    <xf numFmtId="1" fontId="44" fillId="8" borderId="47" xfId="57" applyNumberFormat="1" applyFont="1" applyFill="1" applyBorder="1" applyAlignment="1">
      <alignment horizontal="center" vertical="center"/>
      <protection/>
    </xf>
    <xf numFmtId="0" fontId="5" fillId="25" borderId="104" xfId="57" applyFont="1" applyFill="1" applyBorder="1" applyAlignment="1">
      <alignment horizontal="center" vertical="center" wrapText="1"/>
      <protection/>
    </xf>
    <xf numFmtId="0" fontId="5" fillId="25" borderId="105" xfId="57" applyFont="1" applyFill="1" applyBorder="1" applyAlignment="1">
      <alignment horizontal="center" vertical="center" wrapText="1"/>
      <protection/>
    </xf>
    <xf numFmtId="0" fontId="5" fillId="25" borderId="73" xfId="57" applyFont="1" applyFill="1" applyBorder="1" applyAlignment="1">
      <alignment horizontal="center" vertical="center" wrapText="1"/>
      <protection/>
    </xf>
    <xf numFmtId="2" fontId="6" fillId="8" borderId="23" xfId="57" applyNumberFormat="1" applyFont="1" applyFill="1" applyBorder="1" applyAlignment="1">
      <alignment horizontal="left" vertical="center" wrapText="1"/>
      <protection/>
    </xf>
    <xf numFmtId="2" fontId="6" fillId="8" borderId="94" xfId="57" applyNumberFormat="1" applyFont="1" applyFill="1" applyBorder="1" applyAlignment="1">
      <alignment horizontal="left" vertical="center" wrapText="1"/>
      <protection/>
    </xf>
    <xf numFmtId="2" fontId="6" fillId="8" borderId="24" xfId="57" applyNumberFormat="1" applyFont="1" applyFill="1" applyBorder="1" applyAlignment="1">
      <alignment horizontal="left" vertical="center" wrapText="1"/>
      <protection/>
    </xf>
    <xf numFmtId="0" fontId="3" fillId="0" borderId="45" xfId="54" applyFont="1" applyBorder="1" applyAlignment="1">
      <alignment horizontal="center"/>
      <protection/>
    </xf>
    <xf numFmtId="0" fontId="3" fillId="0" borderId="46" xfId="54" applyFont="1" applyBorder="1" applyAlignment="1">
      <alignment horizontal="center"/>
      <protection/>
    </xf>
    <xf numFmtId="0" fontId="3" fillId="0" borderId="47" xfId="54" applyFont="1" applyBorder="1" applyAlignment="1">
      <alignment horizontal="center"/>
      <protection/>
    </xf>
    <xf numFmtId="0" fontId="3" fillId="0" borderId="11" xfId="54" applyFont="1" applyBorder="1" applyAlignment="1">
      <alignment horizontal="center"/>
      <protection/>
    </xf>
    <xf numFmtId="0" fontId="3" fillId="0" borderId="17" xfId="54" applyFont="1" applyBorder="1" applyAlignment="1">
      <alignment horizontal="center"/>
      <protection/>
    </xf>
    <xf numFmtId="0" fontId="10" fillId="0" borderId="62" xfId="54" applyFont="1" applyBorder="1" applyAlignment="1">
      <alignment horizontal="center"/>
      <protection/>
    </xf>
    <xf numFmtId="0" fontId="10" fillId="0" borderId="74" xfId="54" applyFont="1" applyBorder="1" applyAlignment="1">
      <alignment horizontal="center"/>
      <protection/>
    </xf>
    <xf numFmtId="0" fontId="51" fillId="0" borderId="18" xfId="63" applyNumberFormat="1" applyFont="1" applyFill="1" applyBorder="1" applyAlignment="1">
      <alignment horizontal="center" vertical="center" wrapText="1"/>
      <protection/>
    </xf>
    <xf numFmtId="0" fontId="51" fillId="0" borderId="66" xfId="63" applyNumberFormat="1" applyFont="1" applyFill="1" applyBorder="1" applyAlignment="1">
      <alignment horizontal="center" vertical="center" wrapText="1"/>
      <protection/>
    </xf>
    <xf numFmtId="0" fontId="51" fillId="0" borderId="45" xfId="63" applyNumberFormat="1" applyFont="1" applyBorder="1" applyAlignment="1" applyProtection="1">
      <alignment horizontal="center" vertical="center"/>
      <protection locked="0"/>
    </xf>
    <xf numFmtId="0" fontId="51" fillId="0" borderId="47" xfId="63" applyNumberFormat="1" applyFont="1" applyBorder="1" applyAlignment="1" applyProtection="1">
      <alignment horizontal="center" vertical="center"/>
      <protection locked="0"/>
    </xf>
    <xf numFmtId="0" fontId="39" fillId="0" borderId="64" xfId="63" applyFont="1" applyFill="1" applyBorder="1" applyAlignment="1">
      <alignment horizontal="center" vertical="center" wrapText="1"/>
      <protection/>
    </xf>
    <xf numFmtId="0" fontId="39" fillId="0" borderId="14" xfId="63" applyFont="1" applyFill="1" applyBorder="1" applyAlignment="1">
      <alignment horizontal="center" vertical="center" wrapText="1"/>
      <protection/>
    </xf>
    <xf numFmtId="0" fontId="39" fillId="0" borderId="63" xfId="63" applyFont="1" applyFill="1" applyBorder="1" applyAlignment="1">
      <alignment horizontal="center" vertical="center" wrapText="1"/>
      <protection/>
    </xf>
    <xf numFmtId="0" fontId="39" fillId="0" borderId="85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3" xfId="0" applyFont="1" applyBorder="1" applyAlignment="1">
      <alignment vertical="center" wrapText="1"/>
    </xf>
    <xf numFmtId="0" fontId="40" fillId="0" borderId="94" xfId="0" applyFont="1" applyBorder="1" applyAlignment="1">
      <alignment vertical="center" wrapText="1"/>
    </xf>
    <xf numFmtId="0" fontId="40" fillId="0" borderId="115" xfId="0" applyFont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22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0" fillId="0" borderId="55" xfId="0" applyFont="1" applyBorder="1" applyAlignment="1">
      <alignment vertical="center" wrapText="1"/>
    </xf>
    <xf numFmtId="0" fontId="40" fillId="0" borderId="78" xfId="0" applyFont="1" applyBorder="1" applyAlignment="1">
      <alignment vertical="center" wrapText="1"/>
    </xf>
    <xf numFmtId="0" fontId="39" fillId="0" borderId="41" xfId="0" applyFont="1" applyBorder="1" applyAlignment="1">
      <alignment horizontal="left" vertical="center" wrapText="1"/>
    </xf>
    <xf numFmtId="0" fontId="39" fillId="0" borderId="42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39" fillId="0" borderId="45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39" fillId="0" borderId="45" xfId="0" applyFont="1" applyBorder="1" applyAlignment="1">
      <alignment horizontal="left" vertical="center" wrapText="1"/>
    </xf>
    <xf numFmtId="0" fontId="39" fillId="0" borderId="46" xfId="0" applyFont="1" applyBorder="1" applyAlignment="1">
      <alignment horizontal="left" vertical="center" wrapText="1"/>
    </xf>
    <xf numFmtId="0" fontId="39" fillId="0" borderId="47" xfId="0" applyFont="1" applyBorder="1" applyAlignment="1">
      <alignment horizontal="left" vertical="center" wrapText="1"/>
    </xf>
    <xf numFmtId="0" fontId="39" fillId="0" borderId="53" xfId="0" applyFont="1" applyBorder="1" applyAlignment="1">
      <alignment horizontal="left" vertical="center" wrapText="1"/>
    </xf>
    <xf numFmtId="0" fontId="39" fillId="0" borderId="43" xfId="0" applyFont="1" applyBorder="1" applyAlignment="1">
      <alignment horizontal="center" vertical="center" wrapText="1"/>
    </xf>
    <xf numFmtId="0" fontId="39" fillId="0" borderId="79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41" xfId="0" applyFont="1" applyBorder="1" applyAlignment="1">
      <alignment horizontal="center" vertical="center" wrapText="1"/>
    </xf>
    <xf numFmtId="0" fontId="39" fillId="0" borderId="65" xfId="0" applyFont="1" applyBorder="1" applyAlignment="1">
      <alignment horizontal="center" vertical="center" wrapText="1"/>
    </xf>
    <xf numFmtId="0" fontId="39" fillId="8" borderId="117" xfId="0" applyFont="1" applyFill="1" applyBorder="1" applyAlignment="1">
      <alignment horizontal="center" vertical="center"/>
    </xf>
    <xf numFmtId="0" fontId="39" fillId="8" borderId="92" xfId="0" applyFont="1" applyFill="1" applyBorder="1" applyAlignment="1">
      <alignment horizontal="center" vertical="center"/>
    </xf>
    <xf numFmtId="2" fontId="39" fillId="8" borderId="45" xfId="0" applyNumberFormat="1" applyFont="1" applyFill="1" applyBorder="1" applyAlignment="1">
      <alignment horizontal="left" vertical="center"/>
    </xf>
    <xf numFmtId="0" fontId="39" fillId="8" borderId="46" xfId="0" applyFont="1" applyFill="1" applyBorder="1" applyAlignment="1">
      <alignment horizontal="left" vertical="center"/>
    </xf>
    <xf numFmtId="0" fontId="39" fillId="8" borderId="47" xfId="0" applyFont="1" applyFill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0" xfId="0" applyFont="1" applyBorder="1" applyAlignment="1">
      <alignment horizontal="right" vertical="center" wrapText="1"/>
    </xf>
    <xf numFmtId="0" fontId="40" fillId="0" borderId="10" xfId="0" applyFont="1" applyBorder="1" applyAlignment="1">
      <alignment horizontal="left" vertical="center"/>
    </xf>
    <xf numFmtId="0" fontId="40" fillId="0" borderId="103" xfId="0" applyFont="1" applyBorder="1" applyAlignment="1">
      <alignment horizontal="left" vertical="center"/>
    </xf>
    <xf numFmtId="0" fontId="40" fillId="0" borderId="66" xfId="0" applyFont="1" applyBorder="1" applyAlignment="1">
      <alignment horizontal="left" vertical="center"/>
    </xf>
    <xf numFmtId="2" fontId="66" fillId="0" borderId="45" xfId="56" applyNumberFormat="1" applyFont="1" applyFill="1" applyBorder="1" applyAlignment="1">
      <alignment horizontal="center" vertical="center"/>
      <protection/>
    </xf>
    <xf numFmtId="2" fontId="66" fillId="0" borderId="46" xfId="56" applyNumberFormat="1" applyFont="1" applyFill="1" applyBorder="1" applyAlignment="1">
      <alignment horizontal="center" vertical="center"/>
      <protection/>
    </xf>
    <xf numFmtId="2" fontId="66" fillId="0" borderId="47" xfId="56" applyNumberFormat="1" applyFont="1" applyFill="1" applyBorder="1" applyAlignment="1">
      <alignment horizontal="center" vertical="center"/>
      <protection/>
    </xf>
    <xf numFmtId="0" fontId="65" fillId="25" borderId="118" xfId="56" applyFont="1" applyFill="1" applyBorder="1" applyAlignment="1">
      <alignment horizontal="center" vertical="center" wrapText="1"/>
      <protection/>
    </xf>
    <xf numFmtId="0" fontId="65" fillId="25" borderId="119" xfId="56" applyFont="1" applyFill="1" applyBorder="1" applyAlignment="1">
      <alignment horizontal="center" vertical="center" wrapText="1"/>
      <protection/>
    </xf>
    <xf numFmtId="0" fontId="65" fillId="25" borderId="120" xfId="56" applyFont="1" applyFill="1" applyBorder="1" applyAlignment="1">
      <alignment horizontal="center" vertical="center" wrapText="1"/>
      <protection/>
    </xf>
    <xf numFmtId="2" fontId="66" fillId="8" borderId="75" xfId="56" applyNumberFormat="1" applyFont="1" applyFill="1" applyBorder="1" applyAlignment="1">
      <alignment horizontal="center" vertical="center" wrapText="1"/>
      <protection/>
    </xf>
    <xf numFmtId="0" fontId="62" fillId="0" borderId="103" xfId="0" applyFont="1" applyBorder="1" applyAlignment="1">
      <alignment/>
    </xf>
    <xf numFmtId="0" fontId="62" fillId="0" borderId="66" xfId="0" applyFont="1" applyBorder="1" applyAlignment="1">
      <alignment/>
    </xf>
    <xf numFmtId="2" fontId="66" fillId="0" borderId="75" xfId="56" applyNumberFormat="1" applyFont="1" applyFill="1" applyBorder="1" applyAlignment="1">
      <alignment horizontal="center" vertical="center"/>
      <protection/>
    </xf>
    <xf numFmtId="2" fontId="66" fillId="0" borderId="103" xfId="56" applyNumberFormat="1" applyFont="1" applyFill="1" applyBorder="1" applyAlignment="1">
      <alignment horizontal="center" vertical="center"/>
      <protection/>
    </xf>
    <xf numFmtId="2" fontId="66" fillId="0" borderId="121" xfId="56" applyNumberFormat="1" applyFont="1" applyFill="1" applyBorder="1" applyAlignment="1">
      <alignment horizontal="center" vertical="center"/>
      <protection/>
    </xf>
    <xf numFmtId="0" fontId="65" fillId="0" borderId="75" xfId="0" applyFont="1" applyFill="1" applyBorder="1" applyAlignment="1" applyProtection="1">
      <alignment horizontal="center" vertical="center"/>
      <protection locked="0"/>
    </xf>
    <xf numFmtId="0" fontId="65" fillId="0" borderId="66" xfId="0" applyFont="1" applyFill="1" applyBorder="1" applyAlignment="1" applyProtection="1">
      <alignment horizontal="center" vertical="center"/>
      <protection locked="0"/>
    </xf>
    <xf numFmtId="0" fontId="65" fillId="0" borderId="18" xfId="0" applyFont="1" applyFill="1" applyBorder="1" applyAlignment="1" applyProtection="1">
      <alignment horizontal="center" vertical="center"/>
      <protection locked="0"/>
    </xf>
    <xf numFmtId="0" fontId="65" fillId="0" borderId="121" xfId="0" applyFont="1" applyFill="1" applyBorder="1" applyAlignment="1" applyProtection="1">
      <alignment horizontal="center" vertical="center"/>
      <protection locked="0"/>
    </xf>
    <xf numFmtId="0" fontId="62" fillId="0" borderId="0" xfId="0" applyFont="1" applyAlignment="1">
      <alignment horizontal="left"/>
    </xf>
    <xf numFmtId="0" fontId="65" fillId="0" borderId="28" xfId="0" applyFont="1" applyFill="1" applyBorder="1" applyAlignment="1" applyProtection="1">
      <alignment horizontal="center" vertical="center"/>
      <protection locked="0"/>
    </xf>
    <xf numFmtId="0" fontId="65" fillId="0" borderId="29" xfId="0" applyFont="1" applyFill="1" applyBorder="1" applyAlignment="1" applyProtection="1">
      <alignment horizontal="center" vertical="center"/>
      <protection locked="0"/>
    </xf>
    <xf numFmtId="0" fontId="65" fillId="0" borderId="116" xfId="0" applyFont="1" applyFill="1" applyBorder="1" applyAlignment="1" applyProtection="1">
      <alignment horizontal="center" vertical="center"/>
      <protection locked="0"/>
    </xf>
    <xf numFmtId="0" fontId="65" fillId="0" borderId="78" xfId="0" applyFont="1" applyFill="1" applyBorder="1" applyAlignment="1" applyProtection="1">
      <alignment horizontal="center" vertical="center"/>
      <protection locked="0"/>
    </xf>
    <xf numFmtId="2" fontId="44" fillId="8" borderId="10" xfId="56" applyNumberFormat="1" applyFont="1" applyFill="1" applyBorder="1" applyAlignment="1">
      <alignment horizontal="center" vertical="center" wrapText="1"/>
      <protection/>
    </xf>
    <xf numFmtId="2" fontId="44" fillId="0" borderId="10" xfId="56" applyNumberFormat="1" applyFont="1" applyFill="1" applyBorder="1" applyAlignment="1">
      <alignment horizontal="center" vertical="center"/>
      <protection/>
    </xf>
    <xf numFmtId="0" fontId="40" fillId="0" borderId="103" xfId="0" applyFont="1" applyBorder="1" applyAlignment="1">
      <alignment vertical="center"/>
    </xf>
    <xf numFmtId="0" fontId="40" fillId="0" borderId="58" xfId="0" applyFont="1" applyBorder="1" applyAlignment="1">
      <alignment vertical="center"/>
    </xf>
    <xf numFmtId="0" fontId="0" fillId="0" borderId="17" xfId="0" applyBorder="1" applyAlignment="1">
      <alignment horizontal="center"/>
    </xf>
    <xf numFmtId="173" fontId="40" fillId="8" borderId="107" xfId="0" applyNumberFormat="1" applyFont="1" applyFill="1" applyBorder="1" applyAlignment="1">
      <alignment horizontal="center" vertical="center"/>
    </xf>
    <xf numFmtId="173" fontId="39" fillId="8" borderId="13" xfId="61" applyNumberFormat="1" applyFont="1" applyFill="1" applyBorder="1" applyAlignment="1" applyProtection="1">
      <alignment horizontal="center" vertical="center" wrapText="1"/>
      <protection/>
    </xf>
    <xf numFmtId="173" fontId="40" fillId="8" borderId="20" xfId="61" applyNumberFormat="1" applyFont="1" applyFill="1" applyBorder="1" applyAlignment="1">
      <alignment horizontal="center" vertical="center" wrapText="1"/>
      <protection/>
    </xf>
    <xf numFmtId="3" fontId="39" fillId="8" borderId="54" xfId="0" applyNumberFormat="1" applyFont="1" applyFill="1" applyBorder="1" applyAlignment="1" applyProtection="1">
      <alignment horizontal="center" vertical="center"/>
      <protection/>
    </xf>
    <xf numFmtId="3" fontId="39" fillId="8" borderId="42" xfId="0" applyNumberFormat="1" applyFont="1" applyFill="1" applyBorder="1" applyAlignment="1" applyProtection="1">
      <alignment horizontal="center" vertical="center"/>
      <protection/>
    </xf>
    <xf numFmtId="3" fontId="39" fillId="8" borderId="15" xfId="0" applyNumberFormat="1" applyFont="1" applyFill="1" applyBorder="1" applyAlignment="1" applyProtection="1">
      <alignment horizontal="center" vertical="center"/>
      <protection/>
    </xf>
    <xf numFmtId="3" fontId="39" fillId="8" borderId="26" xfId="0" applyNumberFormat="1" applyFont="1" applyFill="1" applyBorder="1" applyAlignment="1" applyProtection="1">
      <alignment horizontal="center" vertical="center"/>
      <protection/>
    </xf>
    <xf numFmtId="2" fontId="39" fillId="0" borderId="45" xfId="0" applyNumberFormat="1" applyFont="1" applyBorder="1" applyAlignment="1">
      <alignment horizontal="center" vertical="center" wrapText="1"/>
    </xf>
    <xf numFmtId="0" fontId="39" fillId="0" borderId="46" xfId="0" applyFont="1" applyBorder="1" applyAlignment="1">
      <alignment horizontal="center" vertical="center" wrapText="1"/>
    </xf>
    <xf numFmtId="0" fontId="39" fillId="0" borderId="47" xfId="0" applyFont="1" applyBorder="1" applyAlignment="1">
      <alignment horizontal="center" vertical="center" wrapText="1"/>
    </xf>
    <xf numFmtId="0" fontId="39" fillId="0" borderId="45" xfId="0" applyFont="1" applyBorder="1" applyAlignment="1">
      <alignment horizontal="center" vertical="center" wrapText="1"/>
    </xf>
    <xf numFmtId="173" fontId="39" fillId="8" borderId="122" xfId="0" applyNumberFormat="1" applyFont="1" applyFill="1" applyBorder="1" applyAlignment="1" applyProtection="1">
      <alignment horizontal="center" vertical="center"/>
      <protection/>
    </xf>
    <xf numFmtId="173" fontId="40" fillId="8" borderId="123" xfId="0" applyNumberFormat="1" applyFont="1" applyFill="1" applyBorder="1" applyAlignment="1">
      <alignment horizontal="center" vertical="center"/>
    </xf>
    <xf numFmtId="173" fontId="39" fillId="8" borderId="79" xfId="61" applyNumberFormat="1" applyFont="1" applyFill="1" applyBorder="1" applyAlignment="1" applyProtection="1">
      <alignment horizontal="center" vertical="center" wrapText="1"/>
      <protection/>
    </xf>
    <xf numFmtId="173" fontId="40" fillId="8" borderId="65" xfId="61" applyNumberFormat="1" applyFont="1" applyFill="1" applyBorder="1" applyAlignment="1">
      <alignment horizontal="center" vertical="center" wrapText="1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_1CF-94 (2)" xfId="55"/>
    <cellStyle name="Normal_AGBOD-94" xfId="56"/>
    <cellStyle name="Normal_AGBOD-94 2" xfId="57"/>
    <cellStyle name="Normal_AGBOD-94_Modelos PIAF 2014 (flujo+inversiones+deuda)" xfId="58"/>
    <cellStyle name="Normal_AGBOD-94_PLANTILLAS EPEL+INTEGRA+MAYORITARIA" xfId="59"/>
    <cellStyle name="Normal_ANEXO III Y IV MAQUETADO" xfId="60"/>
    <cellStyle name="Normal_CONSOLIDADO-2002" xfId="61"/>
    <cellStyle name="Normal_CS-96" xfId="62"/>
    <cellStyle name="Normal_CS-96_PAIF EMPRESAS PARA ENVIAR" xfId="63"/>
    <cellStyle name="Normal_PF1-INV" xfId="64"/>
    <cellStyle name="Normal_PF1-INV_1. CASINO TAORO PAIF 2009" xfId="65"/>
    <cellStyle name="Normal_PYG96" xfId="66"/>
    <cellStyle name="Normal_PYG96_Modelos PIAF 2014 (flujo+inversiones+deuda)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  <cellStyle name="Währung" xfId="78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</xdr:col>
      <xdr:colOff>371475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619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38100</xdr:rowOff>
    </xdr:from>
    <xdr:to>
      <xdr:col>1</xdr:col>
      <xdr:colOff>781050</xdr:colOff>
      <xdr:row>2</xdr:row>
      <xdr:rowOff>123825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704850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809625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71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38100</xdr:rowOff>
    </xdr:from>
    <xdr:to>
      <xdr:col>1</xdr:col>
      <xdr:colOff>771525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100"/>
          <a:ext cx="733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2</xdr:col>
      <xdr:colOff>85725</xdr:colOff>
      <xdr:row>2</xdr:row>
      <xdr:rowOff>95250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2</xdr:col>
      <xdr:colOff>133350</xdr:colOff>
      <xdr:row>2</xdr:row>
      <xdr:rowOff>95250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771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9525</xdr:rowOff>
    </xdr:from>
    <xdr:to>
      <xdr:col>1</xdr:col>
      <xdr:colOff>752475</xdr:colOff>
      <xdr:row>2</xdr:row>
      <xdr:rowOff>95250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6953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</xdr:rowOff>
    </xdr:from>
    <xdr:to>
      <xdr:col>0</xdr:col>
      <xdr:colOff>885825</xdr:colOff>
      <xdr:row>2</xdr:row>
      <xdr:rowOff>142875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828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0</xdr:col>
      <xdr:colOff>695325</xdr:colOff>
      <xdr:row>2</xdr:row>
      <xdr:rowOff>133350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66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2</xdr:col>
      <xdr:colOff>57150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0</xdr:col>
      <xdr:colOff>771525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685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57150</xdr:rowOff>
    </xdr:from>
    <xdr:to>
      <xdr:col>1</xdr:col>
      <xdr:colOff>561975</xdr:colOff>
      <xdr:row>2</xdr:row>
      <xdr:rowOff>123825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542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1114425</xdr:colOff>
      <xdr:row>106</xdr:row>
      <xdr:rowOff>85725</xdr:rowOff>
    </xdr:from>
    <xdr:ext cx="95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8629650" y="275272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57150</xdr:colOff>
      <xdr:row>0</xdr:row>
      <xdr:rowOff>0</xdr:rowOff>
    </xdr:from>
    <xdr:to>
      <xdr:col>0</xdr:col>
      <xdr:colOff>733425</xdr:colOff>
      <xdr:row>2</xdr:row>
      <xdr:rowOff>114300</xdr:rowOff>
    </xdr:to>
    <xdr:pic>
      <xdr:nvPicPr>
        <xdr:cNvPr id="2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676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352425</xdr:colOff>
      <xdr:row>54</xdr:row>
      <xdr:rowOff>66675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01125" y="13201650"/>
          <a:ext cx="352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352425</xdr:colOff>
      <xdr:row>54</xdr:row>
      <xdr:rowOff>66675</xdr:rowOff>
    </xdr:to>
    <xdr:pic>
      <xdr:nvPicPr>
        <xdr:cNvPr id="4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01125" y="13201650"/>
          <a:ext cx="352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352425</xdr:colOff>
      <xdr:row>55</xdr:row>
      <xdr:rowOff>66675</xdr:rowOff>
    </xdr:to>
    <xdr:pic>
      <xdr:nvPicPr>
        <xdr:cNvPr id="5" name="Picture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01125" y="13449300"/>
          <a:ext cx="352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352425</xdr:colOff>
      <xdr:row>55</xdr:row>
      <xdr:rowOff>66675</xdr:rowOff>
    </xdr:to>
    <xdr:pic>
      <xdr:nvPicPr>
        <xdr:cNvPr id="6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01125" y="13449300"/>
          <a:ext cx="352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0</xdr:col>
      <xdr:colOff>714375</xdr:colOff>
      <xdr:row>3</xdr:row>
      <xdr:rowOff>9525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666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</xdr:rowOff>
    </xdr:from>
    <xdr:to>
      <xdr:col>0</xdr:col>
      <xdr:colOff>723900</xdr:colOff>
      <xdr:row>3</xdr:row>
      <xdr:rowOff>9525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666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962025</xdr:colOff>
      <xdr:row>2</xdr:row>
      <xdr:rowOff>152400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904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971550</xdr:colOff>
      <xdr:row>3</xdr:row>
      <xdr:rowOff>142875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0</xdr:col>
      <xdr:colOff>819150</xdr:colOff>
      <xdr:row>2</xdr:row>
      <xdr:rowOff>123825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7620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100"/>
  <sheetViews>
    <sheetView zoomScalePageLayoutView="0" workbookViewId="0" topLeftCell="A69">
      <selection activeCell="F88" sqref="F88"/>
    </sheetView>
  </sheetViews>
  <sheetFormatPr defaultColWidth="11.421875" defaultRowHeight="12.75"/>
  <cols>
    <col min="1" max="1" width="4.28125" style="2" customWidth="1"/>
    <col min="2" max="2" width="37.28125" style="2" bestFit="1" customWidth="1"/>
    <col min="3" max="3" width="20.140625" style="14" customWidth="1"/>
    <col min="4" max="4" width="15.57421875" style="2" customWidth="1"/>
    <col min="5" max="5" width="17.8515625" style="2" customWidth="1"/>
    <col min="6" max="8" width="11.421875" style="2" customWidth="1"/>
    <col min="9" max="9" width="13.7109375" style="2" customWidth="1"/>
    <col min="10" max="16384" width="11.421875" style="2" customWidth="1"/>
  </cols>
  <sheetData>
    <row r="1" spans="1:3" s="4" customFormat="1" ht="12.75">
      <c r="A1" s="4" t="s">
        <v>732</v>
      </c>
      <c r="C1" s="15"/>
    </row>
    <row r="2" spans="1:3" s="4" customFormat="1" ht="12.75">
      <c r="A2" s="4" t="s">
        <v>731</v>
      </c>
      <c r="C2" s="15"/>
    </row>
    <row r="3" ht="12.75"/>
    <row r="4" ht="12.75"/>
    <row r="5" spans="1:4" ht="12.75">
      <c r="A5" s="988" t="e">
        <f>CPYG!#REF!</f>
        <v>#REF!</v>
      </c>
      <c r="B5" s="988"/>
      <c r="C5" s="988"/>
      <c r="D5" s="988"/>
    </row>
    <row r="6" ht="12.75"/>
    <row r="7" ht="13.5" thickBot="1"/>
    <row r="8" spans="1:3" ht="12.75">
      <c r="A8" s="989" t="s">
        <v>694</v>
      </c>
      <c r="B8" s="990"/>
      <c r="C8" s="998" t="s">
        <v>695</v>
      </c>
    </row>
    <row r="9" spans="1:3" ht="12.75">
      <c r="A9" s="991"/>
      <c r="B9" s="992"/>
      <c r="C9" s="999"/>
    </row>
    <row r="10" spans="1:3" ht="12.75">
      <c r="A10" s="991"/>
      <c r="B10" s="992"/>
      <c r="C10" s="999"/>
    </row>
    <row r="11" spans="1:3" ht="12.75">
      <c r="A11" s="993"/>
      <c r="B11" s="994"/>
      <c r="C11" s="1000"/>
    </row>
    <row r="12" spans="1:3" ht="12.75">
      <c r="A12" s="50"/>
      <c r="B12" s="51"/>
      <c r="C12" s="52"/>
    </row>
    <row r="13" spans="1:3" ht="12.75">
      <c r="A13" s="53" t="s">
        <v>696</v>
      </c>
      <c r="B13" s="54" t="s">
        <v>792</v>
      </c>
      <c r="C13" s="55">
        <v>0</v>
      </c>
    </row>
    <row r="14" spans="1:10" ht="12.75" customHeight="1">
      <c r="A14" s="53" t="s">
        <v>697</v>
      </c>
      <c r="B14" s="54" t="s">
        <v>793</v>
      </c>
      <c r="C14" s="55">
        <v>0</v>
      </c>
      <c r="F14" s="987" t="s">
        <v>734</v>
      </c>
      <c r="G14" s="987"/>
      <c r="H14" s="987"/>
      <c r="I14" s="987"/>
      <c r="J14" s="107"/>
    </row>
    <row r="15" spans="1:10" ht="12.75">
      <c r="A15" s="53" t="s">
        <v>698</v>
      </c>
      <c r="B15" s="54" t="s">
        <v>794</v>
      </c>
      <c r="C15" s="55">
        <f>CPYG!D12</f>
        <v>8338525.569999999</v>
      </c>
      <c r="F15" s="987"/>
      <c r="G15" s="987"/>
      <c r="H15" s="987"/>
      <c r="I15" s="987"/>
      <c r="J15" s="107"/>
    </row>
    <row r="16" spans="1:10" ht="12.75">
      <c r="A16" s="53" t="s">
        <v>699</v>
      </c>
      <c r="B16" s="54" t="s">
        <v>795</v>
      </c>
      <c r="C16" s="55" t="e">
        <f>'No rellenar EP-5 '!E29+#REF!</f>
        <v>#REF!</v>
      </c>
      <c r="F16" s="987"/>
      <c r="G16" s="987"/>
      <c r="H16" s="987"/>
      <c r="I16" s="987"/>
      <c r="J16" s="107"/>
    </row>
    <row r="17" spans="1:9" ht="12.75">
      <c r="A17" s="53" t="s">
        <v>700</v>
      </c>
      <c r="B17" s="54" t="s">
        <v>796</v>
      </c>
      <c r="C17" s="55">
        <f>CPYG!D34+CPYG!D83+CPYG!D79</f>
        <v>2877789.64</v>
      </c>
      <c r="F17" s="987"/>
      <c r="G17" s="987"/>
      <c r="H17" s="987"/>
      <c r="I17" s="987"/>
    </row>
    <row r="18" spans="1:9" ht="12.75">
      <c r="A18" s="56"/>
      <c r="B18" s="57"/>
      <c r="C18" s="58"/>
      <c r="F18" s="987"/>
      <c r="G18" s="987"/>
      <c r="H18" s="987"/>
      <c r="I18" s="987"/>
    </row>
    <row r="19" spans="1:9" ht="12.75">
      <c r="A19" s="92" t="s">
        <v>701</v>
      </c>
      <c r="B19" s="93"/>
      <c r="C19" s="94" t="e">
        <f>SUM(C13:C17)</f>
        <v>#REF!</v>
      </c>
      <c r="F19" s="987"/>
      <c r="G19" s="987"/>
      <c r="H19" s="987"/>
      <c r="I19" s="987"/>
    </row>
    <row r="20" spans="1:9" ht="12.75">
      <c r="A20" s="59"/>
      <c r="B20" s="60"/>
      <c r="C20" s="61"/>
      <c r="F20" s="987"/>
      <c r="G20" s="987"/>
      <c r="H20" s="987"/>
      <c r="I20" s="987"/>
    </row>
    <row r="21" spans="1:9" ht="12.75">
      <c r="A21" s="56"/>
      <c r="B21" s="57"/>
      <c r="C21" s="58"/>
      <c r="F21" s="987"/>
      <c r="G21" s="987"/>
      <c r="H21" s="987"/>
      <c r="I21" s="987"/>
    </row>
    <row r="22" spans="1:9" ht="12.75">
      <c r="A22" s="53" t="s">
        <v>702</v>
      </c>
      <c r="B22" s="54" t="s">
        <v>797</v>
      </c>
      <c r="C22" s="58">
        <f>'Inv. NO FIN'!H23+'Inv. NO FIN'!H24+'Inv. NO FIN'!H25+'Inv. NO FIN'!H26</f>
        <v>0</v>
      </c>
      <c r="F22" s="987"/>
      <c r="G22" s="987"/>
      <c r="H22" s="987"/>
      <c r="I22" s="987"/>
    </row>
    <row r="23" spans="1:9" ht="12.75">
      <c r="A23" s="53" t="s">
        <v>703</v>
      </c>
      <c r="B23" s="54" t="s">
        <v>798</v>
      </c>
      <c r="C23" s="58" t="e">
        <f>'Transf. y subv.'!E20+'Transf. y subv.'!#REF!</f>
        <v>#REF!</v>
      </c>
      <c r="F23" s="987"/>
      <c r="G23" s="987"/>
      <c r="H23" s="987"/>
      <c r="I23" s="987"/>
    </row>
    <row r="24" spans="1:3" ht="12.75">
      <c r="A24" s="56"/>
      <c r="B24" s="57"/>
      <c r="C24" s="58"/>
    </row>
    <row r="25" spans="1:3" ht="12.75">
      <c r="A25" s="92" t="s">
        <v>704</v>
      </c>
      <c r="B25" s="93"/>
      <c r="C25" s="94" t="e">
        <f>SUM(C22:C23)</f>
        <v>#REF!</v>
      </c>
    </row>
    <row r="26" spans="1:3" ht="12.75">
      <c r="A26" s="59"/>
      <c r="B26" s="60"/>
      <c r="C26" s="61"/>
    </row>
    <row r="27" spans="1:3" ht="12.75">
      <c r="A27" s="56"/>
      <c r="B27" s="57"/>
      <c r="C27" s="58"/>
    </row>
    <row r="28" spans="1:3" ht="12.75">
      <c r="A28" s="53" t="s">
        <v>705</v>
      </c>
      <c r="B28" s="54" t="s">
        <v>799</v>
      </c>
      <c r="C28" s="55">
        <f>'Inv. FIN'!E51</f>
        <v>0</v>
      </c>
    </row>
    <row r="29" spans="1:3" ht="12.75">
      <c r="A29" s="53" t="s">
        <v>706</v>
      </c>
      <c r="B29" s="54" t="s">
        <v>800</v>
      </c>
      <c r="C29" s="55">
        <f>'Deuda L.P.'!I29</f>
        <v>23600000</v>
      </c>
    </row>
    <row r="30" spans="1:3" ht="12.75">
      <c r="A30" s="56"/>
      <c r="B30" s="57"/>
      <c r="C30" s="58"/>
    </row>
    <row r="31" spans="1:3" ht="12.75">
      <c r="A31" s="92" t="s">
        <v>707</v>
      </c>
      <c r="B31" s="93"/>
      <c r="C31" s="95">
        <f>SUM(C28:C29)</f>
        <v>23600000</v>
      </c>
    </row>
    <row r="32" spans="1:3" ht="13.5" thickBot="1">
      <c r="A32" s="62"/>
      <c r="B32" s="63"/>
      <c r="C32" s="64"/>
    </row>
    <row r="33" spans="1:3" ht="14.25" thickBot="1" thickTop="1">
      <c r="A33" s="65"/>
      <c r="B33" s="66"/>
      <c r="C33" s="67"/>
    </row>
    <row r="34" spans="1:3" ht="13.5" thickTop="1">
      <c r="A34" s="68"/>
      <c r="B34" s="69"/>
      <c r="C34" s="70"/>
    </row>
    <row r="35" spans="1:3" ht="12.75">
      <c r="A35" s="68"/>
      <c r="B35" s="71" t="s">
        <v>708</v>
      </c>
      <c r="C35" s="72" t="e">
        <f>C19+C25+C31</f>
        <v>#REF!</v>
      </c>
    </row>
    <row r="36" spans="1:3" ht="13.5" thickBot="1">
      <c r="A36" s="73"/>
      <c r="B36" s="74"/>
      <c r="C36" s="75"/>
    </row>
    <row r="37" spans="1:3" ht="14.25" thickBot="1" thickTop="1">
      <c r="A37" s="45"/>
      <c r="B37" s="46"/>
      <c r="C37" s="47"/>
    </row>
    <row r="38" spans="1:3" ht="13.5" thickTop="1">
      <c r="A38" s="76"/>
      <c r="B38" s="1001" t="s">
        <v>709</v>
      </c>
      <c r="C38" s="1003">
        <f>CPYG!D98</f>
        <v>0</v>
      </c>
    </row>
    <row r="39" spans="1:3" ht="13.5" thickBot="1">
      <c r="A39" s="77"/>
      <c r="B39" s="1002"/>
      <c r="C39" s="1004"/>
    </row>
    <row r="40" spans="1:3" ht="14.25" thickBot="1" thickTop="1">
      <c r="A40" s="62"/>
      <c r="B40" s="78"/>
      <c r="C40" s="79"/>
    </row>
    <row r="41" spans="1:3" ht="13.5" thickTop="1">
      <c r="A41" s="104"/>
      <c r="B41" s="105"/>
      <c r="C41" s="80"/>
    </row>
    <row r="42" spans="1:3" ht="12.75">
      <c r="A42" s="68"/>
      <c r="B42" s="71" t="s">
        <v>708</v>
      </c>
      <c r="C42" s="72" t="e">
        <f>C35+C38</f>
        <v>#REF!</v>
      </c>
    </row>
    <row r="43" spans="1:3" ht="13.5" thickBot="1">
      <c r="A43" s="73"/>
      <c r="B43" s="98"/>
      <c r="C43" s="81"/>
    </row>
    <row r="44" ht="13.5" thickTop="1"/>
    <row r="45" ht="12.75" hidden="1"/>
    <row r="46" ht="12.75" hidden="1"/>
    <row r="47" ht="12.75" hidden="1"/>
    <row r="48" ht="13.5" thickBot="1"/>
    <row r="49" spans="1:3" ht="12.75">
      <c r="A49" s="989" t="s">
        <v>694</v>
      </c>
      <c r="B49" s="990"/>
      <c r="C49" s="995" t="s">
        <v>695</v>
      </c>
    </row>
    <row r="50" spans="1:3" ht="12.75">
      <c r="A50" s="991"/>
      <c r="B50" s="992"/>
      <c r="C50" s="996"/>
    </row>
    <row r="51" spans="1:3" ht="12.75">
      <c r="A51" s="991"/>
      <c r="B51" s="992"/>
      <c r="C51" s="996"/>
    </row>
    <row r="52" spans="1:3" ht="12.75">
      <c r="A52" s="993"/>
      <c r="B52" s="994"/>
      <c r="C52" s="997"/>
    </row>
    <row r="53" spans="1:3" ht="12.75">
      <c r="A53" s="62"/>
      <c r="B53" s="51"/>
      <c r="C53" s="64"/>
    </row>
    <row r="54" spans="1:3" ht="12.75">
      <c r="A54" s="53" t="s">
        <v>696</v>
      </c>
      <c r="B54" s="82" t="s">
        <v>710</v>
      </c>
      <c r="C54" s="83">
        <f>-CPYG!D46</f>
        <v>5668096.17</v>
      </c>
    </row>
    <row r="55" spans="1:3" ht="12.75">
      <c r="A55" s="53" t="s">
        <v>697</v>
      </c>
      <c r="B55" s="82" t="s">
        <v>711</v>
      </c>
      <c r="C55" s="83">
        <f>-CPYG!D29-CPYG!D54+CPYG!D57-CPYG!D107</f>
        <v>9554685.079999998</v>
      </c>
    </row>
    <row r="56" spans="1:3" ht="12.75">
      <c r="A56" s="53" t="s">
        <v>698</v>
      </c>
      <c r="B56" s="82" t="s">
        <v>83</v>
      </c>
      <c r="C56" s="83">
        <f>-CPYG!D91</f>
        <v>282177.48</v>
      </c>
    </row>
    <row r="57" spans="1:3" ht="12.75">
      <c r="A57" s="53" t="s">
        <v>699</v>
      </c>
      <c r="B57" s="82" t="s">
        <v>712</v>
      </c>
      <c r="C57" s="83"/>
    </row>
    <row r="58" spans="1:3" ht="12.75">
      <c r="A58" s="62"/>
      <c r="B58" s="63"/>
      <c r="C58" s="83"/>
    </row>
    <row r="59" spans="1:6" ht="12.75">
      <c r="A59" s="92" t="s">
        <v>713</v>
      </c>
      <c r="B59" s="93"/>
      <c r="C59" s="95">
        <f>SUM(C54:C58)</f>
        <v>15504958.729999999</v>
      </c>
      <c r="E59" s="37" t="e">
        <f>C19-C59</f>
        <v>#REF!</v>
      </c>
      <c r="F59" s="2" t="s">
        <v>714</v>
      </c>
    </row>
    <row r="60" spans="1:5" ht="12.75">
      <c r="A60" s="59"/>
      <c r="B60" s="60"/>
      <c r="C60" s="84"/>
      <c r="E60" s="2" t="e">
        <f>-#REF!</f>
        <v>#REF!</v>
      </c>
    </row>
    <row r="61" spans="1:5" ht="12.75">
      <c r="A61" s="62"/>
      <c r="B61" s="63"/>
      <c r="C61" s="64"/>
      <c r="E61" s="2" t="e">
        <f>-#REF!</f>
        <v>#REF!</v>
      </c>
    </row>
    <row r="62" spans="1:5" ht="12.75">
      <c r="A62" s="53" t="s">
        <v>702</v>
      </c>
      <c r="B62" s="82" t="s">
        <v>715</v>
      </c>
      <c r="C62" s="83">
        <f>'Inv. NO FIN'!C23+'Inv. NO FIN'!C24+'Inv. NO FIN'!C25+'Inv. NO FIN'!C26</f>
        <v>11985793.38</v>
      </c>
      <c r="E62" s="2" t="e">
        <f>-#REF!</f>
        <v>#REF!</v>
      </c>
    </row>
    <row r="63" spans="1:7" ht="12.75">
      <c r="A63" s="53" t="s">
        <v>703</v>
      </c>
      <c r="B63" s="82" t="s">
        <v>716</v>
      </c>
      <c r="C63" s="83"/>
      <c r="E63" s="37" t="e">
        <f>SUM(E59:E62)</f>
        <v>#REF!</v>
      </c>
      <c r="F63" s="2">
        <f>CPYG!D111</f>
        <v>2317497.030000002</v>
      </c>
      <c r="G63" s="37" t="e">
        <f>E63-F63</f>
        <v>#REF!</v>
      </c>
    </row>
    <row r="64" spans="1:3" ht="12.75">
      <c r="A64" s="62"/>
      <c r="B64" s="63"/>
      <c r="C64" s="64"/>
    </row>
    <row r="65" spans="1:6" ht="12.75">
      <c r="A65" s="92" t="s">
        <v>717</v>
      </c>
      <c r="B65" s="93"/>
      <c r="C65" s="95">
        <f>SUM(C62:C63)</f>
        <v>11985793.38</v>
      </c>
      <c r="E65" s="37" t="e">
        <f>C25+C31-C65-C71</f>
        <v>#REF!</v>
      </c>
      <c r="F65" s="2" t="s">
        <v>718</v>
      </c>
    </row>
    <row r="66" spans="1:3" ht="12.75">
      <c r="A66" s="59"/>
      <c r="B66" s="60"/>
      <c r="C66" s="84"/>
    </row>
    <row r="67" spans="1:3" ht="12.75">
      <c r="A67" s="62"/>
      <c r="B67" s="63"/>
      <c r="C67" s="64"/>
    </row>
    <row r="68" spans="1:3" ht="12.75">
      <c r="A68" s="53" t="s">
        <v>705</v>
      </c>
      <c r="B68" s="82" t="s">
        <v>719</v>
      </c>
      <c r="C68" s="83">
        <f>'Inv. FIN'!G51</f>
        <v>-179395.54</v>
      </c>
    </row>
    <row r="69" spans="1:3" ht="12.75">
      <c r="A69" s="53" t="s">
        <v>706</v>
      </c>
      <c r="B69" s="82" t="s">
        <v>720</v>
      </c>
      <c r="C69" s="83"/>
    </row>
    <row r="70" spans="1:3" ht="12.75">
      <c r="A70" s="62"/>
      <c r="B70" s="63"/>
      <c r="C70" s="64"/>
    </row>
    <row r="71" spans="1:6" ht="12.75">
      <c r="A71" s="92" t="s">
        <v>721</v>
      </c>
      <c r="B71" s="93"/>
      <c r="C71" s="95">
        <f>SUM(C68:C69)</f>
        <v>-179395.54</v>
      </c>
      <c r="E71" s="37" t="e">
        <f>SUM(E59:E66)</f>
        <v>#REF!</v>
      </c>
      <c r="F71" s="2" t="s">
        <v>722</v>
      </c>
    </row>
    <row r="72" spans="1:3" ht="13.5" thickBot="1">
      <c r="A72" s="85"/>
      <c r="B72" s="86"/>
      <c r="C72" s="87"/>
    </row>
    <row r="73" spans="1:3" ht="13.5" thickTop="1">
      <c r="A73" s="1005"/>
      <c r="B73" s="1001" t="s">
        <v>723</v>
      </c>
      <c r="C73" s="1007" t="e">
        <f>#REF!+#REF!</f>
        <v>#REF!</v>
      </c>
    </row>
    <row r="74" spans="1:6" ht="13.5" thickBot="1">
      <c r="A74" s="1006"/>
      <c r="B74" s="1002"/>
      <c r="C74" s="1008"/>
      <c r="E74" s="37"/>
      <c r="F74" s="2" t="s">
        <v>84</v>
      </c>
    </row>
    <row r="75" spans="1:3" ht="14.25" thickBot="1" thickTop="1">
      <c r="A75" s="45"/>
      <c r="B75" s="46"/>
      <c r="C75" s="47"/>
    </row>
    <row r="76" spans="1:3" ht="13.5" thickTop="1">
      <c r="A76" s="104"/>
      <c r="B76" s="105"/>
      <c r="C76" s="80"/>
    </row>
    <row r="77" spans="1:3" ht="12.75">
      <c r="A77" s="68"/>
      <c r="B77" s="71" t="s">
        <v>724</v>
      </c>
      <c r="C77" s="72" t="e">
        <f>+C59+C65+C71+C73</f>
        <v>#REF!</v>
      </c>
    </row>
    <row r="78" spans="1:3" ht="13.5" thickBot="1">
      <c r="A78" s="73"/>
      <c r="B78" s="98"/>
      <c r="C78" s="75"/>
    </row>
    <row r="79" spans="1:3" ht="14.25" thickBot="1" thickTop="1">
      <c r="A79" s="88"/>
      <c r="B79" s="89"/>
      <c r="C79" s="90"/>
    </row>
    <row r="80" spans="1:6" ht="13.5" thickTop="1">
      <c r="A80" s="1005"/>
      <c r="B80" s="1001" t="s">
        <v>725</v>
      </c>
      <c r="C80" s="1007" t="e">
        <f>-D97</f>
        <v>#REF!</v>
      </c>
      <c r="E80" s="37" t="e">
        <f>E71-E74</f>
        <v>#REF!</v>
      </c>
      <c r="F80" s="2" t="s">
        <v>590</v>
      </c>
    </row>
    <row r="81" spans="1:3" ht="13.5" thickBot="1">
      <c r="A81" s="1006"/>
      <c r="B81" s="1002"/>
      <c r="C81" s="1008"/>
    </row>
    <row r="82" spans="1:3" ht="14.25" thickBot="1" thickTop="1">
      <c r="A82" s="62"/>
      <c r="B82" s="78"/>
      <c r="C82" s="79"/>
    </row>
    <row r="83" spans="1:3" ht="13.5" thickTop="1">
      <c r="A83" s="99"/>
      <c r="B83" s="100"/>
      <c r="C83" s="80"/>
    </row>
    <row r="84" spans="1:3" ht="12.75">
      <c r="A84" s="68"/>
      <c r="B84" s="101" t="s">
        <v>726</v>
      </c>
      <c r="C84" s="72" t="e">
        <f>SUM(C77:C81)</f>
        <v>#REF!</v>
      </c>
    </row>
    <row r="85" spans="1:5" ht="13.5" thickBot="1">
      <c r="A85" s="102"/>
      <c r="B85" s="103"/>
      <c r="C85" s="81"/>
      <c r="E85" s="91" t="e">
        <f>C42-C84</f>
        <v>#REF!</v>
      </c>
    </row>
    <row r="86" spans="1:2" ht="12.75">
      <c r="A86" s="46"/>
      <c r="B86" s="46"/>
    </row>
    <row r="87" ht="12.75"/>
    <row r="88" ht="12.75"/>
    <row r="89" ht="12.75">
      <c r="C89" s="37"/>
    </row>
    <row r="90" ht="12.75">
      <c r="C90" s="37"/>
    </row>
    <row r="91" spans="1:4" ht="12.75">
      <c r="A91" s="106"/>
      <c r="B91" s="96" t="s">
        <v>791</v>
      </c>
      <c r="C91" s="97"/>
      <c r="D91" s="96"/>
    </row>
    <row r="92" spans="2:3" ht="12.75">
      <c r="B92" s="48"/>
      <c r="C92" s="42"/>
    </row>
    <row r="93" spans="2:3" ht="12.75">
      <c r="B93" s="43"/>
      <c r="C93" s="42"/>
    </row>
    <row r="94" spans="2:5" ht="12.75">
      <c r="B94" s="49" t="s">
        <v>733</v>
      </c>
      <c r="C94" s="2"/>
      <c r="D94" s="38" t="e">
        <f>-#REF!</f>
        <v>#REF!</v>
      </c>
      <c r="E94" s="2" t="s">
        <v>727</v>
      </c>
    </row>
    <row r="95" spans="2:4" ht="12.75">
      <c r="B95" s="49" t="s">
        <v>728</v>
      </c>
      <c r="C95" s="2"/>
      <c r="D95" s="38"/>
    </row>
    <row r="96" spans="2:5" ht="12.75">
      <c r="B96" s="4" t="s">
        <v>729</v>
      </c>
      <c r="C96" s="2"/>
      <c r="D96" s="38" t="e">
        <f>#REF!+#REF!</f>
        <v>#REF!</v>
      </c>
      <c r="E96" s="2" t="s">
        <v>730</v>
      </c>
    </row>
    <row r="97" spans="3:4" ht="13.5" thickBot="1">
      <c r="C97" s="2"/>
      <c r="D97" s="44" t="e">
        <f>SUM(D94:D96)</f>
        <v>#REF!</v>
      </c>
    </row>
    <row r="98" ht="13.5" thickTop="1">
      <c r="C98" s="2"/>
    </row>
    <row r="99" spans="3:4" ht="12.75">
      <c r="C99" s="2"/>
      <c r="D99" s="37" t="e">
        <f>C88+D97</f>
        <v>#REF!</v>
      </c>
    </row>
    <row r="100" ht="12.75">
      <c r="C100" s="2"/>
    </row>
    <row r="101" ht="12.75"/>
    <row r="102" ht="12.75"/>
  </sheetData>
  <sheetProtection/>
  <mergeCells count="14">
    <mergeCell ref="A80:A81"/>
    <mergeCell ref="B80:B81"/>
    <mergeCell ref="C80:C81"/>
    <mergeCell ref="A73:A74"/>
    <mergeCell ref="B73:B74"/>
    <mergeCell ref="C73:C74"/>
    <mergeCell ref="F14:I23"/>
    <mergeCell ref="A5:D5"/>
    <mergeCell ref="A49:B52"/>
    <mergeCell ref="C49:C52"/>
    <mergeCell ref="A8:B11"/>
    <mergeCell ref="C8:C11"/>
    <mergeCell ref="B38:B39"/>
    <mergeCell ref="C38:C39"/>
  </mergeCells>
  <printOptions/>
  <pageMargins left="0.75" right="0.75" top="0.36" bottom="0.22" header="0" footer="0"/>
  <pageSetup fitToHeight="1" fitToWidth="1" horizontalDpi="600" verticalDpi="600" orientation="portrait" paperSize="9" scale="6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0"/>
  <sheetViews>
    <sheetView showGridLines="0" view="pageBreakPreview" zoomScale="40" zoomScaleNormal="55" zoomScaleSheetLayoutView="40" zoomScalePageLayoutView="0" workbookViewId="0" topLeftCell="A1">
      <selection activeCell="D4" sqref="D4"/>
    </sheetView>
  </sheetViews>
  <sheetFormatPr defaultColWidth="11.421875" defaultRowHeight="12.75"/>
  <cols>
    <col min="1" max="1" width="24.8515625" style="215" customWidth="1"/>
    <col min="2" max="2" width="15.421875" style="215" customWidth="1"/>
    <col min="3" max="9" width="17.140625" style="215" customWidth="1"/>
    <col min="10" max="10" width="15.28125" style="215" customWidth="1"/>
    <col min="11" max="11" width="21.57421875" style="215" customWidth="1"/>
    <col min="12" max="12" width="2.8515625" style="215" customWidth="1"/>
    <col min="13" max="13" width="13.28125" style="215" bestFit="1" customWidth="1"/>
    <col min="14" max="16384" width="11.421875" style="215" customWidth="1"/>
  </cols>
  <sheetData>
    <row r="1" spans="1:7" ht="12.75">
      <c r="A1" s="652"/>
      <c r="B1" s="652"/>
      <c r="C1" s="652"/>
      <c r="D1" s="653" t="s">
        <v>534</v>
      </c>
      <c r="E1" s="652"/>
      <c r="F1" s="652"/>
      <c r="G1" s="652"/>
    </row>
    <row r="2" spans="1:7" ht="12.75">
      <c r="A2" s="652"/>
      <c r="B2" s="652"/>
      <c r="C2" s="652"/>
      <c r="D2" s="654" t="s">
        <v>535</v>
      </c>
      <c r="E2" s="652"/>
      <c r="F2" s="652"/>
      <c r="G2" s="652"/>
    </row>
    <row r="3" spans="1:7" ht="12.75">
      <c r="A3" s="652"/>
      <c r="B3" s="654"/>
      <c r="C3" s="652"/>
      <c r="D3" s="652"/>
      <c r="E3" s="652"/>
      <c r="F3" s="652"/>
      <c r="G3" s="652"/>
    </row>
    <row r="4" spans="1:6" ht="12.75">
      <c r="A4" s="652" t="s">
        <v>296</v>
      </c>
      <c r="B4" s="652"/>
      <c r="C4" s="652"/>
      <c r="D4" s="655">
        <v>42339</v>
      </c>
      <c r="E4" s="652"/>
      <c r="F4" s="652"/>
    </row>
    <row r="5" spans="1:6" ht="12.75">
      <c r="A5" s="652" t="s">
        <v>533</v>
      </c>
      <c r="B5" s="652"/>
      <c r="C5" s="652"/>
      <c r="D5" s="656" t="s">
        <v>536</v>
      </c>
      <c r="E5" s="652"/>
      <c r="F5" s="652"/>
    </row>
    <row r="6" ht="13.5" thickBot="1"/>
    <row r="7" spans="1:11" ht="36.75" customHeight="1">
      <c r="A7" s="1062" t="s">
        <v>159</v>
      </c>
      <c r="B7" s="1063"/>
      <c r="C7" s="1063"/>
      <c r="D7" s="1063"/>
      <c r="E7" s="1063"/>
      <c r="F7" s="1063"/>
      <c r="G7" s="1063"/>
      <c r="H7" s="1063"/>
      <c r="I7" s="1063"/>
      <c r="J7" s="1064">
        <f>CPYG!D7</f>
        <v>2016</v>
      </c>
      <c r="K7" s="1065"/>
    </row>
    <row r="8" spans="1:11" ht="39" customHeight="1">
      <c r="A8" s="1060" t="str">
        <f>CPYG!A8</f>
        <v>EMPRESA PÚBLICA: INSTITUTO TECNOLOGICO DE ENERGIAS RENOVABLES SA</v>
      </c>
      <c r="B8" s="1061"/>
      <c r="C8" s="1061"/>
      <c r="D8" s="1061"/>
      <c r="E8" s="1061"/>
      <c r="F8" s="1061"/>
      <c r="G8" s="1061"/>
      <c r="H8" s="1061"/>
      <c r="I8" s="1061"/>
      <c r="J8" s="1069" t="s">
        <v>146</v>
      </c>
      <c r="K8" s="1070"/>
    </row>
    <row r="9" spans="1:11" s="779" customFormat="1" ht="27" customHeight="1">
      <c r="A9" s="1066" t="s">
        <v>802</v>
      </c>
      <c r="B9" s="1067"/>
      <c r="C9" s="1067"/>
      <c r="D9" s="1067"/>
      <c r="E9" s="1067"/>
      <c r="F9" s="1067"/>
      <c r="G9" s="1067"/>
      <c r="H9" s="1067"/>
      <c r="I9" s="1067"/>
      <c r="J9" s="1067"/>
      <c r="K9" s="1068"/>
    </row>
    <row r="10" spans="1:11" s="781" customFormat="1" ht="19.5" customHeight="1">
      <c r="A10" s="1057" t="s">
        <v>650</v>
      </c>
      <c r="B10" s="1058" t="s">
        <v>649</v>
      </c>
      <c r="C10" s="780"/>
      <c r="D10" s="1058"/>
      <c r="E10" s="1058"/>
      <c r="F10" s="1058"/>
      <c r="G10" s="1058"/>
      <c r="H10" s="1058"/>
      <c r="I10" s="1058"/>
      <c r="J10" s="1058" t="s">
        <v>335</v>
      </c>
      <c r="K10" s="1056" t="s">
        <v>407</v>
      </c>
    </row>
    <row r="11" spans="1:11" s="781" customFormat="1" ht="62.25" customHeight="1">
      <c r="A11" s="1057"/>
      <c r="B11" s="1058"/>
      <c r="C11" s="780" t="s">
        <v>408</v>
      </c>
      <c r="D11" s="780" t="s">
        <v>578</v>
      </c>
      <c r="E11" s="780" t="s">
        <v>409</v>
      </c>
      <c r="F11" s="780" t="s">
        <v>683</v>
      </c>
      <c r="G11" s="780" t="s">
        <v>410</v>
      </c>
      <c r="H11" s="780" t="s">
        <v>411</v>
      </c>
      <c r="I11" s="780" t="s">
        <v>412</v>
      </c>
      <c r="J11" s="1058"/>
      <c r="K11" s="1056"/>
    </row>
    <row r="12" spans="1:11" s="781" customFormat="1" ht="11.25">
      <c r="A12" s="1053"/>
      <c r="B12" s="1054"/>
      <c r="C12" s="1054"/>
      <c r="D12" s="1054"/>
      <c r="E12" s="1054"/>
      <c r="F12" s="1054"/>
      <c r="G12" s="1054"/>
      <c r="H12" s="1054"/>
      <c r="I12" s="1054"/>
      <c r="J12" s="1054"/>
      <c r="K12" s="1055"/>
    </row>
    <row r="13" spans="1:11" s="781" customFormat="1" ht="34.5" customHeight="1">
      <c r="A13" s="777" t="s">
        <v>413</v>
      </c>
      <c r="B13" s="782">
        <v>6587123.24</v>
      </c>
      <c r="C13" s="783">
        <v>143.7</v>
      </c>
      <c r="D13" s="783"/>
      <c r="E13" s="783"/>
      <c r="F13" s="783">
        <v>-66789.1</v>
      </c>
      <c r="G13" s="783"/>
      <c r="H13" s="783"/>
      <c r="I13" s="783"/>
      <c r="J13" s="782">
        <f>SUM(B13:I13)</f>
        <v>6520477.840000001</v>
      </c>
      <c r="K13" s="784"/>
    </row>
    <row r="14" spans="1:11" s="781" customFormat="1" ht="34.5" customHeight="1">
      <c r="A14" s="777" t="s">
        <v>916</v>
      </c>
      <c r="B14" s="782">
        <v>61784734.14</v>
      </c>
      <c r="C14" s="783">
        <v>818615.88</v>
      </c>
      <c r="D14" s="783"/>
      <c r="E14" s="783"/>
      <c r="F14" s="783">
        <v>-3424434.79</v>
      </c>
      <c r="G14" s="783"/>
      <c r="H14" s="783"/>
      <c r="I14" s="783">
        <v>-226321.7</v>
      </c>
      <c r="J14" s="782">
        <f>SUM(B14:I14)</f>
        <v>58952593.53</v>
      </c>
      <c r="K14" s="784"/>
    </row>
    <row r="15" spans="1:11" s="781" customFormat="1" ht="34.5" customHeight="1">
      <c r="A15" s="778" t="s">
        <v>414</v>
      </c>
      <c r="B15" s="782"/>
      <c r="C15" s="783"/>
      <c r="D15" s="783"/>
      <c r="E15" s="783"/>
      <c r="F15" s="783"/>
      <c r="G15" s="783"/>
      <c r="H15" s="783"/>
      <c r="I15" s="783"/>
      <c r="J15" s="782">
        <f>SUM(B15:I15)</f>
        <v>0</v>
      </c>
      <c r="K15" s="785"/>
    </row>
    <row r="16" spans="1:13" s="781" customFormat="1" ht="34.5" customHeight="1">
      <c r="A16" s="778" t="s">
        <v>415</v>
      </c>
      <c r="B16" s="782">
        <v>983156.28</v>
      </c>
      <c r="C16" s="783"/>
      <c r="D16" s="783"/>
      <c r="E16" s="783"/>
      <c r="F16" s="783"/>
      <c r="G16" s="783"/>
      <c r="H16" s="783"/>
      <c r="I16" s="783"/>
      <c r="J16" s="782">
        <f>SUM(B16:I16)</f>
        <v>983156.28</v>
      </c>
      <c r="K16" s="785"/>
      <c r="M16" s="786"/>
    </row>
    <row r="17" spans="1:11" s="789" customFormat="1" ht="34.5" customHeight="1">
      <c r="A17" s="778" t="s">
        <v>91</v>
      </c>
      <c r="B17" s="787">
        <f>SUM(B13:B16)</f>
        <v>69355013.66</v>
      </c>
      <c r="C17" s="787">
        <f aca="true" t="shared" si="0" ref="C17:J17">SUM(C13:C16)</f>
        <v>818759.58</v>
      </c>
      <c r="D17" s="787">
        <f t="shared" si="0"/>
        <v>0</v>
      </c>
      <c r="E17" s="787">
        <f t="shared" si="0"/>
        <v>0</v>
      </c>
      <c r="F17" s="787">
        <f t="shared" si="0"/>
        <v>-3491223.89</v>
      </c>
      <c r="G17" s="787">
        <f t="shared" si="0"/>
        <v>0</v>
      </c>
      <c r="H17" s="787">
        <f t="shared" si="0"/>
        <v>0</v>
      </c>
      <c r="I17" s="787">
        <f t="shared" si="0"/>
        <v>-226321.7</v>
      </c>
      <c r="J17" s="787">
        <f t="shared" si="0"/>
        <v>66456227.650000006</v>
      </c>
      <c r="K17" s="788"/>
    </row>
    <row r="18" spans="1:13" s="781" customFormat="1" ht="34.5" customHeight="1">
      <c r="A18" s="778" t="s">
        <v>416</v>
      </c>
      <c r="B18" s="782">
        <f>ACTIVO!B35</f>
        <v>1238440.92</v>
      </c>
      <c r="C18" s="783"/>
      <c r="D18" s="783"/>
      <c r="E18" s="783"/>
      <c r="F18" s="783"/>
      <c r="G18" s="783"/>
      <c r="H18" s="783"/>
      <c r="I18" s="783">
        <v>-4515</v>
      </c>
      <c r="J18" s="782">
        <f>SUM(B18:I18)</f>
        <v>1233925.92</v>
      </c>
      <c r="K18" s="785"/>
      <c r="M18" s="786"/>
    </row>
    <row r="19" spans="1:11" s="781" customFormat="1" ht="14.25" customHeight="1">
      <c r="A19" s="790"/>
      <c r="B19" s="791"/>
      <c r="C19" s="791"/>
      <c r="D19" s="791"/>
      <c r="E19" s="791"/>
      <c r="F19" s="791"/>
      <c r="G19" s="791"/>
      <c r="H19" s="791"/>
      <c r="I19" s="791"/>
      <c r="J19" s="792"/>
      <c r="K19" s="793"/>
    </row>
    <row r="20" spans="1:11" s="781" customFormat="1" ht="19.5" customHeight="1">
      <c r="A20" s="1057" t="s">
        <v>645</v>
      </c>
      <c r="B20" s="1058" t="s">
        <v>651</v>
      </c>
      <c r="C20" s="780"/>
      <c r="D20" s="1058"/>
      <c r="E20" s="1058"/>
      <c r="F20" s="1058"/>
      <c r="G20" s="1058"/>
      <c r="H20" s="1058"/>
      <c r="I20" s="1058"/>
      <c r="J20" s="1058" t="s">
        <v>652</v>
      </c>
      <c r="K20" s="1056" t="s">
        <v>407</v>
      </c>
    </row>
    <row r="21" spans="1:11" s="781" customFormat="1" ht="62.25" customHeight="1">
      <c r="A21" s="1057"/>
      <c r="B21" s="1058"/>
      <c r="C21" s="780" t="s">
        <v>408</v>
      </c>
      <c r="D21" s="780" t="s">
        <v>578</v>
      </c>
      <c r="E21" s="780" t="s">
        <v>409</v>
      </c>
      <c r="F21" s="780" t="s">
        <v>683</v>
      </c>
      <c r="G21" s="780" t="s">
        <v>410</v>
      </c>
      <c r="H21" s="780" t="s">
        <v>411</v>
      </c>
      <c r="I21" s="780" t="s">
        <v>412</v>
      </c>
      <c r="J21" s="1058"/>
      <c r="K21" s="1056"/>
    </row>
    <row r="22" spans="1:11" s="781" customFormat="1" ht="11.25">
      <c r="A22" s="1053"/>
      <c r="B22" s="1054"/>
      <c r="C22" s="1054"/>
      <c r="D22" s="1054"/>
      <c r="E22" s="1054"/>
      <c r="F22" s="1054"/>
      <c r="G22" s="1054"/>
      <c r="H22" s="1054"/>
      <c r="I22" s="1054"/>
      <c r="J22" s="1054"/>
      <c r="K22" s="1055"/>
    </row>
    <row r="23" spans="1:11" s="781" customFormat="1" ht="34.5" customHeight="1">
      <c r="A23" s="777" t="s">
        <v>413</v>
      </c>
      <c r="B23" s="782">
        <v>6520477.840000001</v>
      </c>
      <c r="C23" s="794"/>
      <c r="D23" s="794"/>
      <c r="E23" s="794"/>
      <c r="F23" s="794">
        <v>-61748.81</v>
      </c>
      <c r="G23" s="794"/>
      <c r="H23" s="794"/>
      <c r="I23" s="794"/>
      <c r="J23" s="782">
        <f>SUM(B23:I23)</f>
        <v>6458729.030000001</v>
      </c>
      <c r="K23" s="784"/>
    </row>
    <row r="24" spans="1:11" s="781" customFormat="1" ht="34.5" customHeight="1">
      <c r="A24" s="777" t="s">
        <v>916</v>
      </c>
      <c r="B24" s="782">
        <v>58952593.53</v>
      </c>
      <c r="C24" s="794">
        <v>11985793.38</v>
      </c>
      <c r="D24" s="794"/>
      <c r="E24" s="794"/>
      <c r="F24" s="794">
        <v>-3353548.78</v>
      </c>
      <c r="G24" s="794"/>
      <c r="H24" s="794"/>
      <c r="I24" s="794">
        <v>-656990.82</v>
      </c>
      <c r="J24" s="782">
        <f>SUM(B24:I24)</f>
        <v>66927847.309999995</v>
      </c>
      <c r="K24" s="784"/>
    </row>
    <row r="25" spans="1:11" s="781" customFormat="1" ht="34.5" customHeight="1">
      <c r="A25" s="778" t="s">
        <v>414</v>
      </c>
      <c r="B25" s="782"/>
      <c r="C25" s="794"/>
      <c r="D25" s="794"/>
      <c r="E25" s="794"/>
      <c r="F25" s="794"/>
      <c r="G25" s="794"/>
      <c r="H25" s="794"/>
      <c r="I25" s="794"/>
      <c r="J25" s="782">
        <f>SUM(B25:I25)</f>
        <v>0</v>
      </c>
      <c r="K25" s="785"/>
    </row>
    <row r="26" spans="1:11" s="781" customFormat="1" ht="34.5" customHeight="1">
      <c r="A26" s="778" t="s">
        <v>415</v>
      </c>
      <c r="B26" s="782">
        <v>983156.28</v>
      </c>
      <c r="C26" s="794"/>
      <c r="D26" s="794"/>
      <c r="E26" s="794"/>
      <c r="F26" s="794"/>
      <c r="G26" s="794"/>
      <c r="H26" s="794"/>
      <c r="I26" s="794"/>
      <c r="J26" s="782">
        <f>SUM(B26:I26)</f>
        <v>983156.28</v>
      </c>
      <c r="K26" s="785"/>
    </row>
    <row r="27" spans="1:11" s="789" customFormat="1" ht="34.5" customHeight="1">
      <c r="A27" s="778" t="s">
        <v>91</v>
      </c>
      <c r="B27" s="787">
        <f aca="true" t="shared" si="1" ref="B27:H27">SUM(B23:B26)</f>
        <v>66456227.650000006</v>
      </c>
      <c r="C27" s="795">
        <f t="shared" si="1"/>
        <v>11985793.38</v>
      </c>
      <c r="D27" s="795">
        <f t="shared" si="1"/>
        <v>0</v>
      </c>
      <c r="E27" s="795">
        <f t="shared" si="1"/>
        <v>0</v>
      </c>
      <c r="F27" s="795">
        <f t="shared" si="1"/>
        <v>-3415297.59</v>
      </c>
      <c r="G27" s="795">
        <f t="shared" si="1"/>
        <v>0</v>
      </c>
      <c r="H27" s="795">
        <f t="shared" si="1"/>
        <v>0</v>
      </c>
      <c r="I27" s="795">
        <f>SUM(I23:I26)</f>
        <v>-656990.82</v>
      </c>
      <c r="J27" s="795">
        <f>SUM(J23:J26)</f>
        <v>74369732.62</v>
      </c>
      <c r="K27" s="796"/>
    </row>
    <row r="28" spans="1:13" s="781" customFormat="1" ht="34.5" customHeight="1" thickBot="1">
      <c r="A28" s="797" t="s">
        <v>416</v>
      </c>
      <c r="B28" s="798">
        <v>1233925.92</v>
      </c>
      <c r="C28" s="799"/>
      <c r="D28" s="799"/>
      <c r="E28" s="799"/>
      <c r="F28" s="799"/>
      <c r="G28" s="799"/>
      <c r="H28" s="799"/>
      <c r="I28" s="799">
        <v>-252270</v>
      </c>
      <c r="J28" s="798">
        <f>SUM(B28:I28)</f>
        <v>981655.9199999999</v>
      </c>
      <c r="K28" s="800"/>
      <c r="M28" s="786"/>
    </row>
    <row r="30" spans="1:11" s="938" customFormat="1" ht="12.75" hidden="1">
      <c r="A30" s="936" t="s">
        <v>417</v>
      </c>
      <c r="B30" s="937"/>
      <c r="K30" s="939"/>
    </row>
    <row r="31" spans="1:11" s="938" customFormat="1" ht="12.75" hidden="1">
      <c r="A31" s="1059" t="s">
        <v>418</v>
      </c>
      <c r="B31" s="1059"/>
      <c r="C31" s="1059"/>
      <c r="D31" s="1059"/>
      <c r="E31" s="1059"/>
      <c r="F31" s="1059"/>
      <c r="G31" s="1059"/>
      <c r="H31" s="1059"/>
      <c r="I31" s="1059"/>
      <c r="J31" s="1059"/>
      <c r="K31" s="1059"/>
    </row>
    <row r="32" spans="1:11" s="938" customFormat="1" ht="12.75" hidden="1">
      <c r="A32" s="1059" t="s">
        <v>419</v>
      </c>
      <c r="B32" s="1059"/>
      <c r="C32" s="1059"/>
      <c r="D32" s="1059"/>
      <c r="E32" s="1059"/>
      <c r="F32" s="1059"/>
      <c r="G32" s="1059"/>
      <c r="H32" s="1059"/>
      <c r="I32" s="1059"/>
      <c r="J32" s="1059"/>
      <c r="K32" s="1059"/>
    </row>
    <row r="33" spans="1:11" s="938" customFormat="1" ht="12.75" hidden="1">
      <c r="A33" s="1059" t="s">
        <v>424</v>
      </c>
      <c r="B33" s="1059"/>
      <c r="C33" s="1059"/>
      <c r="D33" s="1059"/>
      <c r="E33" s="1059"/>
      <c r="F33" s="1059"/>
      <c r="G33" s="1059"/>
      <c r="H33" s="1059"/>
      <c r="I33" s="1059"/>
      <c r="J33" s="1059"/>
      <c r="K33" s="1059"/>
    </row>
    <row r="34" spans="1:11" s="938" customFormat="1" ht="12.75" hidden="1">
      <c r="A34" s="1059" t="s">
        <v>425</v>
      </c>
      <c r="B34" s="1059"/>
      <c r="C34" s="1059"/>
      <c r="D34" s="1059"/>
      <c r="E34" s="1059"/>
      <c r="F34" s="1059"/>
      <c r="G34" s="1059"/>
      <c r="H34" s="1059"/>
      <c r="I34" s="1059"/>
      <c r="J34" s="1059"/>
      <c r="K34" s="1059"/>
    </row>
    <row r="35" spans="1:11" s="938" customFormat="1" ht="12.75" hidden="1">
      <c r="A35" s="1059" t="s">
        <v>530</v>
      </c>
      <c r="B35" s="1059"/>
      <c r="C35" s="1059"/>
      <c r="D35" s="1059"/>
      <c r="E35" s="1059"/>
      <c r="F35" s="1059"/>
      <c r="G35" s="1059"/>
      <c r="H35" s="1059"/>
      <c r="I35" s="1059"/>
      <c r="J35" s="1059"/>
      <c r="K35" s="1059"/>
    </row>
    <row r="36" spans="1:11" s="938" customFormat="1" ht="12.75" hidden="1">
      <c r="A36" s="1059" t="s">
        <v>531</v>
      </c>
      <c r="B36" s="1059"/>
      <c r="C36" s="1059"/>
      <c r="D36" s="1059"/>
      <c r="E36" s="1059"/>
      <c r="F36" s="1059"/>
      <c r="G36" s="1059"/>
      <c r="H36" s="1059"/>
      <c r="I36" s="1059"/>
      <c r="J36" s="1059"/>
      <c r="K36" s="1059"/>
    </row>
    <row r="37" spans="1:11" s="938" customFormat="1" ht="12.75" hidden="1">
      <c r="A37" s="1059" t="s">
        <v>532</v>
      </c>
      <c r="B37" s="1059"/>
      <c r="C37" s="1059"/>
      <c r="D37" s="1059"/>
      <c r="E37" s="1059"/>
      <c r="F37" s="1059"/>
      <c r="G37" s="1059"/>
      <c r="H37" s="1059"/>
      <c r="I37" s="1059"/>
      <c r="J37" s="1059"/>
      <c r="K37" s="1059"/>
    </row>
    <row r="38" spans="1:11" s="938" customFormat="1" ht="12.75" hidden="1">
      <c r="A38" s="1059" t="s">
        <v>541</v>
      </c>
      <c r="B38" s="1059"/>
      <c r="C38" s="1059"/>
      <c r="D38" s="1059"/>
      <c r="E38" s="1059"/>
      <c r="F38" s="1059"/>
      <c r="G38" s="1059"/>
      <c r="H38" s="1059"/>
      <c r="I38" s="1059"/>
      <c r="J38" s="1059"/>
      <c r="K38" s="1059"/>
    </row>
    <row r="39" spans="1:11" s="938" customFormat="1" ht="12.75" hidden="1">
      <c r="A39" s="1059" t="s">
        <v>542</v>
      </c>
      <c r="B39" s="1059"/>
      <c r="C39" s="1059"/>
      <c r="D39" s="1059"/>
      <c r="E39" s="1059"/>
      <c r="F39" s="1059"/>
      <c r="G39" s="1059"/>
      <c r="H39" s="1059"/>
      <c r="I39" s="1059"/>
      <c r="J39" s="1059"/>
      <c r="K39" s="1059"/>
    </row>
    <row r="40" spans="1:11" s="938" customFormat="1" ht="12.75" hidden="1">
      <c r="A40" s="1059" t="s">
        <v>544</v>
      </c>
      <c r="B40" s="1059"/>
      <c r="C40" s="1059"/>
      <c r="D40" s="1059"/>
      <c r="E40" s="1059"/>
      <c r="F40" s="1059"/>
      <c r="G40" s="1059"/>
      <c r="H40" s="1059"/>
      <c r="I40" s="1059"/>
      <c r="J40" s="1059"/>
      <c r="K40" s="1059"/>
    </row>
    <row r="41" s="938" customFormat="1" ht="12.75" hidden="1"/>
  </sheetData>
  <sheetProtection formatColumns="0" formatRows="0"/>
  <mergeCells count="27">
    <mergeCell ref="K10:K11"/>
    <mergeCell ref="A10:A11"/>
    <mergeCell ref="B10:B11"/>
    <mergeCell ref="D10:I10"/>
    <mergeCell ref="J10:J11"/>
    <mergeCell ref="A33:K33"/>
    <mergeCell ref="A32:K32"/>
    <mergeCell ref="A22:K22"/>
    <mergeCell ref="A31:K31"/>
    <mergeCell ref="A8:I8"/>
    <mergeCell ref="A7:I7"/>
    <mergeCell ref="J7:K7"/>
    <mergeCell ref="A9:K9"/>
    <mergeCell ref="J8:K8"/>
    <mergeCell ref="A40:K40"/>
    <mergeCell ref="A34:K34"/>
    <mergeCell ref="A35:K35"/>
    <mergeCell ref="A36:K36"/>
    <mergeCell ref="A37:K37"/>
    <mergeCell ref="A38:K38"/>
    <mergeCell ref="A39:K39"/>
    <mergeCell ref="A12:K12"/>
    <mergeCell ref="K20:K21"/>
    <mergeCell ref="A20:A21"/>
    <mergeCell ref="B20:B21"/>
    <mergeCell ref="D20:I20"/>
    <mergeCell ref="J20:J21"/>
  </mergeCells>
  <printOptions horizontalCentered="1" verticalCentered="1"/>
  <pageMargins left="0.28" right="0.17" top="0.17" bottom="0.33" header="0" footer="0"/>
  <pageSetup horizontalDpi="600" verticalDpi="600" orientation="landscape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0"/>
  <sheetViews>
    <sheetView showGridLines="0" view="pageBreakPreview" zoomScale="80" zoomScaleNormal="40" zoomScaleSheetLayoutView="80" zoomScalePageLayoutView="0" workbookViewId="0" topLeftCell="A1">
      <selection activeCell="D4" sqref="D4"/>
    </sheetView>
  </sheetViews>
  <sheetFormatPr defaultColWidth="11.421875" defaultRowHeight="12.75"/>
  <cols>
    <col min="1" max="1" width="1.8515625" style="133" customWidth="1"/>
    <col min="2" max="2" width="40.7109375" style="133" customWidth="1"/>
    <col min="3" max="3" width="17.140625" style="133" customWidth="1"/>
    <col min="4" max="4" width="23.00390625" style="133" bestFit="1" customWidth="1"/>
    <col min="5" max="6" width="21.28125" style="133" customWidth="1"/>
    <col min="7" max="7" width="24.00390625" style="133" customWidth="1"/>
    <col min="8" max="11" width="21.28125" style="133" customWidth="1"/>
    <col min="12" max="12" width="32.28125" style="133" customWidth="1"/>
    <col min="13" max="16384" width="11.421875" style="133" customWidth="1"/>
  </cols>
  <sheetData>
    <row r="1" spans="2:6" ht="12.75">
      <c r="B1" s="900"/>
      <c r="C1" s="900"/>
      <c r="D1" s="901" t="s">
        <v>534</v>
      </c>
      <c r="F1" s="900"/>
    </row>
    <row r="2" spans="2:6" ht="12.75">
      <c r="B2" s="900"/>
      <c r="C2" s="900"/>
      <c r="D2" s="902" t="s">
        <v>535</v>
      </c>
      <c r="F2" s="900"/>
    </row>
    <row r="3" spans="2:6" ht="12.75">
      <c r="B3" s="900"/>
      <c r="C3" s="902"/>
      <c r="D3" s="900"/>
      <c r="E3" s="900"/>
      <c r="F3" s="900"/>
    </row>
    <row r="4" spans="2:6" ht="12.75">
      <c r="B4" s="900" t="s">
        <v>296</v>
      </c>
      <c r="C4" s="900"/>
      <c r="D4" s="903">
        <v>42339</v>
      </c>
      <c r="F4" s="900"/>
    </row>
    <row r="5" spans="2:6" ht="12.75">
      <c r="B5" s="900" t="s">
        <v>533</v>
      </c>
      <c r="C5" s="900"/>
      <c r="D5" s="904" t="s">
        <v>536</v>
      </c>
      <c r="F5" s="900"/>
    </row>
    <row r="6" ht="13.5" thickBot="1"/>
    <row r="7" spans="1:12" s="215" customFormat="1" ht="13.5" thickBot="1">
      <c r="A7" s="1095" t="s">
        <v>159</v>
      </c>
      <c r="B7" s="1096"/>
      <c r="C7" s="1096"/>
      <c r="D7" s="1096"/>
      <c r="E7" s="1096"/>
      <c r="F7" s="1096"/>
      <c r="G7" s="1096"/>
      <c r="H7" s="1096"/>
      <c r="I7" s="1096"/>
      <c r="J7" s="1097"/>
      <c r="K7" s="1091">
        <f>CPYG!D7</f>
        <v>2016</v>
      </c>
      <c r="L7" s="1092"/>
    </row>
    <row r="8" spans="1:12" ht="12.75">
      <c r="A8" s="1098" t="str">
        <f>CPYG!A8</f>
        <v>EMPRESA PÚBLICA: INSTITUTO TECNOLOGICO DE ENERGIAS RENOVABLES SA</v>
      </c>
      <c r="B8" s="1099"/>
      <c r="C8" s="1099"/>
      <c r="D8" s="1099"/>
      <c r="E8" s="1099"/>
      <c r="F8" s="1099"/>
      <c r="G8" s="1099"/>
      <c r="H8" s="1099"/>
      <c r="I8" s="1099"/>
      <c r="J8" s="1100"/>
      <c r="K8" s="1093" t="s">
        <v>147</v>
      </c>
      <c r="L8" s="1094"/>
    </row>
    <row r="9" spans="1:12" ht="12.75">
      <c r="A9" s="1088" t="s">
        <v>529</v>
      </c>
      <c r="B9" s="1088"/>
      <c r="C9" s="1088"/>
      <c r="D9" s="1088"/>
      <c r="E9" s="1088"/>
      <c r="F9" s="1088"/>
      <c r="G9" s="1088"/>
      <c r="H9" s="1088"/>
      <c r="I9" s="1088"/>
      <c r="J9" s="1088"/>
      <c r="K9" s="1088"/>
      <c r="L9" s="1088"/>
    </row>
    <row r="10" spans="1:12" s="219" customFormat="1" ht="12.75">
      <c r="A10" s="1088" t="s">
        <v>152</v>
      </c>
      <c r="B10" s="1088"/>
      <c r="C10" s="1088"/>
      <c r="D10" s="1088"/>
      <c r="E10" s="1088"/>
      <c r="F10" s="1088"/>
      <c r="G10" s="1088"/>
      <c r="H10" s="1088"/>
      <c r="I10" s="1088"/>
      <c r="J10" s="1088"/>
      <c r="K10" s="1088"/>
      <c r="L10" s="1088"/>
    </row>
    <row r="11" spans="1:12" ht="12.75">
      <c r="A11" s="1087" t="s">
        <v>579</v>
      </c>
      <c r="B11" s="1087"/>
      <c r="C11" s="1087" t="s">
        <v>580</v>
      </c>
      <c r="D11" s="1087" t="s">
        <v>653</v>
      </c>
      <c r="E11" s="1087" t="s">
        <v>581</v>
      </c>
      <c r="F11" s="1087"/>
      <c r="G11" s="1087" t="s">
        <v>582</v>
      </c>
      <c r="H11" s="1087"/>
      <c r="I11" s="1090" t="s">
        <v>654</v>
      </c>
      <c r="J11" s="1090" t="s">
        <v>655</v>
      </c>
      <c r="K11" s="1090" t="s">
        <v>656</v>
      </c>
      <c r="L11" s="1087" t="s">
        <v>583</v>
      </c>
    </row>
    <row r="12" spans="1:12" ht="38.25">
      <c r="A12" s="1087"/>
      <c r="B12" s="1087"/>
      <c r="C12" s="1087"/>
      <c r="D12" s="1087"/>
      <c r="E12" s="263" t="s">
        <v>584</v>
      </c>
      <c r="F12" s="263" t="s">
        <v>585</v>
      </c>
      <c r="G12" s="263" t="s">
        <v>586</v>
      </c>
      <c r="H12" s="263" t="s">
        <v>587</v>
      </c>
      <c r="I12" s="1090"/>
      <c r="J12" s="1090"/>
      <c r="K12" s="1090"/>
      <c r="L12" s="1087"/>
    </row>
    <row r="13" spans="1:12" ht="12.75">
      <c r="A13" s="1077" t="s">
        <v>545</v>
      </c>
      <c r="B13" s="1077"/>
      <c r="C13" s="1077"/>
      <c r="D13" s="1077"/>
      <c r="E13" s="1077"/>
      <c r="F13" s="1077"/>
      <c r="G13" s="1077"/>
      <c r="H13" s="1077"/>
      <c r="I13" s="1077"/>
      <c r="J13" s="1077"/>
      <c r="K13" s="1077"/>
      <c r="L13" s="1077"/>
    </row>
    <row r="14" spans="1:12" ht="12.75">
      <c r="A14" s="1085" t="s">
        <v>489</v>
      </c>
      <c r="B14" s="1085"/>
      <c r="C14" s="882">
        <v>2403</v>
      </c>
      <c r="D14" s="883">
        <v>10676000</v>
      </c>
      <c r="E14" s="884"/>
      <c r="F14" s="884"/>
      <c r="G14" s="884"/>
      <c r="H14" s="885"/>
      <c r="I14" s="886">
        <v>10676000</v>
      </c>
      <c r="J14" s="887">
        <v>1</v>
      </c>
      <c r="K14" s="888"/>
      <c r="L14" s="889" t="s">
        <v>486</v>
      </c>
    </row>
    <row r="15" spans="1:12" ht="12.75">
      <c r="A15" s="1085" t="s">
        <v>490</v>
      </c>
      <c r="B15" s="1085"/>
      <c r="C15" s="882">
        <v>2403</v>
      </c>
      <c r="D15" s="883">
        <v>60200</v>
      </c>
      <c r="E15" s="884"/>
      <c r="F15" s="884"/>
      <c r="G15" s="884"/>
      <c r="H15" s="885"/>
      <c r="I15" s="886">
        <v>60200</v>
      </c>
      <c r="J15" s="887">
        <v>1</v>
      </c>
      <c r="K15" s="888"/>
      <c r="L15" s="889"/>
    </row>
    <row r="16" spans="1:12" ht="12.75">
      <c r="A16" s="1085" t="s">
        <v>491</v>
      </c>
      <c r="B16" s="1085" t="s">
        <v>491</v>
      </c>
      <c r="C16" s="882">
        <v>2404</v>
      </c>
      <c r="D16" s="883">
        <v>1626810</v>
      </c>
      <c r="E16" s="884"/>
      <c r="F16" s="884"/>
      <c r="G16" s="884"/>
      <c r="H16" s="885"/>
      <c r="I16" s="886">
        <v>1626810</v>
      </c>
      <c r="J16" s="887">
        <v>0.3994</v>
      </c>
      <c r="K16" s="888"/>
      <c r="L16" s="889"/>
    </row>
    <row r="17" spans="1:12" ht="12.75">
      <c r="A17" s="1085" t="s">
        <v>492</v>
      </c>
      <c r="B17" s="1085" t="s">
        <v>492</v>
      </c>
      <c r="C17" s="882">
        <v>2404</v>
      </c>
      <c r="D17" s="883">
        <v>2250000</v>
      </c>
      <c r="E17" s="884"/>
      <c r="F17" s="884"/>
      <c r="G17" s="884"/>
      <c r="H17" s="885"/>
      <c r="I17" s="886">
        <v>2250000</v>
      </c>
      <c r="J17" s="887">
        <v>0.3</v>
      </c>
      <c r="K17" s="888"/>
      <c r="L17" s="889"/>
    </row>
    <row r="18" spans="1:12" ht="12.75">
      <c r="A18" s="1085" t="s">
        <v>493</v>
      </c>
      <c r="B18" s="1085" t="s">
        <v>493</v>
      </c>
      <c r="C18" s="889">
        <v>2404</v>
      </c>
      <c r="D18" s="883">
        <v>3387308.1</v>
      </c>
      <c r="E18" s="884"/>
      <c r="F18" s="884"/>
      <c r="G18" s="889">
        <v>-963800</v>
      </c>
      <c r="H18" s="884"/>
      <c r="I18" s="886">
        <v>2423508.1</v>
      </c>
      <c r="J18" s="887">
        <v>0.2097</v>
      </c>
      <c r="K18" s="888"/>
      <c r="L18" s="889" t="s">
        <v>487</v>
      </c>
    </row>
    <row r="19" spans="1:12" ht="12.75">
      <c r="A19" s="1085" t="s">
        <v>494</v>
      </c>
      <c r="B19" s="1085"/>
      <c r="C19" s="889">
        <v>2404</v>
      </c>
      <c r="D19" s="883">
        <v>210354.24</v>
      </c>
      <c r="E19" s="884"/>
      <c r="F19" s="884"/>
      <c r="G19" s="884"/>
      <c r="H19" s="884"/>
      <c r="I19" s="886">
        <v>210354.24</v>
      </c>
      <c r="J19" s="887">
        <v>0.5</v>
      </c>
      <c r="K19" s="888"/>
      <c r="L19" s="889"/>
    </row>
    <row r="20" spans="1:12" ht="12.75">
      <c r="A20" s="1085" t="s">
        <v>495</v>
      </c>
      <c r="B20" s="1085"/>
      <c r="C20" s="889">
        <v>2404</v>
      </c>
      <c r="D20" s="883">
        <v>0</v>
      </c>
      <c r="E20" s="884"/>
      <c r="F20" s="884"/>
      <c r="G20" s="884"/>
      <c r="H20" s="884"/>
      <c r="I20" s="886">
        <v>0</v>
      </c>
      <c r="J20" s="887">
        <v>0.3</v>
      </c>
      <c r="K20" s="888"/>
      <c r="L20" s="889" t="s">
        <v>488</v>
      </c>
    </row>
    <row r="21" spans="1:12" ht="12.75">
      <c r="A21" s="1079"/>
      <c r="B21" s="1079"/>
      <c r="C21" s="889"/>
      <c r="D21" s="884"/>
      <c r="E21" s="884"/>
      <c r="F21" s="884"/>
      <c r="G21" s="884"/>
      <c r="H21" s="884"/>
      <c r="I21" s="886">
        <f>SUM(D21:H21)</f>
        <v>0</v>
      </c>
      <c r="J21" s="888"/>
      <c r="K21" s="888"/>
      <c r="L21" s="889"/>
    </row>
    <row r="22" spans="1:12" s="132" customFormat="1" ht="12.75">
      <c r="A22" s="1080" t="s">
        <v>91</v>
      </c>
      <c r="B22" s="1080"/>
      <c r="C22" s="890"/>
      <c r="D22" s="891">
        <f>SUM(D14:D21)</f>
        <v>18210672.34</v>
      </c>
      <c r="E22" s="891">
        <f>SUM(E14:E21)</f>
        <v>0</v>
      </c>
      <c r="F22" s="892"/>
      <c r="G22" s="919">
        <f>SUM(G14:G21)</f>
        <v>-963800</v>
      </c>
      <c r="H22" s="891">
        <f>SUM(H14:H21)</f>
        <v>0</v>
      </c>
      <c r="I22" s="891">
        <f>SUM(I14:I21)</f>
        <v>17246872.34</v>
      </c>
      <c r="J22" s="893"/>
      <c r="K22" s="894">
        <f>SUM(K14:K21)</f>
        <v>0</v>
      </c>
      <c r="L22" s="890"/>
    </row>
    <row r="23" spans="1:12" ht="12.75">
      <c r="A23" s="1081" t="s">
        <v>546</v>
      </c>
      <c r="B23" s="1081"/>
      <c r="C23" s="1081"/>
      <c r="D23" s="1081"/>
      <c r="E23" s="1081"/>
      <c r="F23" s="1081"/>
      <c r="G23" s="1081"/>
      <c r="H23" s="1081"/>
      <c r="I23" s="1081"/>
      <c r="J23" s="1081"/>
      <c r="K23" s="1081"/>
      <c r="L23" s="1081"/>
    </row>
    <row r="24" spans="1:12" ht="12.75">
      <c r="A24" s="1085" t="s">
        <v>496</v>
      </c>
      <c r="B24" s="1085"/>
      <c r="C24" s="895">
        <v>250</v>
      </c>
      <c r="D24" s="886">
        <v>20734.92</v>
      </c>
      <c r="E24" s="884"/>
      <c r="F24" s="884"/>
      <c r="G24" s="884"/>
      <c r="H24" s="884"/>
      <c r="I24" s="886">
        <v>20734.92</v>
      </c>
      <c r="J24" s="896"/>
      <c r="K24" s="888"/>
      <c r="L24" s="889"/>
    </row>
    <row r="25" spans="1:12" ht="12.75">
      <c r="A25" s="1085" t="s">
        <v>497</v>
      </c>
      <c r="B25" s="1085"/>
      <c r="C25" s="895">
        <v>250</v>
      </c>
      <c r="D25" s="886">
        <v>15866.4</v>
      </c>
      <c r="E25" s="884"/>
      <c r="F25" s="884"/>
      <c r="G25" s="884"/>
      <c r="H25" s="884"/>
      <c r="I25" s="886">
        <v>15866.4</v>
      </c>
      <c r="J25" s="896"/>
      <c r="K25" s="888"/>
      <c r="L25" s="889"/>
    </row>
    <row r="26" spans="1:12" ht="12.75">
      <c r="A26" s="1085" t="s">
        <v>498</v>
      </c>
      <c r="B26" s="1085"/>
      <c r="C26" s="895">
        <v>250</v>
      </c>
      <c r="D26" s="886">
        <v>0</v>
      </c>
      <c r="E26" s="884"/>
      <c r="F26" s="884"/>
      <c r="G26" s="884"/>
      <c r="H26" s="884"/>
      <c r="I26" s="886">
        <v>0</v>
      </c>
      <c r="J26" s="896"/>
      <c r="K26" s="888"/>
      <c r="L26" s="889"/>
    </row>
    <row r="27" spans="1:12" ht="12.75">
      <c r="A27" s="1085" t="s">
        <v>499</v>
      </c>
      <c r="B27" s="1085"/>
      <c r="C27" s="895">
        <v>250</v>
      </c>
      <c r="D27" s="886">
        <v>27318.76</v>
      </c>
      <c r="E27" s="884"/>
      <c r="F27" s="884"/>
      <c r="G27" s="884"/>
      <c r="H27" s="884"/>
      <c r="I27" s="886">
        <v>27318.76</v>
      </c>
      <c r="J27" s="896"/>
      <c r="K27" s="888"/>
      <c r="L27" s="889"/>
    </row>
    <row r="28" spans="1:12" ht="12.75">
      <c r="A28" s="1085" t="s">
        <v>500</v>
      </c>
      <c r="B28" s="1085"/>
      <c r="C28" s="895">
        <v>251</v>
      </c>
      <c r="D28" s="886">
        <v>1300000</v>
      </c>
      <c r="E28" s="884"/>
      <c r="F28" s="884"/>
      <c r="G28" s="884"/>
      <c r="H28" s="884"/>
      <c r="I28" s="886">
        <v>1300000</v>
      </c>
      <c r="J28" s="896"/>
      <c r="K28" s="888"/>
      <c r="L28" s="889"/>
    </row>
    <row r="29" spans="1:12" ht="12.75">
      <c r="A29" s="188" t="s">
        <v>501</v>
      </c>
      <c r="B29" s="188"/>
      <c r="C29" s="895">
        <v>252</v>
      </c>
      <c r="D29" s="886">
        <v>188907.37</v>
      </c>
      <c r="E29" s="884"/>
      <c r="F29" s="884"/>
      <c r="G29" s="889">
        <v>-40045.21</v>
      </c>
      <c r="H29" s="884"/>
      <c r="I29" s="886">
        <v>148862.16</v>
      </c>
      <c r="J29" s="896"/>
      <c r="K29" s="888"/>
      <c r="L29" s="889"/>
    </row>
    <row r="30" spans="1:12" ht="12.75">
      <c r="A30" s="1085" t="s">
        <v>502</v>
      </c>
      <c r="B30" s="1085"/>
      <c r="C30" s="895">
        <v>260</v>
      </c>
      <c r="D30" s="886">
        <v>16491.68</v>
      </c>
      <c r="E30" s="884"/>
      <c r="F30" s="884"/>
      <c r="G30" s="884"/>
      <c r="H30" s="884"/>
      <c r="I30" s="886">
        <v>16491.68</v>
      </c>
      <c r="J30" s="896"/>
      <c r="K30" s="888"/>
      <c r="L30" s="889"/>
    </row>
    <row r="31" spans="1:12" ht="12.75">
      <c r="A31" s="1079"/>
      <c r="B31" s="1079"/>
      <c r="C31" s="889"/>
      <c r="D31" s="884"/>
      <c r="E31" s="884"/>
      <c r="F31" s="884"/>
      <c r="G31" s="884"/>
      <c r="H31" s="884"/>
      <c r="I31" s="886">
        <f>SUM(D31:H31)</f>
        <v>0</v>
      </c>
      <c r="J31" s="896"/>
      <c r="K31" s="888"/>
      <c r="L31" s="889"/>
    </row>
    <row r="32" spans="1:12" s="132" customFormat="1" ht="12.75">
      <c r="A32" s="1080" t="s">
        <v>91</v>
      </c>
      <c r="B32" s="1080"/>
      <c r="C32" s="890"/>
      <c r="D32" s="891">
        <f>SUM(D24:D31)</f>
        <v>1569319.1300000001</v>
      </c>
      <c r="E32" s="891">
        <f>SUM(E24:E31)</f>
        <v>0</v>
      </c>
      <c r="F32" s="892"/>
      <c r="G32" s="919">
        <f>SUM(G24:G31)</f>
        <v>-40045.21</v>
      </c>
      <c r="H32" s="891">
        <f>SUM(H24:H31)</f>
        <v>0</v>
      </c>
      <c r="I32" s="891">
        <f>SUM(I24:I31)</f>
        <v>1529273.92</v>
      </c>
      <c r="J32" s="893"/>
      <c r="K32" s="894">
        <f>SUM(K24:K31)</f>
        <v>0</v>
      </c>
      <c r="L32" s="890"/>
    </row>
    <row r="33" spans="1:12" ht="12.75">
      <c r="A33" s="188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</row>
    <row r="34" spans="1:12" ht="12.75">
      <c r="A34" s="1088" t="s">
        <v>154</v>
      </c>
      <c r="B34" s="1088"/>
      <c r="C34" s="1088"/>
      <c r="D34" s="1088"/>
      <c r="E34" s="1088"/>
      <c r="F34" s="1088"/>
      <c r="G34" s="1088"/>
      <c r="H34" s="1088"/>
      <c r="I34" s="1088"/>
      <c r="J34" s="1088"/>
      <c r="K34" s="1088"/>
      <c r="L34" s="1088"/>
    </row>
    <row r="35" spans="1:12" s="219" customFormat="1" ht="12.75">
      <c r="A35" s="1088" t="s">
        <v>803</v>
      </c>
      <c r="B35" s="1088"/>
      <c r="C35" s="1088"/>
      <c r="D35" s="1088"/>
      <c r="E35" s="1088"/>
      <c r="F35" s="1088"/>
      <c r="G35" s="1088"/>
      <c r="H35" s="1088"/>
      <c r="I35" s="1088"/>
      <c r="J35" s="1088"/>
      <c r="K35" s="1088"/>
      <c r="L35" s="1088"/>
    </row>
    <row r="36" spans="1:12" ht="12.75">
      <c r="A36" s="1087" t="s">
        <v>579</v>
      </c>
      <c r="B36" s="1087"/>
      <c r="C36" s="1087" t="s">
        <v>580</v>
      </c>
      <c r="D36" s="1087" t="s">
        <v>653</v>
      </c>
      <c r="E36" s="1087" t="s">
        <v>581</v>
      </c>
      <c r="F36" s="1087"/>
      <c r="G36" s="1087" t="s">
        <v>582</v>
      </c>
      <c r="H36" s="1087"/>
      <c r="I36" s="1090" t="s">
        <v>654</v>
      </c>
      <c r="J36" s="1090" t="s">
        <v>657</v>
      </c>
      <c r="K36" s="1090" t="s">
        <v>656</v>
      </c>
      <c r="L36" s="1087" t="s">
        <v>157</v>
      </c>
    </row>
    <row r="37" spans="1:12" ht="38.25">
      <c r="A37" s="1087"/>
      <c r="B37" s="1087"/>
      <c r="C37" s="1087"/>
      <c r="D37" s="1087"/>
      <c r="E37" s="263" t="s">
        <v>584</v>
      </c>
      <c r="F37" s="263" t="s">
        <v>585</v>
      </c>
      <c r="G37" s="263" t="s">
        <v>586</v>
      </c>
      <c r="H37" s="263" t="s">
        <v>587</v>
      </c>
      <c r="I37" s="1090"/>
      <c r="J37" s="1090"/>
      <c r="K37" s="1090"/>
      <c r="L37" s="1087"/>
    </row>
    <row r="38" spans="1:12" ht="12.75">
      <c r="A38" s="1077" t="s">
        <v>155</v>
      </c>
      <c r="B38" s="1077"/>
      <c r="C38" s="1077"/>
      <c r="D38" s="1077"/>
      <c r="E38" s="1077"/>
      <c r="F38" s="1077"/>
      <c r="G38" s="1077"/>
      <c r="H38" s="1077"/>
      <c r="I38" s="1077"/>
      <c r="J38" s="1077"/>
      <c r="K38" s="1077"/>
      <c r="L38" s="1077"/>
    </row>
    <row r="39" spans="1:12" s="134" customFormat="1" ht="12.75">
      <c r="A39" s="1089"/>
      <c r="B39" s="1089"/>
      <c r="C39" s="897"/>
      <c r="D39" s="898"/>
      <c r="E39" s="889"/>
      <c r="F39" s="889"/>
      <c r="G39" s="889"/>
      <c r="H39" s="885"/>
      <c r="I39" s="886">
        <f>SUM(D39:H39)</f>
        <v>0</v>
      </c>
      <c r="J39" s="887"/>
      <c r="K39" s="888"/>
      <c r="L39" s="889"/>
    </row>
    <row r="40" spans="1:12" s="134" customFormat="1" ht="12.75">
      <c r="A40" s="1089"/>
      <c r="B40" s="1089"/>
      <c r="C40" s="897"/>
      <c r="D40" s="898"/>
      <c r="E40" s="889"/>
      <c r="F40" s="889"/>
      <c r="G40" s="889"/>
      <c r="H40" s="885"/>
      <c r="I40" s="886">
        <f>SUM(D40:H40)</f>
        <v>0</v>
      </c>
      <c r="J40" s="887"/>
      <c r="K40" s="888"/>
      <c r="L40" s="889"/>
    </row>
    <row r="41" spans="1:12" s="134" customFormat="1" ht="12.75">
      <c r="A41" s="1089"/>
      <c r="B41" s="1089"/>
      <c r="C41" s="897"/>
      <c r="D41" s="898"/>
      <c r="E41" s="889"/>
      <c r="F41" s="889"/>
      <c r="G41" s="889"/>
      <c r="H41" s="885"/>
      <c r="I41" s="886">
        <f>SUM(D41:H41)</f>
        <v>0</v>
      </c>
      <c r="J41" s="887"/>
      <c r="K41" s="888"/>
      <c r="L41" s="889"/>
    </row>
    <row r="42" spans="1:12" s="134" customFormat="1" ht="12.75">
      <c r="A42" s="1085"/>
      <c r="B42" s="1085"/>
      <c r="C42" s="889"/>
      <c r="D42" s="885"/>
      <c r="E42" s="889"/>
      <c r="F42" s="889"/>
      <c r="G42" s="889"/>
      <c r="H42" s="889"/>
      <c r="I42" s="886">
        <f>SUM(D42:H42)</f>
        <v>0</v>
      </c>
      <c r="J42" s="896"/>
      <c r="K42" s="888"/>
      <c r="L42" s="889"/>
    </row>
    <row r="43" spans="1:12" s="134" customFormat="1" ht="12.75">
      <c r="A43" s="1079"/>
      <c r="B43" s="1079"/>
      <c r="C43" s="889"/>
      <c r="D43" s="885"/>
      <c r="E43" s="889"/>
      <c r="F43" s="889"/>
      <c r="G43" s="889"/>
      <c r="H43" s="889"/>
      <c r="I43" s="886">
        <f>SUM(D43:H43)</f>
        <v>0</v>
      </c>
      <c r="J43" s="888"/>
      <c r="K43" s="888"/>
      <c r="L43" s="889"/>
    </row>
    <row r="44" spans="1:12" s="132" customFormat="1" ht="12.75">
      <c r="A44" s="1080" t="s">
        <v>91</v>
      </c>
      <c r="B44" s="1080"/>
      <c r="C44" s="890"/>
      <c r="D44" s="891">
        <f>SUM(D39:D43)</f>
        <v>0</v>
      </c>
      <c r="E44" s="891">
        <f>SUM(E39:E43)</f>
        <v>0</v>
      </c>
      <c r="F44" s="892"/>
      <c r="G44" s="891">
        <f>SUM(G39:G43)</f>
        <v>0</v>
      </c>
      <c r="H44" s="891">
        <f>SUM(H39:H43)</f>
        <v>0</v>
      </c>
      <c r="I44" s="891">
        <f>SUM(I39:I43)</f>
        <v>0</v>
      </c>
      <c r="J44" s="893"/>
      <c r="K44" s="894">
        <f>SUM(K38:K43)</f>
        <v>0</v>
      </c>
      <c r="L44" s="890"/>
    </row>
    <row r="45" spans="1:12" s="134" customFormat="1" ht="12.75">
      <c r="A45" s="1081" t="s">
        <v>156</v>
      </c>
      <c r="B45" s="1081"/>
      <c r="C45" s="1081"/>
      <c r="D45" s="1081"/>
      <c r="E45" s="1081"/>
      <c r="F45" s="1081"/>
      <c r="G45" s="1081"/>
      <c r="H45" s="1081"/>
      <c r="I45" s="1081"/>
      <c r="J45" s="1081"/>
      <c r="K45" s="1081"/>
      <c r="L45" s="1081"/>
    </row>
    <row r="46" spans="1:12" s="134" customFormat="1" ht="12.75">
      <c r="A46" s="1085" t="s">
        <v>503</v>
      </c>
      <c r="B46" s="1085"/>
      <c r="C46" s="895">
        <v>5328</v>
      </c>
      <c r="D46" s="884">
        <v>1269878.45</v>
      </c>
      <c r="E46" s="889"/>
      <c r="F46" s="889"/>
      <c r="G46" s="885">
        <v>-36896.580000000016</v>
      </c>
      <c r="H46" s="889"/>
      <c r="I46" s="886">
        <v>1232981.8699999999</v>
      </c>
      <c r="J46" s="888"/>
      <c r="K46" s="888"/>
      <c r="L46" s="889"/>
    </row>
    <row r="47" spans="1:12" s="134" customFormat="1" ht="12.75">
      <c r="A47" s="1085" t="s">
        <v>504</v>
      </c>
      <c r="B47" s="1085"/>
      <c r="C47" s="895">
        <v>5333</v>
      </c>
      <c r="D47" s="884"/>
      <c r="E47" s="885"/>
      <c r="F47" s="889"/>
      <c r="G47" s="885"/>
      <c r="H47" s="889"/>
      <c r="I47" s="886">
        <v>0</v>
      </c>
      <c r="J47" s="888"/>
      <c r="K47" s="888"/>
      <c r="L47" s="889"/>
    </row>
    <row r="48" spans="1:12" s="134" customFormat="1" ht="12.75">
      <c r="A48" s="1085" t="s">
        <v>505</v>
      </c>
      <c r="B48" s="1085"/>
      <c r="C48" s="895">
        <v>5523.5524</v>
      </c>
      <c r="D48" s="884">
        <v>236251.59000000003</v>
      </c>
      <c r="E48" s="889"/>
      <c r="F48" s="889"/>
      <c r="G48" s="889">
        <v>-142498.96</v>
      </c>
      <c r="H48" s="889"/>
      <c r="I48" s="886">
        <v>93752.63000000003</v>
      </c>
      <c r="J48" s="888"/>
      <c r="K48" s="888"/>
      <c r="L48" s="889"/>
    </row>
    <row r="49" spans="1:12" s="134" customFormat="1" ht="12.75">
      <c r="A49" s="1085"/>
      <c r="B49" s="1085"/>
      <c r="C49" s="889"/>
      <c r="D49" s="884"/>
      <c r="E49" s="889"/>
      <c r="F49" s="889"/>
      <c r="G49" s="889"/>
      <c r="H49" s="889"/>
      <c r="I49" s="886">
        <f>SUM(D49:H49)</f>
        <v>0</v>
      </c>
      <c r="J49" s="888"/>
      <c r="K49" s="888"/>
      <c r="L49" s="889"/>
    </row>
    <row r="50" spans="1:12" s="134" customFormat="1" ht="12.75">
      <c r="A50" s="1079"/>
      <c r="B50" s="1079"/>
      <c r="C50" s="889"/>
      <c r="D50" s="884"/>
      <c r="E50" s="889"/>
      <c r="F50" s="889"/>
      <c r="G50" s="889"/>
      <c r="H50" s="889"/>
      <c r="I50" s="886">
        <f>SUM(D50:H50)</f>
        <v>0</v>
      </c>
      <c r="J50" s="888"/>
      <c r="K50" s="888"/>
      <c r="L50" s="889"/>
    </row>
    <row r="51" spans="1:12" s="132" customFormat="1" ht="12.75">
      <c r="A51" s="1080" t="s">
        <v>91</v>
      </c>
      <c r="B51" s="1080"/>
      <c r="C51" s="890"/>
      <c r="D51" s="891">
        <f>SUM(D46:D50)</f>
        <v>1506130.04</v>
      </c>
      <c r="E51" s="891">
        <f>SUM(E46:E50)</f>
        <v>0</v>
      </c>
      <c r="F51" s="892"/>
      <c r="G51" s="919">
        <f>SUM(G46:G50)</f>
        <v>-179395.54</v>
      </c>
      <c r="H51" s="891">
        <f>SUM(H46:H50)</f>
        <v>0</v>
      </c>
      <c r="I51" s="891">
        <f>SUM(I46:I50)</f>
        <v>1326734.5</v>
      </c>
      <c r="J51" s="893"/>
      <c r="K51" s="894">
        <f>SUM(K46:K50)</f>
        <v>0</v>
      </c>
      <c r="L51" s="890"/>
    </row>
    <row r="52" spans="1:12" s="132" customFormat="1" ht="12.75">
      <c r="A52" s="899"/>
      <c r="B52" s="899"/>
      <c r="C52" s="890"/>
      <c r="D52" s="891"/>
      <c r="E52" s="891"/>
      <c r="F52" s="892"/>
      <c r="G52" s="891"/>
      <c r="H52" s="891"/>
      <c r="I52" s="891"/>
      <c r="J52" s="893"/>
      <c r="K52" s="894"/>
      <c r="L52" s="890"/>
    </row>
    <row r="53" spans="1:12" s="132" customFormat="1" ht="12.75">
      <c r="A53" s="1083" t="s">
        <v>520</v>
      </c>
      <c r="B53" s="1084"/>
      <c r="C53" s="1084"/>
      <c r="D53" s="1084"/>
      <c r="E53" s="1084"/>
      <c r="F53" s="1084"/>
      <c r="G53" s="1084"/>
      <c r="H53" s="1084"/>
      <c r="I53" s="1084"/>
      <c r="J53" s="1084"/>
      <c r="K53" s="1084"/>
      <c r="L53" s="1084"/>
    </row>
    <row r="54" spans="1:12" s="132" customFormat="1" ht="12.75">
      <c r="A54" s="1083" t="s">
        <v>155</v>
      </c>
      <c r="B54" s="1084"/>
      <c r="C54" s="1084"/>
      <c r="D54" s="1084"/>
      <c r="E54" s="1084"/>
      <c r="F54" s="1084"/>
      <c r="G54" s="1084"/>
      <c r="H54" s="1084"/>
      <c r="I54" s="1084"/>
      <c r="J54" s="1084"/>
      <c r="K54" s="1084"/>
      <c r="L54" s="1084"/>
    </row>
    <row r="55" spans="1:12" s="132" customFormat="1" ht="12.75">
      <c r="A55" s="1076"/>
      <c r="B55" s="1076"/>
      <c r="C55" s="905"/>
      <c r="D55" s="906"/>
      <c r="E55" s="907"/>
      <c r="F55" s="907"/>
      <c r="G55" s="906"/>
      <c r="H55" s="907"/>
      <c r="I55" s="906">
        <v>0</v>
      </c>
      <c r="J55" s="907"/>
      <c r="K55" s="907"/>
      <c r="L55" s="907"/>
    </row>
    <row r="56" spans="1:12" s="132" customFormat="1" ht="12.75">
      <c r="A56" s="1078"/>
      <c r="B56" s="1078"/>
      <c r="C56" s="905"/>
      <c r="D56" s="906"/>
      <c r="E56" s="907"/>
      <c r="F56" s="907"/>
      <c r="G56" s="907"/>
      <c r="H56" s="907"/>
      <c r="I56" s="906">
        <v>0</v>
      </c>
      <c r="J56" s="907"/>
      <c r="K56" s="907"/>
      <c r="L56" s="907"/>
    </row>
    <row r="57" spans="1:12" s="132" customFormat="1" ht="12.75">
      <c r="A57" s="1076"/>
      <c r="B57" s="1076"/>
      <c r="C57" s="905"/>
      <c r="D57" s="906"/>
      <c r="E57" s="907"/>
      <c r="F57" s="907"/>
      <c r="G57" s="906"/>
      <c r="H57" s="907"/>
      <c r="I57" s="906">
        <v>0</v>
      </c>
      <c r="J57" s="907"/>
      <c r="K57" s="907"/>
      <c r="L57" s="907"/>
    </row>
    <row r="58" spans="1:12" s="132" customFormat="1" ht="12.75">
      <c r="A58" s="1082" t="s">
        <v>91</v>
      </c>
      <c r="B58" s="1082"/>
      <c r="C58" s="905"/>
      <c r="D58" s="906">
        <v>0</v>
      </c>
      <c r="E58" s="906">
        <v>0</v>
      </c>
      <c r="F58" s="906">
        <v>0</v>
      </c>
      <c r="G58" s="906">
        <v>0</v>
      </c>
      <c r="H58" s="906">
        <v>0</v>
      </c>
      <c r="I58" s="906">
        <v>0</v>
      </c>
      <c r="J58" s="907"/>
      <c r="K58" s="907"/>
      <c r="L58" s="907"/>
    </row>
    <row r="59" spans="1:12" s="132" customFormat="1" ht="12.75">
      <c r="A59" s="1086" t="s">
        <v>506</v>
      </c>
      <c r="B59" s="1086"/>
      <c r="C59" s="1086"/>
      <c r="D59" s="1086"/>
      <c r="E59" s="1086"/>
      <c r="F59" s="1086"/>
      <c r="G59" s="1086"/>
      <c r="H59" s="1086"/>
      <c r="I59" s="1086"/>
      <c r="J59" s="1086"/>
      <c r="K59" s="1086"/>
      <c r="L59" s="1086"/>
    </row>
    <row r="60" spans="1:12" s="132" customFormat="1" ht="12.75">
      <c r="A60" s="1077" t="s">
        <v>155</v>
      </c>
      <c r="B60" s="1077"/>
      <c r="C60" s="1077"/>
      <c r="D60" s="1077"/>
      <c r="E60" s="1077"/>
      <c r="F60" s="1077"/>
      <c r="G60" s="1077"/>
      <c r="H60" s="1077"/>
      <c r="I60" s="1077"/>
      <c r="J60" s="1077"/>
      <c r="K60" s="1077"/>
      <c r="L60" s="1077"/>
    </row>
    <row r="61" spans="1:12" s="132" customFormat="1" ht="12.75">
      <c r="A61" s="908"/>
      <c r="B61" s="908"/>
      <c r="C61" s="908"/>
      <c r="D61" s="908"/>
      <c r="E61" s="908"/>
      <c r="F61" s="908"/>
      <c r="G61" s="908"/>
      <c r="H61" s="908"/>
      <c r="I61" s="908"/>
      <c r="J61" s="908"/>
      <c r="K61" s="908"/>
      <c r="L61" s="908"/>
    </row>
    <row r="62" spans="1:12" s="132" customFormat="1" ht="12.75">
      <c r="A62" s="908"/>
      <c r="B62" s="908"/>
      <c r="C62" s="908"/>
      <c r="D62" s="908"/>
      <c r="E62" s="908"/>
      <c r="F62" s="908"/>
      <c r="G62" s="908"/>
      <c r="H62" s="908"/>
      <c r="I62" s="908"/>
      <c r="J62" s="908"/>
      <c r="K62" s="908"/>
      <c r="L62" s="908"/>
    </row>
    <row r="63" spans="1:12" s="132" customFormat="1" ht="12.75">
      <c r="A63" s="1077" t="s">
        <v>507</v>
      </c>
      <c r="B63" s="1077"/>
      <c r="C63" s="1077"/>
      <c r="D63" s="1077"/>
      <c r="E63" s="1077"/>
      <c r="F63" s="1077"/>
      <c r="G63" s="1077"/>
      <c r="H63" s="1077"/>
      <c r="I63" s="1077"/>
      <c r="J63" s="1077"/>
      <c r="K63" s="1077"/>
      <c r="L63" s="1077"/>
    </row>
    <row r="64" spans="1:12" s="132" customFormat="1" ht="12.75">
      <c r="A64" s="1072" t="s">
        <v>508</v>
      </c>
      <c r="B64" s="1072"/>
      <c r="C64" s="909">
        <v>541</v>
      </c>
      <c r="D64" s="910">
        <v>4400</v>
      </c>
      <c r="E64" s="911"/>
      <c r="F64" s="911"/>
      <c r="G64" s="910"/>
      <c r="H64" s="911"/>
      <c r="I64" s="910">
        <v>4400</v>
      </c>
      <c r="J64" s="911"/>
      <c r="K64" s="911"/>
      <c r="L64" s="911"/>
    </row>
    <row r="65" spans="1:12" s="132" customFormat="1" ht="12.75">
      <c r="A65" s="1074" t="s">
        <v>509</v>
      </c>
      <c r="B65" s="1074"/>
      <c r="C65" s="1074"/>
      <c r="D65" s="1074"/>
      <c r="E65" s="1074"/>
      <c r="F65" s="1074"/>
      <c r="G65" s="1074"/>
      <c r="H65" s="1074"/>
      <c r="I65" s="1074"/>
      <c r="J65" s="1074"/>
      <c r="K65" s="1074"/>
      <c r="L65" s="1074"/>
    </row>
    <row r="66" spans="1:12" s="132" customFormat="1" ht="12.75">
      <c r="A66" s="1072" t="s">
        <v>510</v>
      </c>
      <c r="B66" s="1072"/>
      <c r="C66" s="895">
        <v>542</v>
      </c>
      <c r="D66" s="884">
        <v>-4859.31</v>
      </c>
      <c r="E66" s="889">
        <v>44904.52</v>
      </c>
      <c r="F66" s="889"/>
      <c r="G66" s="885"/>
      <c r="H66" s="889"/>
      <c r="I66" s="886">
        <f>D66+E66+G66</f>
        <v>40045.21</v>
      </c>
      <c r="J66" s="912"/>
      <c r="K66" s="912"/>
      <c r="L66" s="912"/>
    </row>
    <row r="67" spans="1:12" s="132" customFormat="1" ht="12.75">
      <c r="A67" s="1072" t="s">
        <v>511</v>
      </c>
      <c r="B67" s="1072"/>
      <c r="C67" s="895">
        <v>542</v>
      </c>
      <c r="D67" s="884">
        <v>24989285</v>
      </c>
      <c r="E67" s="885"/>
      <c r="F67" s="889"/>
      <c r="G67" s="885">
        <v>-2250000</v>
      </c>
      <c r="H67" s="889"/>
      <c r="I67" s="886">
        <f>D67+E67+G67</f>
        <v>22739285</v>
      </c>
      <c r="J67" s="912"/>
      <c r="K67" s="912"/>
      <c r="L67" s="912"/>
    </row>
    <row r="68" spans="1:12" s="132" customFormat="1" ht="12.75">
      <c r="A68" s="1072" t="s">
        <v>512</v>
      </c>
      <c r="B68" s="1072"/>
      <c r="C68" s="895">
        <v>542</v>
      </c>
      <c r="D68" s="884">
        <v>3000000</v>
      </c>
      <c r="E68" s="889"/>
      <c r="F68" s="889"/>
      <c r="G68" s="889"/>
      <c r="H68" s="889"/>
      <c r="I68" s="886">
        <f>D68+E68+G68</f>
        <v>3000000</v>
      </c>
      <c r="J68" s="912"/>
      <c r="K68" s="912"/>
      <c r="L68" s="912"/>
    </row>
    <row r="69" spans="1:12" s="132" customFormat="1" ht="12.75">
      <c r="A69" s="1072" t="s">
        <v>513</v>
      </c>
      <c r="B69" s="1072"/>
      <c r="C69" s="895">
        <v>547</v>
      </c>
      <c r="D69" s="884">
        <v>810875.47</v>
      </c>
      <c r="E69" s="889"/>
      <c r="F69" s="889"/>
      <c r="G69" s="885">
        <f>468372.81-D69</f>
        <v>-342502.66</v>
      </c>
      <c r="H69" s="889"/>
      <c r="I69" s="886">
        <f>D69+E69+G69</f>
        <v>468372.81</v>
      </c>
      <c r="J69" s="912"/>
      <c r="K69" s="912"/>
      <c r="L69" s="912"/>
    </row>
    <row r="70" spans="1:12" s="132" customFormat="1" ht="12.75">
      <c r="A70" s="1072" t="s">
        <v>514</v>
      </c>
      <c r="B70" s="1072"/>
      <c r="C70" s="895">
        <v>547</v>
      </c>
      <c r="D70" s="884">
        <v>2238802.17</v>
      </c>
      <c r="E70" s="885">
        <f>2681336.84-D70</f>
        <v>442534.6699999999</v>
      </c>
      <c r="F70" s="889"/>
      <c r="G70" s="885"/>
      <c r="H70" s="889"/>
      <c r="I70" s="886">
        <f>D70+E70+G70</f>
        <v>2681336.84</v>
      </c>
      <c r="J70" s="912"/>
      <c r="K70" s="912"/>
      <c r="L70" s="912"/>
    </row>
    <row r="71" spans="1:12" s="132" customFormat="1" ht="12.75">
      <c r="A71" s="1075" t="s">
        <v>91</v>
      </c>
      <c r="B71" s="1075"/>
      <c r="C71" s="895"/>
      <c r="D71" s="884">
        <f aca="true" t="shared" si="0" ref="D71:I71">SUM(D66:D70)</f>
        <v>31034103.33</v>
      </c>
      <c r="E71" s="889">
        <f t="shared" si="0"/>
        <v>487439.18999999994</v>
      </c>
      <c r="F71" s="889">
        <f t="shared" si="0"/>
        <v>0</v>
      </c>
      <c r="G71" s="919">
        <f t="shared" si="0"/>
        <v>-2592502.66</v>
      </c>
      <c r="H71" s="889">
        <f t="shared" si="0"/>
        <v>0</v>
      </c>
      <c r="I71" s="886">
        <f t="shared" si="0"/>
        <v>28929039.86</v>
      </c>
      <c r="J71" s="909"/>
      <c r="K71" s="910"/>
      <c r="L71" s="910"/>
    </row>
    <row r="72" spans="1:12" s="132" customFormat="1" ht="12.75">
      <c r="A72" s="1086" t="s">
        <v>506</v>
      </c>
      <c r="B72" s="1086"/>
      <c r="C72" s="1086"/>
      <c r="D72" s="1086"/>
      <c r="E72" s="1086"/>
      <c r="F72" s="1086"/>
      <c r="G72" s="1086"/>
      <c r="H72" s="1086"/>
      <c r="I72" s="1086"/>
      <c r="J72" s="1086"/>
      <c r="K72" s="1086"/>
      <c r="L72" s="1086"/>
    </row>
    <row r="73" spans="1:12" s="132" customFormat="1" ht="12.75">
      <c r="A73" s="1072" t="s">
        <v>515</v>
      </c>
      <c r="B73" s="1072"/>
      <c r="C73" s="895">
        <v>545</v>
      </c>
      <c r="D73" s="884">
        <v>1632.02</v>
      </c>
      <c r="E73" s="889"/>
      <c r="F73" s="889"/>
      <c r="G73" s="885">
        <v>-1632.02</v>
      </c>
      <c r="H73" s="889"/>
      <c r="I73" s="886">
        <f>D73+E73+G73</f>
        <v>0</v>
      </c>
      <c r="J73" s="907"/>
      <c r="K73" s="907"/>
      <c r="L73" s="907"/>
    </row>
    <row r="74" spans="1:12" s="132" customFormat="1" ht="12.75">
      <c r="A74" s="1072" t="s">
        <v>516</v>
      </c>
      <c r="B74" s="1072"/>
      <c r="C74" s="895" t="s">
        <v>517</v>
      </c>
      <c r="D74" s="884">
        <v>4433.85</v>
      </c>
      <c r="E74" s="889"/>
      <c r="F74" s="889"/>
      <c r="G74" s="885">
        <v>-4433.85</v>
      </c>
      <c r="H74" s="889"/>
      <c r="I74" s="886">
        <f>D74+E74+G74</f>
        <v>0</v>
      </c>
      <c r="J74" s="907"/>
      <c r="K74" s="907"/>
      <c r="L74" s="907"/>
    </row>
    <row r="75" spans="1:12" s="132" customFormat="1" ht="12.75">
      <c r="A75" s="1072" t="s">
        <v>518</v>
      </c>
      <c r="B75" s="1072"/>
      <c r="C75" s="895" t="s">
        <v>519</v>
      </c>
      <c r="D75" s="884">
        <f>806.01+629.16</f>
        <v>1435.17</v>
      </c>
      <c r="E75" s="889"/>
      <c r="F75" s="889"/>
      <c r="G75" s="885">
        <v>-1435.17</v>
      </c>
      <c r="H75" s="889"/>
      <c r="I75" s="886">
        <f>D75+E75+G75</f>
        <v>0</v>
      </c>
      <c r="J75" s="907"/>
      <c r="K75" s="907"/>
      <c r="L75" s="907"/>
    </row>
    <row r="76" spans="1:12" s="132" customFormat="1" ht="12.75">
      <c r="A76" s="1072" t="s">
        <v>91</v>
      </c>
      <c r="B76" s="1072"/>
      <c r="C76" s="895"/>
      <c r="D76" s="884">
        <f>D73+D74+D75</f>
        <v>7501.040000000001</v>
      </c>
      <c r="E76" s="889"/>
      <c r="F76" s="889">
        <v>0</v>
      </c>
      <c r="G76" s="885">
        <f>SUM(G73:G75)</f>
        <v>-7501.040000000001</v>
      </c>
      <c r="H76" s="889">
        <v>0</v>
      </c>
      <c r="I76" s="886">
        <f>I73+I74</f>
        <v>0</v>
      </c>
      <c r="J76" s="907"/>
      <c r="K76" s="907"/>
      <c r="L76" s="907"/>
    </row>
    <row r="77" spans="1:12" s="132" customFormat="1" ht="12.75">
      <c r="A77" s="1072"/>
      <c r="B77" s="1072"/>
      <c r="C77" s="895"/>
      <c r="D77" s="884"/>
      <c r="E77" s="889"/>
      <c r="F77" s="889"/>
      <c r="G77" s="885"/>
      <c r="H77" s="889"/>
      <c r="I77" s="886">
        <v>0</v>
      </c>
      <c r="J77" s="913"/>
      <c r="K77" s="913"/>
      <c r="L77" s="914"/>
    </row>
    <row r="78" spans="1:12" s="132" customFormat="1" ht="12.75">
      <c r="A78" s="1072"/>
      <c r="B78" s="1072"/>
      <c r="C78" s="895"/>
      <c r="D78" s="884"/>
      <c r="E78" s="889"/>
      <c r="F78" s="889"/>
      <c r="G78" s="885"/>
      <c r="H78" s="889"/>
      <c r="I78" s="886">
        <v>0</v>
      </c>
      <c r="J78" s="913"/>
      <c r="K78" s="913"/>
      <c r="L78" s="914"/>
    </row>
    <row r="79" spans="1:12" s="132" customFormat="1" ht="12.75">
      <c r="A79" s="1072" t="s">
        <v>91</v>
      </c>
      <c r="B79" s="1072"/>
      <c r="C79" s="895"/>
      <c r="D79" s="884">
        <f aca="true" t="shared" si="1" ref="D79:I79">D64+D71+D76</f>
        <v>31046004.369999997</v>
      </c>
      <c r="E79" s="889">
        <f t="shared" si="1"/>
        <v>487439.18999999994</v>
      </c>
      <c r="F79" s="889">
        <f t="shared" si="1"/>
        <v>0</v>
      </c>
      <c r="G79" s="893">
        <f t="shared" si="1"/>
        <v>-2600003.7</v>
      </c>
      <c r="H79" s="889">
        <f t="shared" si="1"/>
        <v>0</v>
      </c>
      <c r="I79" s="886">
        <f t="shared" si="1"/>
        <v>28933439.86</v>
      </c>
      <c r="J79" s="915"/>
      <c r="K79" s="915">
        <v>0</v>
      </c>
      <c r="L79" s="916"/>
    </row>
    <row r="80" spans="1:12" s="132" customFormat="1" ht="12.75">
      <c r="A80" s="876"/>
      <c r="B80" s="876"/>
      <c r="C80" s="877"/>
      <c r="D80" s="878"/>
      <c r="E80" s="878"/>
      <c r="F80" s="879"/>
      <c r="G80" s="878"/>
      <c r="H80" s="878"/>
      <c r="I80" s="878"/>
      <c r="J80" s="880"/>
      <c r="K80" s="881"/>
      <c r="L80" s="877"/>
    </row>
    <row r="81" spans="1:12" s="941" customFormat="1" ht="12.75" hidden="1">
      <c r="A81" s="1073" t="s">
        <v>417</v>
      </c>
      <c r="B81" s="1073"/>
      <c r="C81" s="1073"/>
      <c r="D81" s="1073"/>
      <c r="E81" s="1073"/>
      <c r="F81" s="1073"/>
      <c r="G81" s="1073"/>
      <c r="H81" s="1073"/>
      <c r="I81" s="1073"/>
      <c r="J81" s="1073"/>
      <c r="K81" s="1073"/>
      <c r="L81" s="1073"/>
    </row>
    <row r="82" spans="1:12" s="941" customFormat="1" ht="12.75" hidden="1">
      <c r="A82" s="1071" t="s">
        <v>547</v>
      </c>
      <c r="B82" s="1071"/>
      <c r="C82" s="1071"/>
      <c r="D82" s="1071"/>
      <c r="E82" s="1071"/>
      <c r="F82" s="1071"/>
      <c r="G82" s="1071"/>
      <c r="H82" s="1071"/>
      <c r="I82" s="1071"/>
      <c r="J82" s="1071"/>
      <c r="K82" s="1071"/>
      <c r="L82" s="1071"/>
    </row>
    <row r="83" spans="1:12" s="941" customFormat="1" ht="12.75" hidden="1">
      <c r="A83" s="1071" t="s">
        <v>153</v>
      </c>
      <c r="B83" s="1071"/>
      <c r="C83" s="1071"/>
      <c r="D83" s="1071"/>
      <c r="E83" s="1071"/>
      <c r="F83" s="1071"/>
      <c r="G83" s="1071"/>
      <c r="H83" s="1071"/>
      <c r="I83" s="1071"/>
      <c r="J83" s="1071"/>
      <c r="K83" s="1071"/>
      <c r="L83" s="1071"/>
    </row>
    <row r="84" spans="1:12" s="941" customFormat="1" ht="12.75" hidden="1">
      <c r="A84" s="1071" t="s">
        <v>548</v>
      </c>
      <c r="B84" s="1071"/>
      <c r="C84" s="1071"/>
      <c r="D84" s="1071"/>
      <c r="E84" s="1071"/>
      <c r="F84" s="1071"/>
      <c r="G84" s="1071"/>
      <c r="H84" s="1071"/>
      <c r="I84" s="1071"/>
      <c r="J84" s="1071"/>
      <c r="K84" s="1071"/>
      <c r="L84" s="1071"/>
    </row>
    <row r="85" spans="1:12" s="941" customFormat="1" ht="12.75" hidden="1">
      <c r="A85" s="1071" t="s">
        <v>549</v>
      </c>
      <c r="B85" s="1071"/>
      <c r="C85" s="1071"/>
      <c r="D85" s="1071"/>
      <c r="E85" s="1071"/>
      <c r="F85" s="1071"/>
      <c r="G85" s="1071"/>
      <c r="H85" s="1071"/>
      <c r="I85" s="1071"/>
      <c r="J85" s="1071"/>
      <c r="K85" s="1071"/>
      <c r="L85" s="1071"/>
    </row>
    <row r="86" spans="1:12" s="941" customFormat="1" ht="12.75" hidden="1">
      <c r="A86" s="1071" t="s">
        <v>550</v>
      </c>
      <c r="B86" s="1071"/>
      <c r="C86" s="1071"/>
      <c r="D86" s="1071"/>
      <c r="E86" s="1071"/>
      <c r="F86" s="1071"/>
      <c r="G86" s="1071"/>
      <c r="H86" s="1071"/>
      <c r="I86" s="1071"/>
      <c r="J86" s="1071"/>
      <c r="K86" s="1071"/>
      <c r="L86" s="1071"/>
    </row>
    <row r="87" spans="1:12" s="941" customFormat="1" ht="12.75" hidden="1">
      <c r="A87" s="1071" t="s">
        <v>382</v>
      </c>
      <c r="B87" s="1071"/>
      <c r="C87" s="1071"/>
      <c r="D87" s="1071"/>
      <c r="E87" s="1071"/>
      <c r="F87" s="1071"/>
      <c r="G87" s="1071"/>
      <c r="H87" s="1071"/>
      <c r="I87" s="1071"/>
      <c r="J87" s="1071"/>
      <c r="K87" s="1071"/>
      <c r="L87" s="1071"/>
    </row>
    <row r="88" spans="1:12" s="941" customFormat="1" ht="12.75" hidden="1">
      <c r="A88" s="1071" t="s">
        <v>383</v>
      </c>
      <c r="B88" s="1071"/>
      <c r="C88" s="1071"/>
      <c r="D88" s="1071"/>
      <c r="E88" s="1071"/>
      <c r="F88" s="1071"/>
      <c r="G88" s="1071"/>
      <c r="H88" s="1071"/>
      <c r="I88" s="1071"/>
      <c r="J88" s="1071"/>
      <c r="K88" s="1071"/>
      <c r="L88" s="1071"/>
    </row>
    <row r="89" spans="1:12" s="941" customFormat="1" ht="12.75" hidden="1">
      <c r="A89" s="1071" t="s">
        <v>158</v>
      </c>
      <c r="B89" s="1071"/>
      <c r="C89" s="1071"/>
      <c r="D89" s="1071"/>
      <c r="E89" s="1071"/>
      <c r="F89" s="1071"/>
      <c r="G89" s="1071"/>
      <c r="H89" s="1071"/>
      <c r="I89" s="1071"/>
      <c r="J89" s="1071"/>
      <c r="K89" s="1071"/>
      <c r="L89" s="1071"/>
    </row>
    <row r="90" spans="1:12" s="941" customFormat="1" ht="12.75" hidden="1">
      <c r="A90" s="1071" t="s">
        <v>384</v>
      </c>
      <c r="B90" s="1071"/>
      <c r="C90" s="1071"/>
      <c r="D90" s="1071"/>
      <c r="E90" s="1071"/>
      <c r="F90" s="1071"/>
      <c r="G90" s="1071"/>
      <c r="H90" s="1071"/>
      <c r="I90" s="1071"/>
      <c r="J90" s="1071"/>
      <c r="K90" s="1071"/>
      <c r="L90" s="1071"/>
    </row>
    <row r="91" spans="1:12" s="941" customFormat="1" ht="12.75" hidden="1">
      <c r="A91" s="1071" t="s">
        <v>385</v>
      </c>
      <c r="B91" s="1071"/>
      <c r="C91" s="1071"/>
      <c r="D91" s="1071"/>
      <c r="E91" s="1071"/>
      <c r="F91" s="1071"/>
      <c r="G91" s="1071"/>
      <c r="H91" s="1071"/>
      <c r="I91" s="1071"/>
      <c r="J91" s="1071"/>
      <c r="K91" s="1071"/>
      <c r="L91" s="1071"/>
    </row>
    <row r="92" spans="3:7" s="941" customFormat="1" ht="12.75" hidden="1">
      <c r="C92" s="941" t="s">
        <v>33</v>
      </c>
      <c r="D92" s="942">
        <f>+ACTIVO!B25</f>
        <v>1609364.34</v>
      </c>
      <c r="E92" s="942">
        <f>+ACTIVO!C25</f>
        <v>1569319.13</v>
      </c>
      <c r="F92" s="942">
        <f>+ACTIVO!D25</f>
        <v>1529273.92</v>
      </c>
      <c r="G92" s="942">
        <f>+ACTIVO!D25</f>
        <v>1529273.92</v>
      </c>
    </row>
    <row r="93" spans="3:7" s="941" customFormat="1" ht="12.75" hidden="1">
      <c r="C93" s="943" t="s">
        <v>34</v>
      </c>
      <c r="D93" s="944">
        <f>+D91-D92</f>
        <v>-1609364.34</v>
      </c>
      <c r="E93" s="944">
        <f>+E91-E92</f>
        <v>-1569319.13</v>
      </c>
      <c r="F93" s="944">
        <f>+F91-F92</f>
        <v>-1529273.92</v>
      </c>
      <c r="G93" s="944">
        <f>+G91-G92</f>
        <v>-1529273.92</v>
      </c>
    </row>
    <row r="94" s="941" customFormat="1" ht="12.75" hidden="1"/>
    <row r="95" s="941" customFormat="1" ht="12.75" hidden="1"/>
    <row r="96" s="941" customFormat="1" ht="12.75" hidden="1"/>
    <row r="97" s="941" customFormat="1" ht="12.75" hidden="1">
      <c r="G97" s="945">
        <f>G22+G32+G51</f>
        <v>-1183240.75</v>
      </c>
    </row>
    <row r="98" s="941" customFormat="1" ht="12.75" hidden="1"/>
    <row r="99" s="941" customFormat="1" ht="12.75" hidden="1">
      <c r="G99" s="946"/>
    </row>
    <row r="100" s="941" customFormat="1" ht="12.75" hidden="1">
      <c r="G100" s="945">
        <f>E79+G79</f>
        <v>-2112564.5100000002</v>
      </c>
    </row>
    <row r="101" s="941" customFormat="1" ht="12.75" hidden="1"/>
    <row r="102" s="941" customFormat="1" ht="12.75" hidden="1"/>
  </sheetData>
  <sheetProtection formatColumns="0" formatRows="0"/>
  <mergeCells count="95">
    <mergeCell ref="K7:L7"/>
    <mergeCell ref="K8:L8"/>
    <mergeCell ref="A9:L9"/>
    <mergeCell ref="A10:L10"/>
    <mergeCell ref="A7:J7"/>
    <mergeCell ref="A8:J8"/>
    <mergeCell ref="A19:B19"/>
    <mergeCell ref="G11:H11"/>
    <mergeCell ref="A13:L13"/>
    <mergeCell ref="D11:D12"/>
    <mergeCell ref="L11:L12"/>
    <mergeCell ref="A16:B16"/>
    <mergeCell ref="A17:B17"/>
    <mergeCell ref="K11:K12"/>
    <mergeCell ref="A11:B12"/>
    <mergeCell ref="C11:C12"/>
    <mergeCell ref="A42:B42"/>
    <mergeCell ref="A41:B41"/>
    <mergeCell ref="A36:B37"/>
    <mergeCell ref="A40:B40"/>
    <mergeCell ref="E36:F36"/>
    <mergeCell ref="L36:L37"/>
    <mergeCell ref="K36:K37"/>
    <mergeCell ref="I11:I12"/>
    <mergeCell ref="J11:J12"/>
    <mergeCell ref="A20:B20"/>
    <mergeCell ref="A34:L34"/>
    <mergeCell ref="A39:B39"/>
    <mergeCell ref="A38:L38"/>
    <mergeCell ref="C36:C37"/>
    <mergeCell ref="A35:L35"/>
    <mergeCell ref="I36:I37"/>
    <mergeCell ref="J36:J37"/>
    <mergeCell ref="D36:D37"/>
    <mergeCell ref="G36:H36"/>
    <mergeCell ref="A31:B31"/>
    <mergeCell ref="A25:B25"/>
    <mergeCell ref="A27:B27"/>
    <mergeCell ref="A30:B30"/>
    <mergeCell ref="A28:B28"/>
    <mergeCell ref="A32:B32"/>
    <mergeCell ref="E11:F11"/>
    <mergeCell ref="A21:B21"/>
    <mergeCell ref="A14:B14"/>
    <mergeCell ref="A18:B18"/>
    <mergeCell ref="A15:B15"/>
    <mergeCell ref="A26:B26"/>
    <mergeCell ref="A22:B22"/>
    <mergeCell ref="A24:B24"/>
    <mergeCell ref="A23:L23"/>
    <mergeCell ref="A72:L72"/>
    <mergeCell ref="A74:B74"/>
    <mergeCell ref="A48:B48"/>
    <mergeCell ref="A50:B50"/>
    <mergeCell ref="A63:L63"/>
    <mergeCell ref="A53:L53"/>
    <mergeCell ref="A54:L54"/>
    <mergeCell ref="A55:B55"/>
    <mergeCell ref="A86:L86"/>
    <mergeCell ref="A83:L83"/>
    <mergeCell ref="A82:L82"/>
    <mergeCell ref="A79:B79"/>
    <mergeCell ref="A70:B70"/>
    <mergeCell ref="A59:L59"/>
    <mergeCell ref="A77:B77"/>
    <mergeCell ref="A43:B43"/>
    <mergeCell ref="A51:B51"/>
    <mergeCell ref="A44:B44"/>
    <mergeCell ref="A45:L45"/>
    <mergeCell ref="A46:B46"/>
    <mergeCell ref="A49:B49"/>
    <mergeCell ref="A47:B47"/>
    <mergeCell ref="A57:B57"/>
    <mergeCell ref="A60:L60"/>
    <mergeCell ref="A56:B56"/>
    <mergeCell ref="A66:B66"/>
    <mergeCell ref="A58:B58"/>
    <mergeCell ref="A73:B73"/>
    <mergeCell ref="A75:B75"/>
    <mergeCell ref="A91:L91"/>
    <mergeCell ref="A87:L87"/>
    <mergeCell ref="A88:L88"/>
    <mergeCell ref="A89:L89"/>
    <mergeCell ref="A90:L90"/>
    <mergeCell ref="A76:B76"/>
    <mergeCell ref="A64:B64"/>
    <mergeCell ref="A65:L65"/>
    <mergeCell ref="A71:B71"/>
    <mergeCell ref="A69:B69"/>
    <mergeCell ref="A67:B67"/>
    <mergeCell ref="A68:B68"/>
    <mergeCell ref="A84:L84"/>
    <mergeCell ref="A78:B78"/>
    <mergeCell ref="A81:L81"/>
    <mergeCell ref="A85:L85"/>
  </mergeCells>
  <dataValidations count="8">
    <dataValidation allowBlank="1" showInputMessage="1" showErrorMessage="1" promptTitle="ENTIDAD BENEFICIARIA:" prompt=" Entidad del grupo,asociada o cualquier otra en la cual se realiza la inversión." sqref="A27 A46:A48"/>
    <dataValidation allowBlank="1" showInputMessage="1" showErrorMessage="1" promptTitle="ENTIDAD BENEFICIARIA:" prompt=" Entidad del grupo o asociada en la cual se realiza la inversión." sqref="A42 B16 A15"/>
    <dataValidation allowBlank="1" showInputMessage="1" showErrorMessage="1" promptTitle="SALDO INICIAL:" prompt=" Saldo a 1 de enero del período al que están referidas las estimaciones." sqref="D18:D21 D46:D50 D24:D31 D39:D43"/>
    <dataValidation allowBlank="1" showInputMessage="1" showErrorMessage="1" promptTitle="ADQUISICIONES:" prompt=" se incluirán los aumentos de valor,en términos brutos, como consecuencia de la adquisición o suscripción de participaciones o formalización de préstamos a favor de empresas del grupo o asociadas." sqref="E14:E22 E29:E31 E46:E50 D22 E39:E43"/>
    <dataValidation allowBlank="1" showInputMessage="1" showErrorMessage="1" promptTitle="REVALORIZACIONES Y OTROS:" prompt=" expresa el incremento de valor de las inversiones financieras como consecuencia de revalorizaciones u otras causas no incluidas dentro del apartado 4." sqref="F14:F22 F46:F50 F24:F31 F39:F44"/>
    <dataValidation allowBlank="1" showInputMessage="1" showErrorMessage="1" promptTitle="ENAJENACIONES:" prompt=" se incluirá, en términos brutos, las ventas de participaciones en entidades o el cobro por la entidad de los créditos y préstamos concedidos a entidades de grupo o asociadas o de valores representativos de deuda emitidos por éstas." sqref="G14:G22 E24:E28 G24:G31 G46:G50 G39:G44 D44:E44 H44:I44"/>
    <dataValidation allowBlank="1" showInputMessage="1" showErrorMessage="1" promptTitle="PERDIDAS DE VALOR Y OTROS:" prompt=" expresa la disminución de valor de las inversiones como consecuencia de pérdidas, bajas en el balance u otras causas no incluidas dentro del apartado 6." sqref="H14:H22 H46:H50 H24:H31 H39:H43"/>
    <dataValidation allowBlank="1" showInputMessage="1" showErrorMessage="1" promptTitle="SALDO FINAL: " prompt="Saldo a 31 de diciembre del ejercicio al que está referidas las estimaciones." sqref="I14:I22 I46:I50 I24:I31 I39:I43"/>
  </dataValidations>
  <printOptions horizontalCentered="1" verticalCentered="1"/>
  <pageMargins left="0.15748031496062992" right="0.2362204724409449" top="0.07874015748031496" bottom="0.03937007874015748" header="0" footer="0"/>
  <pageSetup horizontalDpi="600" verticalDpi="600" orientation="landscape" paperSize="9" scale="45" r:id="rId2"/>
  <headerFooter alignWithMargins="0">
    <oddFooter>&amp;L&amp;7Plaza de España, 1
38003 Santa Cruz de Tenerife
Teléfono: 901 501 901
www.tenerife.es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13"/>
  <sheetViews>
    <sheetView showGridLines="0" view="pageBreakPreview" zoomScale="60" zoomScalePageLayoutView="0" workbookViewId="0" topLeftCell="A7">
      <selection activeCell="A22" sqref="A22"/>
    </sheetView>
  </sheetViews>
  <sheetFormatPr defaultColWidth="11.57421875" defaultRowHeight="12.75"/>
  <cols>
    <col min="1" max="1" width="108.421875" style="1" customWidth="1"/>
    <col min="2" max="2" width="15.140625" style="1" customWidth="1"/>
    <col min="3" max="3" width="16.421875" style="1" customWidth="1"/>
    <col min="4" max="4" width="15.00390625" style="1" customWidth="1"/>
    <col min="5" max="16384" width="11.57421875" style="1" customWidth="1"/>
  </cols>
  <sheetData>
    <row r="1" spans="1:4" ht="49.5" customHeight="1">
      <c r="A1" s="1101" t="s">
        <v>77</v>
      </c>
      <c r="B1" s="1102"/>
      <c r="C1" s="1103"/>
      <c r="D1" s="16" t="e">
        <f>#REF!</f>
        <v>#REF!</v>
      </c>
    </row>
    <row r="2" spans="1:4" ht="25.5" customHeight="1">
      <c r="A2" s="1104" t="s">
        <v>684</v>
      </c>
      <c r="B2" s="1105"/>
      <c r="C2" s="1106"/>
      <c r="D2" s="13" t="s">
        <v>682</v>
      </c>
    </row>
    <row r="3" spans="1:4" ht="25.5" customHeight="1">
      <c r="A3" s="1107" t="s">
        <v>801</v>
      </c>
      <c r="B3" s="1108"/>
      <c r="C3" s="1108"/>
      <c r="D3" s="1109"/>
    </row>
    <row r="4" spans="1:4" ht="31.5" customHeight="1">
      <c r="A4" s="19" t="s">
        <v>88</v>
      </c>
      <c r="B4" s="9" t="str">
        <f>ACTIVO!B10</f>
        <v>REAL 2014</v>
      </c>
      <c r="C4" s="17" t="str">
        <f>ACTIVO!C10</f>
        <v>ESTIMACIÓN 2015</v>
      </c>
      <c r="D4" s="18" t="str">
        <f>ACTIVO!D10</f>
        <v>PREVISIÓN 2016</v>
      </c>
    </row>
    <row r="5" spans="1:4" s="3" customFormat="1" ht="19.5" customHeight="1">
      <c r="A5" s="5" t="s">
        <v>124</v>
      </c>
      <c r="B5" s="21"/>
      <c r="C5" s="21"/>
      <c r="D5" s="22"/>
    </row>
    <row r="6" spans="1:4" s="3" customFormat="1" ht="19.5" customHeight="1">
      <c r="A6" s="5" t="s">
        <v>735</v>
      </c>
      <c r="B6" s="23" t="str">
        <f>CPYG!A11</f>
        <v>A) OPERACIONES CONTINUADAS</v>
      </c>
      <c r="C6" s="23" t="e">
        <f>CPYG!#REF!</f>
        <v>#REF!</v>
      </c>
      <c r="D6" s="24">
        <f>CPYG!B11</f>
        <v>0</v>
      </c>
    </row>
    <row r="7" spans="1:4" s="3" customFormat="1" ht="19.5" customHeight="1">
      <c r="A7" s="10" t="s">
        <v>89</v>
      </c>
      <c r="B7" s="25" t="str">
        <f>CPYG!A12</f>
        <v>1.  IMPORTE NETO DE LA CIFRA DE NEGOCIOS.</v>
      </c>
      <c r="C7" s="25" t="e">
        <f>CPYG!#REF!</f>
        <v>#REF!</v>
      </c>
      <c r="D7" s="26">
        <f>CPYG!B12</f>
        <v>9616753.16</v>
      </c>
    </row>
    <row r="8" spans="1:4" s="3" customFormat="1" ht="19.5" customHeight="1">
      <c r="A8" s="10" t="s">
        <v>125</v>
      </c>
      <c r="B8" s="25" t="str">
        <f>CPYG!A13</f>
        <v>          a) Ventas</v>
      </c>
      <c r="C8" s="25" t="e">
        <f>CPYG!#REF!</f>
        <v>#REF!</v>
      </c>
      <c r="D8" s="26">
        <f>CPYG!B13</f>
        <v>832207.41</v>
      </c>
    </row>
    <row r="9" spans="1:4" s="3" customFormat="1" ht="19.5" customHeight="1">
      <c r="A9" s="10" t="s">
        <v>736</v>
      </c>
      <c r="B9" s="25" t="str">
        <f>CPYG!A14</f>
        <v>          a.1) Al sector público</v>
      </c>
      <c r="C9" s="25" t="e">
        <f>CPYG!#REF!</f>
        <v>#REF!</v>
      </c>
      <c r="D9" s="26">
        <f>CPYG!B14</f>
        <v>406121.76000000024</v>
      </c>
    </row>
    <row r="10" spans="1:4" s="3" customFormat="1" ht="19.5" customHeight="1">
      <c r="A10" s="10" t="s">
        <v>747</v>
      </c>
      <c r="B10" s="25" t="str">
        <f>CPYG!A15</f>
        <v>          a.1.1.) A la Entidad Local o a sus unidades dependientes.(1)</v>
      </c>
      <c r="C10" s="27" t="e">
        <f>CPYG!#REF!</f>
        <v>#REF!</v>
      </c>
      <c r="D10" s="26">
        <f>CPYG!B15</f>
        <v>1498.87</v>
      </c>
    </row>
    <row r="11" spans="1:4" s="3" customFormat="1" ht="19.5" customHeight="1">
      <c r="A11" s="10" t="s">
        <v>748</v>
      </c>
      <c r="B11" s="25" t="str">
        <f>CPYG!A16</f>
        <v>          a.1.2.) A otras Administraciones Públicas.(1)</v>
      </c>
      <c r="C11" s="27" t="e">
        <f>CPYG!#REF!</f>
        <v>#REF!</v>
      </c>
      <c r="D11" s="26">
        <f>CPYG!B16</f>
        <v>0</v>
      </c>
    </row>
    <row r="12" spans="1:4" s="3" customFormat="1" ht="19.5" customHeight="1">
      <c r="A12" s="10" t="s">
        <v>127</v>
      </c>
      <c r="B12" s="25" t="str">
        <f>CPYG!A17</f>
        <v>          a.1.3.) A empresas y Entes Públicos.(1)</v>
      </c>
      <c r="C12" s="27" t="e">
        <f>CPYG!#REF!</f>
        <v>#REF!</v>
      </c>
      <c r="D12" s="26">
        <f>CPYG!B17</f>
        <v>404622.89000000025</v>
      </c>
    </row>
    <row r="13" spans="1:4" s="3" customFormat="1" ht="19.5" customHeight="1">
      <c r="A13" s="10" t="s">
        <v>749</v>
      </c>
      <c r="B13" s="25" t="str">
        <f>CPYG!A18</f>
        <v>          a.2) Al sector privado</v>
      </c>
      <c r="C13" s="25" t="e">
        <f>CPYG!#REF!</f>
        <v>#REF!</v>
      </c>
      <c r="D13" s="26">
        <f>CPYG!B18</f>
        <v>426085.6499999998</v>
      </c>
    </row>
    <row r="14" spans="1:4" s="3" customFormat="1" ht="19.5" customHeight="1">
      <c r="A14" s="10" t="s">
        <v>128</v>
      </c>
      <c r="B14" s="25" t="str">
        <f>CPYG!A19</f>
        <v>          b) Prestaciones de Servicios.</v>
      </c>
      <c r="C14" s="25" t="e">
        <f>CPYG!#REF!</f>
        <v>#REF!</v>
      </c>
      <c r="D14" s="26">
        <f>CPYG!B19</f>
        <v>8784545.75</v>
      </c>
    </row>
    <row r="15" spans="1:4" s="3" customFormat="1" ht="19.5" customHeight="1">
      <c r="A15" s="10" t="s">
        <v>751</v>
      </c>
      <c r="B15" s="25" t="str">
        <f>CPYG!A20</f>
        <v>          b.1) Al sector público</v>
      </c>
      <c r="C15" s="27" t="e">
        <f>CPYG!#REF!</f>
        <v>#REF!</v>
      </c>
      <c r="D15" s="26">
        <f>CPYG!B20</f>
        <v>4156608.434778505</v>
      </c>
    </row>
    <row r="16" spans="1:4" s="3" customFormat="1" ht="19.5" customHeight="1">
      <c r="A16" s="10" t="s">
        <v>752</v>
      </c>
      <c r="B16" s="25" t="str">
        <f>CPYG!A21</f>
        <v>          b.1.1.) A la Entidad Local o a sus unidades dependientes.(1)</v>
      </c>
      <c r="C16" s="27" t="e">
        <f>CPYG!#REF!</f>
        <v>#REF!</v>
      </c>
      <c r="D16" s="26">
        <f>CPYG!B21</f>
        <v>4132098.2759000002</v>
      </c>
    </row>
    <row r="17" spans="1:4" s="3" customFormat="1" ht="19.5" customHeight="1">
      <c r="A17" s="10" t="s">
        <v>753</v>
      </c>
      <c r="B17" s="25" t="str">
        <f>CPYG!A22</f>
        <v>          b.1.2.) A otras Administraciones Públicas.(1)</v>
      </c>
      <c r="C17" s="27" t="e">
        <f>CPYG!#REF!</f>
        <v>#REF!</v>
      </c>
      <c r="D17" s="26">
        <f>CPYG!B22</f>
        <v>16134.663551401869</v>
      </c>
    </row>
    <row r="18" spans="1:4" s="3" customFormat="1" ht="19.5" customHeight="1">
      <c r="A18" s="10" t="s">
        <v>129</v>
      </c>
      <c r="B18" s="25" t="str">
        <f>CPYG!A23</f>
        <v>          b.1.3.) A empresas y Entes Públicos.(1)</v>
      </c>
      <c r="C18" s="27" t="e">
        <f>CPYG!#REF!</f>
        <v>#REF!</v>
      </c>
      <c r="D18" s="26">
        <f>CPYG!B23</f>
        <v>8375.495327102803</v>
      </c>
    </row>
    <row r="19" spans="1:4" s="3" customFormat="1" ht="19.5" customHeight="1">
      <c r="A19" s="5" t="s">
        <v>390</v>
      </c>
      <c r="B19" s="23" t="str">
        <f>CPYG!A24</f>
        <v>          b.2.) Al sector privado</v>
      </c>
      <c r="C19" s="23" t="e">
        <f>CPYG!#REF!</f>
        <v>#REF!</v>
      </c>
      <c r="D19" s="24">
        <f>CPYG!B24</f>
        <v>4627937.315221495</v>
      </c>
    </row>
    <row r="20" spans="1:4" s="3" customFormat="1" ht="19.5" customHeight="1">
      <c r="A20" s="5" t="s">
        <v>754</v>
      </c>
      <c r="B20" s="23" t="str">
        <f>CPYG!A25</f>
        <v>2. VARIACIÓN DE EXISTENCIAS DE PRODUCTOS TERMINADOS Y EN CURSO DE FABRICACIÓN</v>
      </c>
      <c r="C20" s="23" t="e">
        <f>CPYG!#REF!</f>
        <v>#REF!</v>
      </c>
      <c r="D20" s="24">
        <f>CPYG!B25</f>
        <v>-10185</v>
      </c>
    </row>
    <row r="21" spans="1:4" s="3" customFormat="1" ht="19.5" customHeight="1">
      <c r="A21" s="5" t="s">
        <v>755</v>
      </c>
      <c r="B21" s="23" t="str">
        <f>CPYG!A28</f>
        <v>3. TRABAJOS REALIZADOS POR LA EMPRESA PARA SU ACTIVO.</v>
      </c>
      <c r="C21" s="23" t="e">
        <f>CPYG!#REF!</f>
        <v>#REF!</v>
      </c>
      <c r="D21" s="24">
        <f>CPYG!B28</f>
        <v>202328.75</v>
      </c>
    </row>
    <row r="22" spans="1:4" s="3" customFormat="1" ht="19.5" customHeight="1">
      <c r="A22" s="10" t="s">
        <v>756</v>
      </c>
      <c r="B22" s="25" t="str">
        <f>CPYG!A29</f>
        <v>4. APROVISIONAMIENTOS.</v>
      </c>
      <c r="C22" s="25" t="e">
        <f>CPYG!#REF!</f>
        <v>#REF!</v>
      </c>
      <c r="D22" s="26">
        <f>CPYG!B29</f>
        <v>-708712.7999999999</v>
      </c>
    </row>
    <row r="23" spans="1:4" s="3" customFormat="1" ht="19.5" customHeight="1">
      <c r="A23" s="10" t="s">
        <v>757</v>
      </c>
      <c r="B23" s="25" t="str">
        <f>CPYG!A30</f>
        <v>         a) Consumo de mercaderías.</v>
      </c>
      <c r="C23" s="27" t="e">
        <f>CPYG!#REF!</f>
        <v>#REF!</v>
      </c>
      <c r="D23" s="26">
        <f>CPYG!B30</f>
        <v>-577.82</v>
      </c>
    </row>
    <row r="24" spans="1:4" s="3" customFormat="1" ht="19.5" customHeight="1">
      <c r="A24" s="10" t="s">
        <v>758</v>
      </c>
      <c r="B24" s="25" t="str">
        <f>CPYG!A31</f>
        <v>          b) Consumo de materias primas y otras materias consumibles.</v>
      </c>
      <c r="C24" s="27" t="e">
        <f>CPYG!#REF!</f>
        <v>#REF!</v>
      </c>
      <c r="D24" s="26">
        <f>CPYG!B31</f>
        <v>-90013.28</v>
      </c>
    </row>
    <row r="25" spans="1:4" s="3" customFormat="1" ht="19.5" customHeight="1">
      <c r="A25" s="10" t="s">
        <v>759</v>
      </c>
      <c r="B25" s="25" t="str">
        <f>CPYG!A32</f>
        <v>          c) Trabajos realizados por otras empresas.</v>
      </c>
      <c r="C25" s="27" t="e">
        <f>CPYG!#REF!</f>
        <v>#REF!</v>
      </c>
      <c r="D25" s="26">
        <f>CPYG!B32</f>
        <v>-618121.7</v>
      </c>
    </row>
    <row r="26" spans="1:4" s="3" customFormat="1" ht="19.5" customHeight="1">
      <c r="A26" s="5" t="s">
        <v>760</v>
      </c>
      <c r="B26" s="23" t="str">
        <f>CPYG!A33</f>
        <v>          d) Deterioro de mercaderías, materias primas y otros aprovisionamientos.</v>
      </c>
      <c r="C26" s="23" t="e">
        <f>CPYG!#REF!</f>
        <v>#REF!</v>
      </c>
      <c r="D26" s="24">
        <f>CPYG!B33</f>
        <v>0</v>
      </c>
    </row>
    <row r="27" spans="1:4" s="3" customFormat="1" ht="19.5" customHeight="1">
      <c r="A27" s="10" t="s">
        <v>761</v>
      </c>
      <c r="B27" s="25" t="str">
        <f>CPYG!A34</f>
        <v>5. OTROS INGRESOS DE EXPLOTACIÓN.</v>
      </c>
      <c r="C27" s="25" t="e">
        <f>CPYG!#REF!</f>
        <v>#REF!</v>
      </c>
      <c r="D27" s="26">
        <f>CPYG!B34</f>
        <v>258391.21</v>
      </c>
    </row>
    <row r="28" spans="1:4" s="3" customFormat="1" ht="19.5" customHeight="1">
      <c r="A28" s="10" t="s">
        <v>763</v>
      </c>
      <c r="B28" s="25" t="str">
        <f>CPYG!A35</f>
        <v>      a) Ingresos accesorios y otros de gestión corriente.</v>
      </c>
      <c r="C28" s="25" t="e">
        <f>CPYG!#REF!</f>
        <v>#REF!</v>
      </c>
      <c r="D28" s="26">
        <f>CPYG!B35</f>
        <v>15145.99</v>
      </c>
    </row>
    <row r="29" spans="1:4" s="3" customFormat="1" ht="19.5" customHeight="1">
      <c r="A29" s="10" t="s">
        <v>764</v>
      </c>
      <c r="B29" s="25" t="str">
        <f>CPYG!A39</f>
        <v>      b) Subvenciones de explotación incorporadas al resultado del ejercicio.</v>
      </c>
      <c r="C29" s="27" t="e">
        <f>CPYG!#REF!</f>
        <v>#REF!</v>
      </c>
      <c r="D29" s="28">
        <f>CPYG!B39</f>
        <v>243245.22</v>
      </c>
    </row>
    <row r="30" spans="1:4" s="3" customFormat="1" ht="19.5" customHeight="1">
      <c r="A30" s="10" t="s">
        <v>391</v>
      </c>
      <c r="B30" s="25" t="str">
        <f>CPYG!A40</f>
        <v>          b.1.) Estado.</v>
      </c>
      <c r="C30" s="27" t="e">
        <f>CPYG!#REF!</f>
        <v>#REF!</v>
      </c>
      <c r="D30" s="28">
        <f>CPYG!B40</f>
        <v>137728.65</v>
      </c>
    </row>
    <row r="31" spans="1:4" s="3" customFormat="1" ht="19.5" customHeight="1">
      <c r="A31" s="10" t="s">
        <v>392</v>
      </c>
      <c r="B31" s="25" t="str">
        <f>CPYG!A41</f>
        <v>          b.2.) Comunidad Autónoma</v>
      </c>
      <c r="C31" s="27" t="e">
        <f>CPYG!#REF!</f>
        <v>#REF!</v>
      </c>
      <c r="D31" s="26">
        <f>CPYG!B41</f>
        <v>28100</v>
      </c>
    </row>
    <row r="32" spans="1:4" s="3" customFormat="1" ht="19.5" customHeight="1">
      <c r="A32" s="10" t="s">
        <v>765</v>
      </c>
      <c r="B32" s="25" t="str">
        <f>CPYG!A42</f>
        <v>          b.3. ) Corporaciones Locales</v>
      </c>
      <c r="C32" s="25" t="e">
        <f>CPYG!#REF!</f>
        <v>#REF!</v>
      </c>
      <c r="D32" s="26">
        <f>CPYG!B42</f>
        <v>0</v>
      </c>
    </row>
    <row r="33" spans="1:4" s="3" customFormat="1" ht="19.5" customHeight="1">
      <c r="A33" s="10" t="s">
        <v>766</v>
      </c>
      <c r="B33" s="25" t="str">
        <f>CPYG!A43</f>
        <v>          b.4. ) Cabildo Insular de Tenerife.</v>
      </c>
      <c r="C33" s="27" t="e">
        <f>CPYG!#REF!</f>
        <v>#REF!</v>
      </c>
      <c r="D33" s="26">
        <f>CPYG!B43</f>
        <v>0</v>
      </c>
    </row>
    <row r="34" spans="1:4" s="3" customFormat="1" ht="19.5" customHeight="1">
      <c r="A34" s="10" t="s">
        <v>767</v>
      </c>
      <c r="B34" s="25" t="str">
        <f>CPYG!A44</f>
        <v>          b.5. ) Otros Entes.</v>
      </c>
      <c r="C34" s="27" t="e">
        <f>CPYG!#REF!</f>
        <v>#REF!</v>
      </c>
      <c r="D34" s="26">
        <f>CPYG!B44</f>
        <v>77416.57</v>
      </c>
    </row>
    <row r="35" spans="1:4" s="3" customFormat="1" ht="19.5" customHeight="1">
      <c r="A35" s="5" t="s">
        <v>768</v>
      </c>
      <c r="B35" s="23" t="str">
        <f>CPYG!A45</f>
        <v>          b.6. ) Imputación de subvenciones de explotación de ejercicios anteriores.</v>
      </c>
      <c r="C35" s="23" t="e">
        <f>CPYG!#REF!</f>
        <v>#REF!</v>
      </c>
      <c r="D35" s="24">
        <f>CPYG!B45</f>
        <v>0</v>
      </c>
    </row>
    <row r="36" spans="1:5" s="3" customFormat="1" ht="19.5" customHeight="1">
      <c r="A36" s="10" t="s">
        <v>769</v>
      </c>
      <c r="B36" s="25" t="str">
        <f>CPYG!A46</f>
        <v>6. GASTOS DE PERSONAL.</v>
      </c>
      <c r="C36" s="25" t="e">
        <f>CPYG!#REF!</f>
        <v>#REF!</v>
      </c>
      <c r="D36" s="26">
        <f>CPYG!B46</f>
        <v>-4110524.34</v>
      </c>
      <c r="E36" s="40"/>
    </row>
    <row r="37" spans="1:4" s="3" customFormat="1" ht="19.5" customHeight="1">
      <c r="A37" s="10" t="s">
        <v>393</v>
      </c>
      <c r="B37" s="25" t="str">
        <f>CPYG!A47</f>
        <v>      a) Sueldos, Salarios y Asimilados. (sin indem)</v>
      </c>
      <c r="C37" s="27" t="e">
        <f>CPYG!#REF!</f>
        <v>#REF!</v>
      </c>
      <c r="D37" s="26">
        <f>CPYG!B47</f>
        <v>-3055386.21</v>
      </c>
    </row>
    <row r="38" spans="1:4" s="3" customFormat="1" ht="19.5" customHeight="1">
      <c r="A38" s="10" t="s">
        <v>394</v>
      </c>
      <c r="B38" s="25" t="str">
        <f>CPYG!A48</f>
        <v>      b) Indemnizaciones</v>
      </c>
      <c r="C38" s="27" t="e">
        <f>CPYG!#REF!</f>
        <v>#REF!</v>
      </c>
      <c r="D38" s="26">
        <f>CPYG!B48</f>
        <v>0</v>
      </c>
    </row>
    <row r="39" spans="1:4" s="3" customFormat="1" ht="19.5" customHeight="1">
      <c r="A39" s="10" t="s">
        <v>395</v>
      </c>
      <c r="B39" s="25" t="str">
        <f>CPYG!A49</f>
        <v>      c) Seguridad Social a cargo de la empresa</v>
      </c>
      <c r="C39" s="27" t="e">
        <f>CPYG!#REF!</f>
        <v>#REF!</v>
      </c>
      <c r="D39" s="26">
        <f>CPYG!B49</f>
        <v>-1055138.13</v>
      </c>
    </row>
    <row r="40" spans="1:4" s="3" customFormat="1" ht="19.5" customHeight="1">
      <c r="A40" s="10" t="s">
        <v>396</v>
      </c>
      <c r="B40" s="25" t="str">
        <f>CPYG!A50</f>
        <v>      d) Aportaciones a Planes de Pensiones u otros de aportación definida</v>
      </c>
      <c r="C40" s="27" t="e">
        <f>CPYG!#REF!</f>
        <v>#REF!</v>
      </c>
      <c r="D40" s="26">
        <f>CPYG!B50</f>
        <v>0</v>
      </c>
    </row>
    <row r="41" spans="1:4" s="3" customFormat="1" ht="19.5" customHeight="1">
      <c r="A41" s="10" t="s">
        <v>397</v>
      </c>
      <c r="B41" s="25" t="str">
        <f>CPYG!A51</f>
        <v>      e) Otros Gastos Sociales</v>
      </c>
      <c r="C41" s="27" t="e">
        <f>CPYG!#REF!</f>
        <v>#REF!</v>
      </c>
      <c r="D41" s="26">
        <f>CPYG!B51</f>
        <v>0</v>
      </c>
    </row>
    <row r="42" spans="1:4" s="3" customFormat="1" ht="19.5" customHeight="1">
      <c r="A42" s="5" t="s">
        <v>770</v>
      </c>
      <c r="B42" s="23" t="str">
        <f>CPYG!A52</f>
        <v>      f) Provisiones</v>
      </c>
      <c r="C42" s="23" t="e">
        <f>CPYG!#REF!</f>
        <v>#REF!</v>
      </c>
      <c r="D42" s="24">
        <f>CPYG!B52</f>
        <v>0</v>
      </c>
    </row>
    <row r="43" spans="1:4" s="3" customFormat="1" ht="19.5" customHeight="1">
      <c r="A43" s="10" t="s">
        <v>398</v>
      </c>
      <c r="B43" s="25" t="str">
        <f>CPYG!A54</f>
        <v>7. OTROS GASTOS DE EXPLOTACIÓN.</v>
      </c>
      <c r="C43" s="27" t="e">
        <f>CPYG!#REF!</f>
        <v>#REF!</v>
      </c>
      <c r="D43" s="26">
        <f>CPYG!B54</f>
        <v>-5093171.52</v>
      </c>
    </row>
    <row r="44" spans="1:4" s="3" customFormat="1" ht="19.5" customHeight="1">
      <c r="A44" s="10" t="s">
        <v>399</v>
      </c>
      <c r="B44" s="25" t="str">
        <f>CPYG!A55</f>
        <v>      a) Servicios Exteriores</v>
      </c>
      <c r="C44" s="27" t="e">
        <f>CPYG!#REF!</f>
        <v>#REF!</v>
      </c>
      <c r="D44" s="26">
        <f>CPYG!B55</f>
        <v>-3095084.69</v>
      </c>
    </row>
    <row r="45" spans="1:4" s="3" customFormat="1" ht="19.5" customHeight="1">
      <c r="A45" s="10" t="s">
        <v>771</v>
      </c>
      <c r="B45" s="25" t="str">
        <f>CPYG!A56</f>
        <v>      b) Tributos</v>
      </c>
      <c r="C45" s="25" t="e">
        <f>CPYG!#REF!</f>
        <v>#REF!</v>
      </c>
      <c r="D45" s="26">
        <f>CPYG!B56</f>
        <v>-2071907.98</v>
      </c>
    </row>
    <row r="46" spans="1:4" s="3" customFormat="1" ht="19.5" customHeight="1">
      <c r="A46" s="10" t="s">
        <v>772</v>
      </c>
      <c r="B46" s="25" t="str">
        <f>CPYG!A57</f>
        <v>      c) Pérdidas, deterioro y variación de provisiones por operac. Comerciales.</v>
      </c>
      <c r="C46" s="27" t="e">
        <f>CPYG!#REF!</f>
        <v>#REF!</v>
      </c>
      <c r="D46" s="26">
        <f>CPYG!B57</f>
        <v>73821.15</v>
      </c>
    </row>
    <row r="47" spans="1:4" s="3" customFormat="1" ht="19.5" customHeight="1">
      <c r="A47" s="10" t="s">
        <v>773</v>
      </c>
      <c r="B47" s="25" t="e">
        <f>CPYG!#REF!</f>
        <v>#REF!</v>
      </c>
      <c r="C47" s="27" t="e">
        <f>CPYG!#REF!</f>
        <v>#REF!</v>
      </c>
      <c r="D47" s="26" t="e">
        <f>CPYG!#REF!</f>
        <v>#REF!</v>
      </c>
    </row>
    <row r="48" spans="1:4" s="3" customFormat="1" ht="19.5" customHeight="1">
      <c r="A48" s="10" t="s">
        <v>774</v>
      </c>
      <c r="B48" s="21" t="e">
        <f>CPYG!#REF!</f>
        <v>#REF!</v>
      </c>
      <c r="C48" s="21" t="e">
        <f>CPYG!#REF!</f>
        <v>#REF!</v>
      </c>
      <c r="D48" s="22" t="e">
        <f>CPYG!#REF!</f>
        <v>#REF!</v>
      </c>
    </row>
    <row r="49" spans="1:4" s="3" customFormat="1" ht="19.5" customHeight="1">
      <c r="A49" s="5" t="s">
        <v>775</v>
      </c>
      <c r="B49" s="23" t="str">
        <f>CPYG!A58</f>
        <v>      d) Otros gastos de gestión corriente.</v>
      </c>
      <c r="C49" s="39" t="e">
        <f>CPYG!#REF!</f>
        <v>#REF!</v>
      </c>
      <c r="D49" s="24">
        <f>CPYG!B58</f>
        <v>0</v>
      </c>
    </row>
    <row r="50" spans="1:4" s="3" customFormat="1" ht="19.5" customHeight="1">
      <c r="A50" s="5" t="s">
        <v>776</v>
      </c>
      <c r="B50" s="23" t="str">
        <f>CPYG!A59</f>
        <v>8. AMORTIZACIÓN DEL INMOVILIZADO.</v>
      </c>
      <c r="C50" s="23" t="e">
        <f>CPYG!#REF!</f>
        <v>#REF!</v>
      </c>
      <c r="D50" s="24">
        <f>CPYG!B59</f>
        <v>-3532938.4899999998</v>
      </c>
    </row>
    <row r="51" spans="1:4" s="3" customFormat="1" ht="19.5" customHeight="1">
      <c r="A51" s="5" t="s">
        <v>777</v>
      </c>
      <c r="B51" s="23" t="str">
        <f>CPYG!A63</f>
        <v>9. IMPUTACIÓN DE SUBVENCIONES DE INMOVILIZADO NO FINANCIERO Y OTRAS. (2)</v>
      </c>
      <c r="C51" s="23" t="e">
        <f>CPYG!#REF!</f>
        <v>#REF!</v>
      </c>
      <c r="D51" s="24">
        <f>CPYG!B63</f>
        <v>429214.75</v>
      </c>
    </row>
    <row r="52" spans="1:4" s="3" customFormat="1" ht="19.5" customHeight="1">
      <c r="A52" s="5" t="s">
        <v>778</v>
      </c>
      <c r="B52" s="23" t="str">
        <f>CPYG!A64</f>
        <v>10. EXCESOS DE PROVISIONES.</v>
      </c>
      <c r="C52" s="23" t="e">
        <f>CPYG!#REF!</f>
        <v>#REF!</v>
      </c>
      <c r="D52" s="24">
        <f>CPYG!B64</f>
        <v>1730634.47</v>
      </c>
    </row>
    <row r="53" spans="1:4" s="3" customFormat="1" ht="19.5" customHeight="1">
      <c r="A53" s="10" t="s">
        <v>73</v>
      </c>
      <c r="B53" s="25" t="str">
        <f>CPYG!A65</f>
        <v>11. DETERIORO Y RESULTADO POR ENAJENACIONES DEL INMOVILIZADO.</v>
      </c>
      <c r="C53" s="27" t="e">
        <f>CPYG!#REF!</f>
        <v>#REF!</v>
      </c>
      <c r="D53" s="26">
        <f>CPYG!B65</f>
        <v>0</v>
      </c>
    </row>
    <row r="54" spans="1:4" s="3" customFormat="1" ht="19.5" customHeight="1">
      <c r="A54" s="10" t="s">
        <v>400</v>
      </c>
      <c r="B54" s="25" t="str">
        <f>CPYG!A66</f>
        <v>      a) Deterioros y pérdidas</v>
      </c>
      <c r="C54" s="25" t="e">
        <f>CPYG!#REF!</f>
        <v>#REF!</v>
      </c>
      <c r="D54" s="26">
        <f>CPYG!B66</f>
        <v>0</v>
      </c>
    </row>
    <row r="55" spans="1:4" s="41" customFormat="1" ht="19.5" customHeight="1">
      <c r="A55" s="5" t="s">
        <v>685</v>
      </c>
      <c r="B55" s="23" t="str">
        <f>CPYG!A70</f>
        <v>      b) Resultados por enajenaciones y otras</v>
      </c>
      <c r="C55" s="23" t="e">
        <f>CPYG!#REF!</f>
        <v>#REF!</v>
      </c>
      <c r="D55" s="24">
        <f>CPYG!B70</f>
        <v>0</v>
      </c>
    </row>
    <row r="56" spans="1:4" s="3" customFormat="1" ht="19.5" customHeight="1">
      <c r="A56" s="5" t="s">
        <v>686</v>
      </c>
      <c r="B56" s="23" t="str">
        <f>CPYG!A79</f>
        <v>13. OTROS RESULTADOS</v>
      </c>
      <c r="C56" s="23" t="e">
        <f>CPYG!#REF!</f>
        <v>#REF!</v>
      </c>
      <c r="D56" s="24">
        <f>CPYG!B79</f>
        <v>4072.87</v>
      </c>
    </row>
    <row r="57" spans="1:4" s="3" customFormat="1" ht="19.5" customHeight="1">
      <c r="A57" s="5" t="s">
        <v>779</v>
      </c>
      <c r="B57" s="23" t="str">
        <f>CPYG!A82</f>
        <v>A.1.)  RESULTADO DE EXPLOTACIÓN (∑(1+2+3+4+5+6+7+8+9+10+11+12+12a+13))</v>
      </c>
      <c r="C57" s="23" t="e">
        <f>CPYG!#REF!</f>
        <v>#REF!</v>
      </c>
      <c r="D57" s="24">
        <f>CPYG!B82</f>
        <v>-1214136.9399999988</v>
      </c>
    </row>
    <row r="58" spans="1:4" s="3" customFormat="1" ht="19.5" customHeight="1">
      <c r="A58" s="10" t="s">
        <v>780</v>
      </c>
      <c r="B58" s="25" t="str">
        <f>CPYG!A83</f>
        <v>14. INGRESOS FINANCIEROS.</v>
      </c>
      <c r="C58" s="25" t="e">
        <f>CPYG!#REF!</f>
        <v>#REF!</v>
      </c>
      <c r="D58" s="26">
        <f>CPYG!B83</f>
        <v>1815902.08</v>
      </c>
    </row>
    <row r="59" spans="1:4" s="3" customFormat="1" ht="19.5" customHeight="1">
      <c r="A59" s="10" t="s">
        <v>781</v>
      </c>
      <c r="B59" s="25" t="str">
        <f>CPYG!A84</f>
        <v>      a) De participaciones en instrumentos de patrimonio.</v>
      </c>
      <c r="C59" s="27" t="e">
        <f>CPYG!#REF!</f>
        <v>#REF!</v>
      </c>
      <c r="D59" s="26">
        <f>CPYG!B84</f>
        <v>262967.23</v>
      </c>
    </row>
    <row r="60" spans="1:4" s="3" customFormat="1" ht="19.5" customHeight="1">
      <c r="A60" s="10" t="s">
        <v>782</v>
      </c>
      <c r="B60" s="25" t="str">
        <f>CPYG!A85</f>
        <v>          a.1.) En empresas del grupo y asociadas.</v>
      </c>
      <c r="C60" s="27" t="e">
        <f>CPYG!#REF!</f>
        <v>#REF!</v>
      </c>
      <c r="D60" s="26">
        <f>CPYG!B85</f>
        <v>159191.73</v>
      </c>
    </row>
    <row r="61" spans="1:4" s="3" customFormat="1" ht="19.5" customHeight="1">
      <c r="A61" s="10" t="s">
        <v>401</v>
      </c>
      <c r="B61" s="25" t="str">
        <f>CPYG!A86</f>
        <v>          a.2) En terceros.</v>
      </c>
      <c r="C61" s="25" t="e">
        <f>CPYG!#REF!</f>
        <v>#REF!</v>
      </c>
      <c r="D61" s="26">
        <f>CPYG!B86</f>
        <v>103775.5</v>
      </c>
    </row>
    <row r="62" spans="1:4" s="3" customFormat="1" ht="19.5" customHeight="1">
      <c r="A62" s="10" t="s">
        <v>783</v>
      </c>
      <c r="B62" s="25" t="str">
        <f>CPYG!A87</f>
        <v>      b) De valores negociables y otros instrumentos financieros</v>
      </c>
      <c r="C62" s="27" t="e">
        <f>CPYG!#REF!</f>
        <v>#REF!</v>
      </c>
      <c r="D62" s="26">
        <f>CPYG!B87</f>
        <v>1552934.85</v>
      </c>
    </row>
    <row r="63" spans="1:4" s="3" customFormat="1" ht="19.5" customHeight="1">
      <c r="A63" s="10" t="s">
        <v>784</v>
      </c>
      <c r="B63" s="25" t="str">
        <f>CPYG!A88</f>
        <v>          b.1.) En empresas del grupo y asociadas.</v>
      </c>
      <c r="C63" s="25" t="e">
        <f>CPYG!#REF!</f>
        <v>#REF!</v>
      </c>
      <c r="D63" s="26">
        <f>CPYG!B88</f>
        <v>1531255.56</v>
      </c>
    </row>
    <row r="64" spans="1:4" s="3" customFormat="1" ht="19.5" customHeight="1">
      <c r="A64" s="5" t="s">
        <v>785</v>
      </c>
      <c r="B64" s="23" t="str">
        <f>CPYG!A89</f>
        <v>          b.2) En terceros.</v>
      </c>
      <c r="C64" s="23" t="e">
        <f>CPYG!#REF!</f>
        <v>#REF!</v>
      </c>
      <c r="D64" s="24">
        <f>CPYG!B89</f>
        <v>21679.29</v>
      </c>
    </row>
    <row r="65" spans="1:4" s="3" customFormat="1" ht="19.5" customHeight="1">
      <c r="A65" s="10" t="s">
        <v>786</v>
      </c>
      <c r="B65" s="25" t="str">
        <f>CPYG!A91</f>
        <v>15. GASTOS FINANCIEROS.</v>
      </c>
      <c r="C65" s="27" t="e">
        <f>CPYG!#REF!</f>
        <v>#REF!</v>
      </c>
      <c r="D65" s="26">
        <f>CPYG!B91</f>
        <v>-514081.81</v>
      </c>
    </row>
    <row r="66" spans="1:4" s="3" customFormat="1" ht="19.5" customHeight="1">
      <c r="A66" s="10" t="s">
        <v>402</v>
      </c>
      <c r="B66" s="29" t="str">
        <f>CPYG!A92</f>
        <v>      a) Por deudas con empresas del grupo y asociadas.</v>
      </c>
      <c r="C66" s="29" t="e">
        <f>CPYG!#REF!</f>
        <v>#REF!</v>
      </c>
      <c r="D66" s="30">
        <f>CPYG!B92</f>
        <v>0</v>
      </c>
    </row>
    <row r="67" spans="1:4" s="3" customFormat="1" ht="19.5" customHeight="1">
      <c r="A67" s="10" t="s">
        <v>403</v>
      </c>
      <c r="B67" s="29" t="str">
        <f>CPYG!A93</f>
        <v>      b) Por deudas con terceros</v>
      </c>
      <c r="C67" s="29" t="e">
        <f>CPYG!#REF!</f>
        <v>#REF!</v>
      </c>
      <c r="D67" s="30">
        <f>CPYG!B93</f>
        <v>-514081.81</v>
      </c>
    </row>
    <row r="68" spans="1:4" s="3" customFormat="1" ht="19.5" customHeight="1">
      <c r="A68" s="5" t="s">
        <v>787</v>
      </c>
      <c r="B68" s="23" t="str">
        <f>CPYG!A94</f>
        <v>      c) Por actualización de provisiones</v>
      </c>
      <c r="C68" s="23" t="e">
        <f>CPYG!#REF!</f>
        <v>#REF!</v>
      </c>
      <c r="D68" s="24">
        <f>CPYG!B94</f>
        <v>0</v>
      </c>
    </row>
    <row r="69" spans="1:4" s="3" customFormat="1" ht="19.5" customHeight="1">
      <c r="A69" s="10" t="s">
        <v>788</v>
      </c>
      <c r="B69" s="29" t="str">
        <f>CPYG!A95</f>
        <v>16. VARIACIÓN DE VALOR RAZONABLE EN INSTRUMENTOS FINANCIEROS.</v>
      </c>
      <c r="C69" s="29" t="e">
        <f>CPYG!#REF!</f>
        <v>#REF!</v>
      </c>
      <c r="D69" s="30">
        <f>CPYG!B95</f>
        <v>0</v>
      </c>
    </row>
    <row r="70" spans="1:4" s="3" customFormat="1" ht="19.5" customHeight="1">
      <c r="A70" s="10" t="s">
        <v>404</v>
      </c>
      <c r="B70" s="29" t="str">
        <f>CPYG!A96</f>
        <v>      a) Cartera de negociación y otros.</v>
      </c>
      <c r="C70" s="29" t="e">
        <f>CPYG!#REF!</f>
        <v>#REF!</v>
      </c>
      <c r="D70" s="30">
        <f>CPYG!B96</f>
        <v>0</v>
      </c>
    </row>
    <row r="71" spans="1:4" s="3" customFormat="1" ht="19.5" customHeight="1">
      <c r="A71" s="5" t="s">
        <v>789</v>
      </c>
      <c r="B71" s="23" t="str">
        <f>CPYG!A97</f>
        <v>      b) Imputación al resultado del ejercicio por activos financieros disponibles para la venta</v>
      </c>
      <c r="C71" s="23" t="e">
        <f>CPYG!#REF!</f>
        <v>#REF!</v>
      </c>
      <c r="D71" s="24">
        <f>CPYG!B97</f>
        <v>0</v>
      </c>
    </row>
    <row r="72" spans="1:4" s="3" customFormat="1" ht="19.5" customHeight="1">
      <c r="A72" s="5" t="s">
        <v>687</v>
      </c>
      <c r="B72" s="23" t="str">
        <f>CPYG!A98</f>
        <v>17. DIFERENCIA DE CAMBIO.</v>
      </c>
      <c r="C72" s="23" t="e">
        <f>CPYG!#REF!</f>
        <v>#REF!</v>
      </c>
      <c r="D72" s="24">
        <f>CPYG!B98</f>
        <v>921.36</v>
      </c>
    </row>
    <row r="73" spans="1:4" s="3" customFormat="1" ht="20.25" customHeight="1">
      <c r="A73" s="10" t="s">
        <v>790</v>
      </c>
      <c r="B73" s="29" t="str">
        <f>CPYG!A99</f>
        <v>18. DETERIORO Y RESULTADO POR ENAJENACIONES DE INSTRUMENTOS FINANCIEROS</v>
      </c>
      <c r="C73" s="29" t="e">
        <f>CPYG!#REF!</f>
        <v>#REF!</v>
      </c>
      <c r="D73" s="30">
        <f>CPYG!B99</f>
        <v>0</v>
      </c>
    </row>
    <row r="74" spans="1:4" s="3" customFormat="1" ht="17.25" customHeight="1">
      <c r="A74" s="12" t="s">
        <v>400</v>
      </c>
      <c r="B74" s="29" t="str">
        <f>CPYG!A100</f>
        <v>      a) Deterioros y Pérdidas.</v>
      </c>
      <c r="C74" s="29" t="e">
        <f>CPYG!#REF!</f>
        <v>#REF!</v>
      </c>
      <c r="D74" s="30">
        <f>CPYG!B100</f>
        <v>0</v>
      </c>
    </row>
    <row r="75" spans="1:4" s="3" customFormat="1" ht="19.5" customHeight="1">
      <c r="A75" s="5" t="s">
        <v>688</v>
      </c>
      <c r="B75" s="23" t="str">
        <f>CPYG!A101</f>
        <v>      b) Resultados por enajenaciones y otras.</v>
      </c>
      <c r="C75" s="23" t="e">
        <f>CPYG!#REF!</f>
        <v>#REF!</v>
      </c>
      <c r="D75" s="24">
        <f>CPYG!B101</f>
        <v>0</v>
      </c>
    </row>
    <row r="76" spans="1:4" s="3" customFormat="1" ht="19.5" customHeight="1">
      <c r="A76" s="5" t="s">
        <v>405</v>
      </c>
      <c r="B76" s="23" t="str">
        <f>CPYG!A105</f>
        <v>A.2.) RESULTADO FINANCIERO (∑ (14 A 19))</v>
      </c>
      <c r="C76" s="23" t="e">
        <f>CPYG!#REF!</f>
        <v>#REF!</v>
      </c>
      <c r="D76" s="24">
        <f>CPYG!B105</f>
        <v>1302741.6300000001</v>
      </c>
    </row>
    <row r="77" spans="1:4" s="3" customFormat="1" ht="19.5" customHeight="1">
      <c r="A77" s="5" t="s">
        <v>71</v>
      </c>
      <c r="B77" s="23" t="str">
        <f>CPYG!A106</f>
        <v>A.3.) RESULTADO ANTES DE IMPUESTOS (A.1 + A.2)</v>
      </c>
      <c r="C77" s="39" t="e">
        <f>CPYG!#REF!</f>
        <v>#REF!</v>
      </c>
      <c r="D77" s="24">
        <f>CPYG!B106</f>
        <v>88604.69000000134</v>
      </c>
    </row>
    <row r="78" spans="1:4" s="3" customFormat="1" ht="25.5" customHeight="1">
      <c r="A78" s="11" t="s">
        <v>689</v>
      </c>
      <c r="B78" s="23" t="str">
        <f>CPYG!A107</f>
        <v>20. IMPUESTOS SOBRE BENEFICIOS.</v>
      </c>
      <c r="C78" s="23" t="e">
        <f>CPYG!#REF!</f>
        <v>#REF!</v>
      </c>
      <c r="D78" s="24">
        <f>CPYG!B107</f>
        <v>201780.58</v>
      </c>
    </row>
    <row r="79" spans="1:4" s="3" customFormat="1" ht="19.5" customHeight="1">
      <c r="A79" s="5" t="s">
        <v>406</v>
      </c>
      <c r="B79" s="23"/>
      <c r="C79" s="23"/>
      <c r="D79" s="24"/>
    </row>
    <row r="80" spans="1:4" s="3" customFormat="1" ht="19.5" customHeight="1">
      <c r="A80" s="5" t="s">
        <v>690</v>
      </c>
      <c r="B80" s="23" t="str">
        <f>CPYG!A109</f>
        <v>B) OPERACIONES INTERRUMPIDAS</v>
      </c>
      <c r="C80" s="23" t="e">
        <f>CPYG!#REF!</f>
        <v>#REF!</v>
      </c>
      <c r="D80" s="24">
        <f>CPYG!B109</f>
        <v>0</v>
      </c>
    </row>
    <row r="81" spans="1:4" s="3" customFormat="1" ht="39.75" customHeight="1" thickBot="1">
      <c r="A81" s="20" t="s">
        <v>691</v>
      </c>
      <c r="B81" s="31" t="str">
        <f>CPYG!A110</f>
        <v>21. RESULTADO DEL EJERCICIO PROCEDENTE DE OPERACIONES INTERRUMPIDAS NETO DE IMPUESTOS.</v>
      </c>
      <c r="C81" s="31" t="e">
        <f>CPYG!#REF!</f>
        <v>#REF!</v>
      </c>
      <c r="D81" s="32">
        <f>CPYG!B110</f>
        <v>0</v>
      </c>
    </row>
    <row r="82" spans="2:4" ht="19.5" customHeight="1">
      <c r="B82" s="33"/>
      <c r="C82" s="33"/>
      <c r="D82" s="33"/>
    </row>
    <row r="83" spans="2:4" ht="19.5" customHeight="1">
      <c r="B83" s="34"/>
      <c r="C83" s="34"/>
      <c r="D83" s="34"/>
    </row>
    <row r="84" spans="1:4" ht="19.5" customHeight="1">
      <c r="A84" s="36" t="s">
        <v>126</v>
      </c>
      <c r="B84" s="34"/>
      <c r="C84" s="34"/>
      <c r="D84" s="34"/>
    </row>
    <row r="85" spans="1:5" ht="19.5" customHeight="1">
      <c r="A85" s="7" t="s">
        <v>72</v>
      </c>
      <c r="B85" s="35"/>
      <c r="C85" s="35"/>
      <c r="D85" s="35"/>
      <c r="E85" s="6"/>
    </row>
    <row r="86" spans="1:4" ht="19.5" customHeight="1">
      <c r="A86" s="8"/>
      <c r="B86" s="33"/>
      <c r="C86" s="33"/>
      <c r="D86" s="33"/>
    </row>
    <row r="87" spans="2:4" ht="19.5" customHeight="1">
      <c r="B87" s="33"/>
      <c r="C87" s="33"/>
      <c r="D87" s="33"/>
    </row>
    <row r="88" spans="2:4" ht="19.5" customHeight="1">
      <c r="B88" s="33"/>
      <c r="C88" s="33"/>
      <c r="D88" s="33"/>
    </row>
    <row r="89" spans="2:4" ht="19.5" customHeight="1">
      <c r="B89" s="33"/>
      <c r="C89" s="33"/>
      <c r="D89" s="33"/>
    </row>
    <row r="90" spans="2:4" ht="19.5" customHeight="1">
      <c r="B90" s="33">
        <f>PASIVO!B25</f>
        <v>290385.2700000013</v>
      </c>
      <c r="C90" s="33">
        <f>PASIVO!C25</f>
        <v>1100392.579999998</v>
      </c>
      <c r="D90" s="33">
        <f>PASIVO!D25</f>
        <v>2317497.030000002</v>
      </c>
    </row>
    <row r="91" spans="2:4" ht="19.5" customHeight="1">
      <c r="B91" s="33" t="e">
        <f>B81-B90</f>
        <v>#VALUE!</v>
      </c>
      <c r="C91" s="33" t="e">
        <f>C81-C90</f>
        <v>#REF!</v>
      </c>
      <c r="D91" s="33">
        <f>D81-D90</f>
        <v>-2317497.030000002</v>
      </c>
    </row>
    <row r="92" spans="2:4" ht="19.5" customHeight="1">
      <c r="B92" s="33"/>
      <c r="C92" s="33"/>
      <c r="D92" s="33"/>
    </row>
    <row r="93" spans="2:4" ht="19.5" customHeight="1">
      <c r="B93" s="33"/>
      <c r="C93" s="33"/>
      <c r="D93" s="33"/>
    </row>
    <row r="94" spans="2:4" ht="19.5" customHeight="1">
      <c r="B94" s="33"/>
      <c r="C94" s="33"/>
      <c r="D94" s="33"/>
    </row>
    <row r="95" spans="2:4" ht="19.5" customHeight="1">
      <c r="B95" s="33"/>
      <c r="C95" s="33"/>
      <c r="D95" s="33"/>
    </row>
    <row r="96" spans="2:4" ht="19.5" customHeight="1">
      <c r="B96" s="33"/>
      <c r="C96" s="33"/>
      <c r="D96" s="33"/>
    </row>
    <row r="97" spans="2:4" ht="19.5" customHeight="1">
      <c r="B97" s="33"/>
      <c r="C97" s="33"/>
      <c r="D97" s="33"/>
    </row>
    <row r="98" spans="2:4" ht="19.5" customHeight="1">
      <c r="B98" s="33"/>
      <c r="C98" s="33"/>
      <c r="D98" s="33"/>
    </row>
    <row r="99" spans="2:4" ht="19.5" customHeight="1">
      <c r="B99" s="33"/>
      <c r="C99" s="33"/>
      <c r="D99" s="33"/>
    </row>
    <row r="100" spans="2:4" ht="19.5" customHeight="1">
      <c r="B100" s="33"/>
      <c r="C100" s="33"/>
      <c r="D100" s="33"/>
    </row>
    <row r="101" spans="2:4" ht="19.5" customHeight="1">
      <c r="B101" s="33"/>
      <c r="C101" s="33"/>
      <c r="D101" s="33"/>
    </row>
    <row r="102" spans="2:4" ht="19.5" customHeight="1">
      <c r="B102" s="33"/>
      <c r="C102" s="33"/>
      <c r="D102" s="33"/>
    </row>
    <row r="103" spans="2:4" ht="19.5" customHeight="1">
      <c r="B103" s="33"/>
      <c r="C103" s="33"/>
      <c r="D103" s="33"/>
    </row>
    <row r="104" spans="2:4" ht="19.5" customHeight="1">
      <c r="B104" s="33"/>
      <c r="C104" s="33"/>
      <c r="D104" s="33"/>
    </row>
    <row r="105" spans="2:4" ht="19.5" customHeight="1">
      <c r="B105" s="33"/>
      <c r="C105" s="33"/>
      <c r="D105" s="33"/>
    </row>
    <row r="106" spans="2:4" ht="19.5" customHeight="1">
      <c r="B106" s="33"/>
      <c r="C106" s="33"/>
      <c r="D106" s="33"/>
    </row>
    <row r="107" spans="2:4" ht="19.5" customHeight="1">
      <c r="B107" s="33"/>
      <c r="C107" s="33"/>
      <c r="D107" s="33"/>
    </row>
    <row r="108" spans="2:4" ht="19.5" customHeight="1">
      <c r="B108" s="33"/>
      <c r="C108" s="33"/>
      <c r="D108" s="33"/>
    </row>
    <row r="109" spans="2:4" ht="19.5" customHeight="1">
      <c r="B109" s="33"/>
      <c r="C109" s="33"/>
      <c r="D109" s="33"/>
    </row>
    <row r="110" spans="2:4" ht="19.5" customHeight="1">
      <c r="B110" s="33"/>
      <c r="C110" s="33"/>
      <c r="D110" s="33"/>
    </row>
    <row r="111" spans="2:4" ht="19.5" customHeight="1">
      <c r="B111" s="33"/>
      <c r="C111" s="33"/>
      <c r="D111" s="33"/>
    </row>
    <row r="112" spans="2:4" ht="19.5" customHeight="1">
      <c r="B112" s="33"/>
      <c r="C112" s="33"/>
      <c r="D112" s="33"/>
    </row>
    <row r="113" spans="2:4" ht="19.5" customHeight="1">
      <c r="B113" s="33"/>
      <c r="C113" s="33"/>
      <c r="D113" s="33"/>
    </row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</sheetData>
  <sheetProtection/>
  <mergeCells count="3">
    <mergeCell ref="A1:C1"/>
    <mergeCell ref="A2:C2"/>
    <mergeCell ref="A3:D3"/>
  </mergeCells>
  <printOptions horizontalCentered="1"/>
  <pageMargins left="0.4724409448818898" right="0.35433070866141736" top="0.46" bottom="0.47" header="0.5118110236220472" footer="0.5118110236220472"/>
  <pageSetup fitToHeight="1" fitToWidth="1" horizontalDpi="300" verticalDpi="300" orientation="portrait" paperSize="9" scale="47" r:id="rId1"/>
  <headerFooter alignWithMargins="0">
    <oddHeader>&amp;C&amp;"MS Sans Serif,Negrita"&amp;14
&amp;R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33"/>
  <sheetViews>
    <sheetView showGridLines="0" view="pageBreakPreview" zoomScaleSheetLayoutView="100" zoomScalePageLayoutView="0" workbookViewId="0" topLeftCell="A1">
      <selection activeCell="C4" sqref="C4"/>
    </sheetView>
  </sheetViews>
  <sheetFormatPr defaultColWidth="11.421875" defaultRowHeight="12.75"/>
  <cols>
    <col min="1" max="1" width="25.7109375" style="215" customWidth="1"/>
    <col min="2" max="2" width="32.140625" style="215" customWidth="1"/>
    <col min="3" max="3" width="16.421875" style="215" customWidth="1"/>
    <col min="4" max="4" width="15.8515625" style="215" customWidth="1"/>
    <col min="5" max="5" width="19.00390625" style="215" customWidth="1"/>
    <col min="6" max="6" width="11.421875" style="215" customWidth="1"/>
    <col min="7" max="8" width="5.00390625" style="215" hidden="1" customWidth="1"/>
    <col min="9" max="9" width="11.421875" style="215" hidden="1" customWidth="1"/>
    <col min="10" max="16384" width="11.421875" style="215" customWidth="1"/>
  </cols>
  <sheetData>
    <row r="1" ht="12.75">
      <c r="C1" s="653" t="s">
        <v>534</v>
      </c>
    </row>
    <row r="2" ht="12.75">
      <c r="C2" s="654" t="s">
        <v>535</v>
      </c>
    </row>
    <row r="4" spans="1:3" ht="12.75">
      <c r="A4" s="652" t="s">
        <v>296</v>
      </c>
      <c r="C4" s="655">
        <v>42339</v>
      </c>
    </row>
    <row r="5" spans="1:3" ht="12.75">
      <c r="A5" s="652" t="s">
        <v>533</v>
      </c>
      <c r="C5" s="656" t="s">
        <v>536</v>
      </c>
    </row>
    <row r="6" ht="25.5" customHeight="1" thickBot="1"/>
    <row r="7" spans="1:5" ht="44.25" customHeight="1">
      <c r="A7" s="1118" t="s">
        <v>379</v>
      </c>
      <c r="B7" s="1119"/>
      <c r="C7" s="1119"/>
      <c r="D7" s="1120"/>
      <c r="E7" s="222">
        <f>CPYG!D7</f>
        <v>2016</v>
      </c>
    </row>
    <row r="8" spans="1:5" ht="18.75" customHeight="1">
      <c r="A8" s="1126" t="str">
        <f>CPYG!A8</f>
        <v>EMPRESA PÚBLICA: INSTITUTO TECNOLOGICO DE ENERGIAS RENOVABLES SA</v>
      </c>
      <c r="B8" s="1127"/>
      <c r="C8" s="1127"/>
      <c r="D8" s="1128"/>
      <c r="E8" s="223" t="s">
        <v>148</v>
      </c>
    </row>
    <row r="9" spans="1:5" ht="23.25" customHeight="1" thickBot="1">
      <c r="A9" s="1121" t="s">
        <v>380</v>
      </c>
      <c r="B9" s="1122"/>
      <c r="C9" s="1122"/>
      <c r="D9" s="1122"/>
      <c r="E9" s="1123"/>
    </row>
    <row r="10" spans="1:5" ht="28.5" customHeight="1" thickBot="1">
      <c r="A10" s="1124" t="s">
        <v>816</v>
      </c>
      <c r="B10" s="1125"/>
      <c r="C10" s="224" t="s">
        <v>650</v>
      </c>
      <c r="D10" s="224" t="s">
        <v>658</v>
      </c>
      <c r="E10" s="225" t="s">
        <v>551</v>
      </c>
    </row>
    <row r="11" spans="1:5" ht="16.5" customHeight="1">
      <c r="A11" s="1131" t="str">
        <f>+CPYG!A21</f>
        <v>          b.1.1.) A la Entidad Local o a sus unidades dependientes.(1)</v>
      </c>
      <c r="B11" s="1114"/>
      <c r="C11" s="493">
        <f>+CPYG!C21+CPYG!C15</f>
        <v>2409247.3875</v>
      </c>
      <c r="D11" s="493">
        <f>+CPYG!D21+CPYG!D15</f>
        <v>2366016</v>
      </c>
      <c r="E11" s="494"/>
    </row>
    <row r="12" spans="1:5" ht="16.5" customHeight="1">
      <c r="A12" s="1129" t="str">
        <f>+CPYG!A22</f>
        <v>          b.1.2.) A otras Administraciones Públicas.(1)</v>
      </c>
      <c r="B12" s="1130"/>
      <c r="C12" s="495">
        <f>CPYG!C22+CPYG!C16</f>
        <v>21767.46421</v>
      </c>
      <c r="D12" s="495">
        <f>CPYG!D22+CPYG!D16</f>
        <v>18136.45</v>
      </c>
      <c r="E12" s="459"/>
    </row>
    <row r="13" spans="1:8" ht="16.5" customHeight="1">
      <c r="A13" s="1129" t="str">
        <f>+CPYG!A23</f>
        <v>          b.1.3.) A empresas y Entes Públicos.(1)</v>
      </c>
      <c r="B13" s="1130"/>
      <c r="C13" s="495">
        <f>CPYG!C23+CPYG!C17</f>
        <v>352330.27106523036</v>
      </c>
      <c r="D13" s="495">
        <f>CPYG!D23+CPYG!D17</f>
        <v>453410.32999999996</v>
      </c>
      <c r="E13" s="459"/>
      <c r="G13" s="217"/>
      <c r="H13" s="217"/>
    </row>
    <row r="14" spans="1:8" ht="16.5" customHeight="1">
      <c r="A14" s="1129" t="str">
        <f>+CPYG!A24</f>
        <v>          b.2.) Al sector privado</v>
      </c>
      <c r="B14" s="1130"/>
      <c r="C14" s="495">
        <f>+CPYG!C24+CPYG!C18</f>
        <v>5962336.007224769</v>
      </c>
      <c r="D14" s="495">
        <f>+CPYG!D24+CPYG!D18</f>
        <v>5500962.79</v>
      </c>
      <c r="E14" s="459"/>
      <c r="G14" s="217"/>
      <c r="H14" s="217"/>
    </row>
    <row r="15" spans="1:8" s="216" customFormat="1" ht="22.5" customHeight="1" thickBot="1">
      <c r="A15" s="1116" t="s">
        <v>590</v>
      </c>
      <c r="B15" s="1117"/>
      <c r="C15" s="227">
        <f>SUM(C11:C14)</f>
        <v>8745681.129999999</v>
      </c>
      <c r="D15" s="227">
        <f>SUM(D11:D14)</f>
        <v>8338525.57</v>
      </c>
      <c r="E15" s="228"/>
      <c r="G15" s="229">
        <f>+C15-CPYG!C12</f>
        <v>0</v>
      </c>
      <c r="H15" s="229">
        <f>+D15-CPYG!D12</f>
        <v>0</v>
      </c>
    </row>
    <row r="16" spans="1:4" ht="9" customHeight="1" thickBot="1">
      <c r="A16" s="1115"/>
      <c r="B16" s="1115"/>
      <c r="C16" s="1115"/>
      <c r="D16" s="1115"/>
    </row>
    <row r="17" spans="1:5" ht="33.75" customHeight="1" thickBot="1">
      <c r="A17" s="1124" t="s">
        <v>298</v>
      </c>
      <c r="B17" s="1125"/>
      <c r="C17" s="224" t="s">
        <v>650</v>
      </c>
      <c r="D17" s="224" t="s">
        <v>658</v>
      </c>
      <c r="E17" s="225" t="s">
        <v>551</v>
      </c>
    </row>
    <row r="18" spans="1:5" ht="12.75">
      <c r="A18" s="1113" t="s">
        <v>817</v>
      </c>
      <c r="B18" s="1114"/>
      <c r="C18" s="230">
        <f>SUM(C19:C22)</f>
        <v>0</v>
      </c>
      <c r="D18" s="230">
        <f>SUM(D19:D22)</f>
        <v>0</v>
      </c>
      <c r="E18" s="231"/>
    </row>
    <row r="19" spans="1:5" ht="16.5" customHeight="1">
      <c r="A19" s="1132"/>
      <c r="B19" s="1133"/>
      <c r="C19" s="496"/>
      <c r="D19" s="496"/>
      <c r="E19" s="497"/>
    </row>
    <row r="20" spans="1:5" ht="16.5" customHeight="1">
      <c r="A20" s="1111"/>
      <c r="B20" s="1112"/>
      <c r="C20" s="498"/>
      <c r="D20" s="498"/>
      <c r="E20" s="499"/>
    </row>
    <row r="21" spans="1:5" ht="16.5" customHeight="1">
      <c r="A21" s="1111"/>
      <c r="B21" s="1112"/>
      <c r="C21" s="498"/>
      <c r="D21" s="498"/>
      <c r="E21" s="499"/>
    </row>
    <row r="22" spans="1:5" ht="16.5" customHeight="1">
      <c r="A22" s="1111"/>
      <c r="B22" s="1112"/>
      <c r="C22" s="498"/>
      <c r="D22" s="498"/>
      <c r="E22" s="499"/>
    </row>
    <row r="23" spans="1:5" ht="12.75">
      <c r="A23" s="1134" t="s">
        <v>818</v>
      </c>
      <c r="B23" s="1135"/>
      <c r="C23" s="232">
        <f>SUM(C24:C27)</f>
        <v>18846.29</v>
      </c>
      <c r="D23" s="232">
        <f>SUM(D24:D27)</f>
        <v>0</v>
      </c>
      <c r="E23" s="233"/>
    </row>
    <row r="24" spans="1:5" ht="16.5" customHeight="1">
      <c r="A24" s="1132" t="s">
        <v>435</v>
      </c>
      <c r="B24" s="1133"/>
      <c r="C24" s="496">
        <v>110</v>
      </c>
      <c r="D24" s="496"/>
      <c r="E24" s="497"/>
    </row>
    <row r="25" spans="1:5" ht="16.5" customHeight="1">
      <c r="A25" s="1111" t="s">
        <v>438</v>
      </c>
      <c r="B25" s="1112"/>
      <c r="C25" s="498">
        <v>18525</v>
      </c>
      <c r="D25" s="498"/>
      <c r="E25" s="499"/>
    </row>
    <row r="26" spans="1:5" ht="16.5" customHeight="1">
      <c r="A26" s="1111" t="s">
        <v>437</v>
      </c>
      <c r="B26" s="1112"/>
      <c r="C26" s="498">
        <v>210</v>
      </c>
      <c r="D26" s="498"/>
      <c r="E26" s="499"/>
    </row>
    <row r="27" spans="1:5" ht="16.5" customHeight="1">
      <c r="A27" s="1113" t="s">
        <v>436</v>
      </c>
      <c r="B27" s="1114"/>
      <c r="C27" s="493">
        <v>1.29</v>
      </c>
      <c r="D27" s="493"/>
      <c r="E27" s="494"/>
    </row>
    <row r="28" spans="1:5" s="216" customFormat="1" ht="22.5" customHeight="1" thickBot="1">
      <c r="A28" s="1116" t="s">
        <v>590</v>
      </c>
      <c r="B28" s="1117"/>
      <c r="C28" s="227">
        <f>C18+C23</f>
        <v>18846.29</v>
      </c>
      <c r="D28" s="227">
        <f>D18+D23</f>
        <v>0</v>
      </c>
      <c r="E28" s="228"/>
    </row>
    <row r="29" spans="1:4" ht="21" customHeight="1">
      <c r="A29" s="1115"/>
      <c r="B29" s="1115"/>
      <c r="C29" s="1115"/>
      <c r="D29" s="1115"/>
    </row>
    <row r="30" spans="1:5" s="216" customFormat="1" ht="22.5" customHeight="1">
      <c r="A30" s="226"/>
      <c r="B30" s="226"/>
      <c r="C30" s="234"/>
      <c r="D30" s="234"/>
      <c r="E30" s="235"/>
    </row>
    <row r="31" s="938" customFormat="1" ht="12.75" hidden="1">
      <c r="A31" s="947" t="s">
        <v>417</v>
      </c>
    </row>
    <row r="32" spans="1:5" s="938" customFormat="1" ht="42" customHeight="1" hidden="1">
      <c r="A32" s="1110" t="s">
        <v>375</v>
      </c>
      <c r="B32" s="1110"/>
      <c r="C32" s="1110"/>
      <c r="D32" s="1110"/>
      <c r="E32" s="1110"/>
    </row>
    <row r="33" spans="1:5" s="938" customFormat="1" ht="27" customHeight="1" hidden="1">
      <c r="A33" s="1110" t="s">
        <v>378</v>
      </c>
      <c r="B33" s="1110"/>
      <c r="C33" s="1110"/>
      <c r="D33" s="1110"/>
      <c r="E33" s="1110"/>
    </row>
    <row r="34" s="938" customFormat="1" ht="12.75" hidden="1"/>
  </sheetData>
  <sheetProtection/>
  <mergeCells count="25">
    <mergeCell ref="A19:B19"/>
    <mergeCell ref="A24:B24"/>
    <mergeCell ref="A23:B23"/>
    <mergeCell ref="A21:B21"/>
    <mergeCell ref="A20:B20"/>
    <mergeCell ref="A22:B22"/>
    <mergeCell ref="A18:B18"/>
    <mergeCell ref="A16:D16"/>
    <mergeCell ref="A13:B13"/>
    <mergeCell ref="A14:B14"/>
    <mergeCell ref="A12:B12"/>
    <mergeCell ref="A11:B11"/>
    <mergeCell ref="A15:B15"/>
    <mergeCell ref="A17:B17"/>
    <mergeCell ref="A7:D7"/>
    <mergeCell ref="A9:E9"/>
    <mergeCell ref="A10:B10"/>
    <mergeCell ref="A8:D8"/>
    <mergeCell ref="A33:E33"/>
    <mergeCell ref="A25:B25"/>
    <mergeCell ref="A27:B27"/>
    <mergeCell ref="A29:D29"/>
    <mergeCell ref="A32:E32"/>
    <mergeCell ref="A26:B26"/>
    <mergeCell ref="A28:B28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80" r:id="rId2"/>
  <headerFooter alignWithMargins="0">
    <oddFooter>&amp;L&amp;7Plaza de España, 1
38003 Santa Cruz de Tenerife
Teléfono: 901 501 901
www.tenerife.es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05"/>
  <sheetViews>
    <sheetView showGridLines="0" view="pageBreakPreview" zoomScale="40" zoomScaleNormal="70" zoomScaleSheetLayoutView="40" zoomScalePageLayoutView="0" workbookViewId="0" topLeftCell="A1">
      <selection activeCell="C4" sqref="C4"/>
    </sheetView>
  </sheetViews>
  <sheetFormatPr defaultColWidth="11.57421875" defaultRowHeight="12.75"/>
  <cols>
    <col min="1" max="1" width="81.7109375" style="236" customWidth="1"/>
    <col min="2" max="2" width="0.2890625" style="236" hidden="1" customWidth="1"/>
    <col min="3" max="3" width="24.7109375" style="236" customWidth="1"/>
    <col min="4" max="4" width="19.7109375" style="236" customWidth="1"/>
    <col min="5" max="5" width="19.421875" style="236" customWidth="1"/>
    <col min="6" max="6" width="7.421875" style="236" bestFit="1" customWidth="1"/>
    <col min="7" max="7" width="7.7109375" style="236" bestFit="1" customWidth="1"/>
    <col min="8" max="8" width="7.57421875" style="236" bestFit="1" customWidth="1"/>
    <col min="9" max="9" width="2.8515625" style="236" customWidth="1"/>
    <col min="10" max="10" width="4.57421875" style="948" hidden="1" customWidth="1"/>
    <col min="11" max="11" width="6.00390625" style="948" hidden="1" customWidth="1"/>
    <col min="12" max="12" width="5.421875" style="948" hidden="1" customWidth="1"/>
    <col min="13" max="13" width="7.8515625" style="949" hidden="1" customWidth="1"/>
    <col min="14" max="14" width="11.57421875" style="949" hidden="1" customWidth="1"/>
    <col min="15" max="18" width="0" style="950" hidden="1" customWidth="1"/>
    <col min="19" max="16384" width="11.57421875" style="236" customWidth="1"/>
  </cols>
  <sheetData>
    <row r="1" spans="1:3" ht="12.75">
      <c r="A1" s="215"/>
      <c r="B1" s="215"/>
      <c r="C1" s="653" t="s">
        <v>534</v>
      </c>
    </row>
    <row r="2" spans="1:3" ht="12.75">
      <c r="A2" s="215"/>
      <c r="B2" s="215"/>
      <c r="C2" s="654" t="s">
        <v>535</v>
      </c>
    </row>
    <row r="3" spans="1:3" ht="12.75">
      <c r="A3" s="215"/>
      <c r="B3" s="215"/>
      <c r="C3" s="215"/>
    </row>
    <row r="4" spans="1:3" ht="12.75">
      <c r="A4" s="652" t="s">
        <v>296</v>
      </c>
      <c r="B4" s="215"/>
      <c r="C4" s="655">
        <v>42339</v>
      </c>
    </row>
    <row r="5" spans="1:3" ht="12.75">
      <c r="A5" s="652" t="s">
        <v>533</v>
      </c>
      <c r="B5" s="215"/>
      <c r="C5" s="656" t="s">
        <v>536</v>
      </c>
    </row>
    <row r="6" spans="1:8" ht="13.5" thickBot="1">
      <c r="A6" s="547"/>
      <c r="H6" s="548"/>
    </row>
    <row r="7" spans="1:8" ht="46.5" customHeight="1">
      <c r="A7" s="1148" t="s">
        <v>160</v>
      </c>
      <c r="B7" s="1149"/>
      <c r="C7" s="1149"/>
      <c r="D7" s="1149"/>
      <c r="E7" s="1149"/>
      <c r="F7" s="1141">
        <f>CPYG!D7</f>
        <v>2016</v>
      </c>
      <c r="G7" s="1141"/>
      <c r="H7" s="1142"/>
    </row>
    <row r="8" spans="1:8" ht="30" customHeight="1" thickBot="1">
      <c r="A8" s="1146" t="str">
        <f>CPYG!A8</f>
        <v>EMPRESA PÚBLICA: INSTITUTO TECNOLOGICO DE ENERGIAS RENOVABLES SA</v>
      </c>
      <c r="B8" s="1147"/>
      <c r="C8" s="1147"/>
      <c r="D8" s="1147"/>
      <c r="E8" s="1147"/>
      <c r="F8" s="1143" t="s">
        <v>142</v>
      </c>
      <c r="G8" s="1144"/>
      <c r="H8" s="1145"/>
    </row>
    <row r="9" spans="1:8" ht="24.75" customHeight="1" thickBot="1">
      <c r="A9" s="1137" t="s">
        <v>558</v>
      </c>
      <c r="B9" s="1138"/>
      <c r="C9" s="1138"/>
      <c r="D9" s="1138"/>
      <c r="E9" s="1138"/>
      <c r="F9" s="1138"/>
      <c r="G9" s="1138"/>
      <c r="H9" s="1139"/>
    </row>
    <row r="10" spans="1:15" ht="19.5" customHeight="1" thickBot="1">
      <c r="A10" s="500" t="s">
        <v>557</v>
      </c>
      <c r="B10" s="501"/>
      <c r="C10" s="502" t="s">
        <v>552</v>
      </c>
      <c r="D10" s="502">
        <v>2015</v>
      </c>
      <c r="E10" s="502">
        <v>2016</v>
      </c>
      <c r="F10" s="502" t="s">
        <v>92</v>
      </c>
      <c r="G10" s="502" t="s">
        <v>589</v>
      </c>
      <c r="H10" s="503" t="s">
        <v>588</v>
      </c>
      <c r="O10" s="949"/>
    </row>
    <row r="11" spans="1:15" ht="19.5" customHeight="1" thickBot="1">
      <c r="A11" s="504" t="s">
        <v>553</v>
      </c>
      <c r="B11" s="505"/>
      <c r="C11" s="506"/>
      <c r="D11" s="507">
        <f>PASIVO!B32</f>
        <v>2546279.7</v>
      </c>
      <c r="E11" s="508">
        <f>+D24</f>
        <v>2247730.59</v>
      </c>
      <c r="F11" s="509"/>
      <c r="G11" s="510"/>
      <c r="H11" s="511"/>
      <c r="O11" s="949"/>
    </row>
    <row r="12" spans="1:15" ht="19.5" customHeight="1">
      <c r="A12" s="529" t="s">
        <v>447</v>
      </c>
      <c r="B12" s="530"/>
      <c r="C12" s="238" t="s">
        <v>568</v>
      </c>
      <c r="D12" s="239"/>
      <c r="E12" s="239">
        <f>9923942</f>
        <v>9923942</v>
      </c>
      <c r="F12" s="240"/>
      <c r="G12" s="240"/>
      <c r="H12" s="241"/>
      <c r="O12" s="949"/>
    </row>
    <row r="13" spans="1:15" ht="19.5" customHeight="1">
      <c r="A13" s="531" t="s">
        <v>448</v>
      </c>
      <c r="B13" s="530"/>
      <c r="C13" s="238" t="s">
        <v>569</v>
      </c>
      <c r="D13" s="242"/>
      <c r="E13" s="242">
        <v>25000</v>
      </c>
      <c r="F13" s="243"/>
      <c r="G13" s="243"/>
      <c r="H13" s="244"/>
      <c r="O13" s="949"/>
    </row>
    <row r="14" spans="1:15" ht="19.5" customHeight="1">
      <c r="A14" s="531" t="s">
        <v>523</v>
      </c>
      <c r="B14" s="530"/>
      <c r="C14" s="238"/>
      <c r="D14" s="242"/>
      <c r="E14" s="242">
        <v>183443</v>
      </c>
      <c r="F14" s="243" t="s">
        <v>737</v>
      </c>
      <c r="G14" s="243" t="s">
        <v>738</v>
      </c>
      <c r="H14" s="244" t="s">
        <v>746</v>
      </c>
      <c r="O14" s="949"/>
    </row>
    <row r="15" spans="1:15" ht="19.5" customHeight="1">
      <c r="A15" s="572" t="s">
        <v>524</v>
      </c>
      <c r="B15" s="573"/>
      <c r="C15" s="574"/>
      <c r="D15" s="575">
        <v>-13423.7</v>
      </c>
      <c r="E15" s="575"/>
      <c r="F15" s="579"/>
      <c r="G15" s="579"/>
      <c r="H15" s="580"/>
      <c r="O15" s="949"/>
    </row>
    <row r="16" spans="1:15" ht="19.5" customHeight="1">
      <c r="A16" s="531"/>
      <c r="B16" s="530"/>
      <c r="C16" s="238"/>
      <c r="D16" s="242"/>
      <c r="E16" s="242"/>
      <c r="F16" s="245"/>
      <c r="G16" s="245"/>
      <c r="H16" s="246"/>
      <c r="O16" s="949"/>
    </row>
    <row r="17" spans="1:15" ht="19.5" customHeight="1">
      <c r="A17" s="531"/>
      <c r="B17" s="530"/>
      <c r="C17" s="238"/>
      <c r="D17" s="242"/>
      <c r="E17" s="242"/>
      <c r="F17" s="245"/>
      <c r="G17" s="245"/>
      <c r="H17" s="246"/>
      <c r="O17" s="949"/>
    </row>
    <row r="18" spans="1:15" ht="19.5" customHeight="1">
      <c r="A18" s="531"/>
      <c r="B18" s="530"/>
      <c r="C18" s="238"/>
      <c r="D18" s="242"/>
      <c r="E18" s="242"/>
      <c r="F18" s="245"/>
      <c r="G18" s="245"/>
      <c r="H18" s="246"/>
      <c r="O18" s="949"/>
    </row>
    <row r="19" spans="1:15" ht="19.5" customHeight="1" thickBot="1">
      <c r="A19" s="532"/>
      <c r="B19" s="533"/>
      <c r="C19" s="298"/>
      <c r="D19" s="299"/>
      <c r="E19" s="299"/>
      <c r="F19" s="249"/>
      <c r="G19" s="249"/>
      <c r="H19" s="250"/>
      <c r="O19" s="949"/>
    </row>
    <row r="20" spans="1:15" ht="19.5" customHeight="1" thickBot="1">
      <c r="A20" s="514" t="s">
        <v>560</v>
      </c>
      <c r="B20" s="515"/>
      <c r="C20" s="516"/>
      <c r="D20" s="581">
        <f>SUM(D12:D19)</f>
        <v>-13423.7</v>
      </c>
      <c r="E20" s="582">
        <f>SUM(E12:E19)</f>
        <v>10132385</v>
      </c>
      <c r="F20" s="549"/>
      <c r="G20" s="549"/>
      <c r="H20" s="549"/>
      <c r="O20" s="949"/>
    </row>
    <row r="21" spans="1:15" ht="19.5" customHeight="1">
      <c r="A21" s="517" t="s">
        <v>554</v>
      </c>
      <c r="B21" s="512"/>
      <c r="C21" s="492"/>
      <c r="D21" s="550">
        <v>4027.11</v>
      </c>
      <c r="E21" s="300">
        <f>-2837067.8</f>
        <v>-2837067.8</v>
      </c>
      <c r="F21" s="549"/>
      <c r="G21" s="549"/>
      <c r="H21" s="549"/>
      <c r="O21" s="949"/>
    </row>
    <row r="22" spans="1:15" ht="19.5" customHeight="1">
      <c r="A22" s="513" t="s">
        <v>555</v>
      </c>
      <c r="B22" s="512"/>
      <c r="C22" s="251"/>
      <c r="D22" s="252">
        <f>-CPYG!C63</f>
        <v>-413686.05</v>
      </c>
      <c r="E22" s="301">
        <f>-CPYG!D63</f>
        <v>-404670.89</v>
      </c>
      <c r="F22" s="549"/>
      <c r="G22" s="549"/>
      <c r="H22" s="549"/>
      <c r="I22" s="237"/>
      <c r="O22" s="949"/>
    </row>
    <row r="23" spans="1:15" ht="19.5" customHeight="1" thickBot="1">
      <c r="A23" s="513" t="s">
        <v>299</v>
      </c>
      <c r="B23" s="518"/>
      <c r="C23" s="253"/>
      <c r="D23" s="254">
        <v>124533.53</v>
      </c>
      <c r="E23" s="302">
        <v>121828.98</v>
      </c>
      <c r="F23" s="549"/>
      <c r="G23" s="549"/>
      <c r="H23" s="549"/>
      <c r="J23" s="948">
        <f>E20-E24</f>
        <v>872179.120000001</v>
      </c>
      <c r="O23" s="949"/>
    </row>
    <row r="24" spans="1:15" ht="19.5" customHeight="1" thickBot="1" thickTop="1">
      <c r="A24" s="519" t="s">
        <v>556</v>
      </c>
      <c r="B24" s="520"/>
      <c r="C24" s="521"/>
      <c r="D24" s="583">
        <f>D11+D20+D21+D22+D23</f>
        <v>2247730.59</v>
      </c>
      <c r="E24" s="583">
        <f>E11+E20+E21+E22+E23</f>
        <v>9260205.879999999</v>
      </c>
      <c r="F24" s="549"/>
      <c r="G24" s="549"/>
      <c r="H24" s="549"/>
      <c r="I24" s="576"/>
      <c r="O24" s="949"/>
    </row>
    <row r="25" spans="1:18" s="133" customFormat="1" ht="19.5" customHeight="1">
      <c r="A25" s="549"/>
      <c r="B25" s="549"/>
      <c r="C25" s="549"/>
      <c r="D25" s="549"/>
      <c r="E25" s="549"/>
      <c r="F25" s="549"/>
      <c r="G25" s="549"/>
      <c r="H25" s="549"/>
      <c r="J25" s="940"/>
      <c r="K25" s="940"/>
      <c r="L25" s="940"/>
      <c r="M25" s="940"/>
      <c r="N25" s="940"/>
      <c r="O25" s="940"/>
      <c r="P25" s="940"/>
      <c r="Q25" s="940"/>
      <c r="R25" s="940"/>
    </row>
    <row r="26" spans="1:18" s="133" customFormat="1" ht="19.5" customHeight="1" thickBot="1">
      <c r="A26" s="549"/>
      <c r="B26" s="549"/>
      <c r="C26" s="549"/>
      <c r="D26" s="549"/>
      <c r="E26" s="549"/>
      <c r="F26" s="549"/>
      <c r="G26" s="549"/>
      <c r="H26" s="549"/>
      <c r="J26" s="940"/>
      <c r="K26" s="940"/>
      <c r="L26" s="940"/>
      <c r="M26" s="940"/>
      <c r="N26" s="940"/>
      <c r="O26" s="940"/>
      <c r="P26" s="940"/>
      <c r="Q26" s="940"/>
      <c r="R26" s="940"/>
    </row>
    <row r="27" spans="1:18" s="133" customFormat="1" ht="19.5" customHeight="1" thickBot="1">
      <c r="A27" s="500" t="s">
        <v>86</v>
      </c>
      <c r="B27" s="501"/>
      <c r="C27" s="502" t="s">
        <v>552</v>
      </c>
      <c r="D27" s="502">
        <v>2015</v>
      </c>
      <c r="E27" s="502">
        <v>2016</v>
      </c>
      <c r="F27" s="502" t="s">
        <v>92</v>
      </c>
      <c r="G27" s="502" t="s">
        <v>589</v>
      </c>
      <c r="H27" s="503" t="s">
        <v>588</v>
      </c>
      <c r="J27" s="940"/>
      <c r="K27" s="940"/>
      <c r="L27" s="940"/>
      <c r="M27" s="940"/>
      <c r="N27" s="940"/>
      <c r="O27" s="940"/>
      <c r="P27" s="940"/>
      <c r="Q27" s="940"/>
      <c r="R27" s="940"/>
    </row>
    <row r="28" spans="1:18" s="133" customFormat="1" ht="19.5" customHeight="1" thickBot="1">
      <c r="A28" s="500" t="s">
        <v>301</v>
      </c>
      <c r="B28" s="501"/>
      <c r="C28" s="522"/>
      <c r="D28" s="523"/>
      <c r="E28" s="523"/>
      <c r="F28" s="522"/>
      <c r="G28" s="522"/>
      <c r="H28" s="524"/>
      <c r="J28" s="940"/>
      <c r="K28" s="940"/>
      <c r="L28" s="940"/>
      <c r="M28" s="940"/>
      <c r="N28" s="940"/>
      <c r="O28" s="940"/>
      <c r="P28" s="940"/>
      <c r="Q28" s="940"/>
      <c r="R28" s="940"/>
    </row>
    <row r="29" spans="1:18" s="133" customFormat="1" ht="19.5" customHeight="1">
      <c r="A29" s="529" t="s">
        <v>449</v>
      </c>
      <c r="B29" s="530"/>
      <c r="C29" s="238" t="s">
        <v>571</v>
      </c>
      <c r="D29" s="239">
        <v>-15684.46</v>
      </c>
      <c r="E29" s="239"/>
      <c r="F29" s="597"/>
      <c r="G29" s="597"/>
      <c r="H29" s="598"/>
      <c r="J29" s="940"/>
      <c r="K29" s="940"/>
      <c r="L29" s="940"/>
      <c r="M29" s="940"/>
      <c r="N29" s="940"/>
      <c r="O29" s="940"/>
      <c r="P29" s="940"/>
      <c r="Q29" s="940"/>
      <c r="R29" s="940"/>
    </row>
    <row r="30" spans="1:18" s="133" customFormat="1" ht="19.5" customHeight="1">
      <c r="A30" s="531" t="s">
        <v>450</v>
      </c>
      <c r="B30" s="530"/>
      <c r="C30" s="552" t="s">
        <v>571</v>
      </c>
      <c r="D30" s="242">
        <v>12667.96</v>
      </c>
      <c r="E30" s="242"/>
      <c r="F30" s="542"/>
      <c r="G30" s="542"/>
      <c r="H30" s="545"/>
      <c r="J30" s="940"/>
      <c r="K30" s="940"/>
      <c r="L30" s="940"/>
      <c r="M30" s="940"/>
      <c r="N30" s="940"/>
      <c r="O30" s="940"/>
      <c r="P30" s="940"/>
      <c r="Q30" s="940"/>
      <c r="R30" s="940"/>
    </row>
    <row r="31" spans="1:18" s="133" customFormat="1" ht="19.5" customHeight="1">
      <c r="A31" s="531" t="s">
        <v>451</v>
      </c>
      <c r="B31" s="530"/>
      <c r="C31" s="552" t="s">
        <v>571</v>
      </c>
      <c r="D31" s="242">
        <v>51000</v>
      </c>
      <c r="E31" s="242"/>
      <c r="F31" s="542"/>
      <c r="G31" s="542"/>
      <c r="H31" s="545"/>
      <c r="J31" s="940"/>
      <c r="K31" s="940"/>
      <c r="L31" s="940"/>
      <c r="M31" s="940"/>
      <c r="N31" s="940"/>
      <c r="O31" s="940"/>
      <c r="P31" s="940"/>
      <c r="Q31" s="940"/>
      <c r="R31" s="940"/>
    </row>
    <row r="32" spans="1:18" s="133" customFormat="1" ht="19.5" customHeight="1">
      <c r="A32" s="531" t="s">
        <v>452</v>
      </c>
      <c r="B32" s="530"/>
      <c r="C32" s="552" t="s">
        <v>571</v>
      </c>
      <c r="D32" s="242">
        <v>87018.75</v>
      </c>
      <c r="E32" s="242"/>
      <c r="F32" s="542"/>
      <c r="G32" s="542"/>
      <c r="H32" s="545"/>
      <c r="J32" s="940"/>
      <c r="K32" s="940"/>
      <c r="L32" s="940"/>
      <c r="M32" s="940"/>
      <c r="N32" s="940"/>
      <c r="O32" s="940"/>
      <c r="P32" s="940"/>
      <c r="Q32" s="940"/>
      <c r="R32" s="940"/>
    </row>
    <row r="33" spans="1:18" s="133" customFormat="1" ht="19.5" customHeight="1">
      <c r="A33" s="531" t="s">
        <v>453</v>
      </c>
      <c r="B33" s="530"/>
      <c r="C33" s="552" t="s">
        <v>569</v>
      </c>
      <c r="D33" s="242">
        <v>8060.4</v>
      </c>
      <c r="E33" s="242">
        <v>57618.8</v>
      </c>
      <c r="F33" s="542"/>
      <c r="G33" s="542"/>
      <c r="H33" s="545"/>
      <c r="J33" s="940"/>
      <c r="K33" s="940"/>
      <c r="L33" s="940"/>
      <c r="M33" s="940"/>
      <c r="N33" s="940"/>
      <c r="O33" s="940"/>
      <c r="P33" s="940"/>
      <c r="Q33" s="940"/>
      <c r="R33" s="940"/>
    </row>
    <row r="34" spans="1:18" s="133" customFormat="1" ht="19.5" customHeight="1">
      <c r="A34" s="531" t="s">
        <v>454</v>
      </c>
      <c r="B34" s="530"/>
      <c r="C34" s="552" t="s">
        <v>569</v>
      </c>
      <c r="D34" s="242">
        <v>218.18</v>
      </c>
      <c r="E34" s="242"/>
      <c r="F34" s="542"/>
      <c r="G34" s="542"/>
      <c r="H34" s="545"/>
      <c r="J34" s="940"/>
      <c r="K34" s="940"/>
      <c r="L34" s="940"/>
      <c r="M34" s="940"/>
      <c r="N34" s="940"/>
      <c r="O34" s="940"/>
      <c r="P34" s="940"/>
      <c r="Q34" s="940"/>
      <c r="R34" s="940"/>
    </row>
    <row r="35" spans="1:18" s="133" customFormat="1" ht="19.5" customHeight="1">
      <c r="A35" s="531" t="s">
        <v>455</v>
      </c>
      <c r="B35" s="530"/>
      <c r="C35" s="552" t="s">
        <v>569</v>
      </c>
      <c r="D35" s="242">
        <v>-394.17</v>
      </c>
      <c r="E35" s="242">
        <v>21180.6</v>
      </c>
      <c r="F35" s="542"/>
      <c r="G35" s="542"/>
      <c r="H35" s="545"/>
      <c r="J35" s="951" t="s">
        <v>921</v>
      </c>
      <c r="K35" s="951" t="s">
        <v>742</v>
      </c>
      <c r="L35" s="951" t="s">
        <v>743</v>
      </c>
      <c r="M35" s="951" t="s">
        <v>739</v>
      </c>
      <c r="N35" s="952" t="s">
        <v>0</v>
      </c>
      <c r="O35" s="953">
        <f>40833.36+17486.3</f>
        <v>58319.66</v>
      </c>
      <c r="P35" s="940"/>
      <c r="Q35" s="940"/>
      <c r="R35" s="940"/>
    </row>
    <row r="36" spans="1:18" s="133" customFormat="1" ht="19.5" customHeight="1">
      <c r="A36" s="531" t="s">
        <v>456</v>
      </c>
      <c r="B36" s="530"/>
      <c r="C36" s="552" t="s">
        <v>569</v>
      </c>
      <c r="D36" s="242">
        <v>2000</v>
      </c>
      <c r="E36" s="242">
        <v>12000</v>
      </c>
      <c r="F36" s="542"/>
      <c r="G36" s="542"/>
      <c r="H36" s="545"/>
      <c r="J36" s="951" t="s">
        <v>921</v>
      </c>
      <c r="K36" s="951" t="s">
        <v>742</v>
      </c>
      <c r="L36" s="951" t="s">
        <v>743</v>
      </c>
      <c r="M36" s="951" t="s">
        <v>739</v>
      </c>
      <c r="N36" s="952" t="s">
        <v>1</v>
      </c>
      <c r="O36" s="953">
        <f>41666.67+7561.64</f>
        <v>49228.31</v>
      </c>
      <c r="P36" s="940"/>
      <c r="Q36" s="940"/>
      <c r="R36" s="940"/>
    </row>
    <row r="37" spans="1:18" s="133" customFormat="1" ht="19.5" customHeight="1">
      <c r="A37" s="531" t="s">
        <v>740</v>
      </c>
      <c r="B37" s="530"/>
      <c r="C37" s="552" t="s">
        <v>568</v>
      </c>
      <c r="D37" s="242">
        <v>350000</v>
      </c>
      <c r="E37" s="242">
        <v>350000</v>
      </c>
      <c r="F37" s="1150">
        <v>2015</v>
      </c>
      <c r="G37" s="1151"/>
      <c r="H37" s="1152"/>
      <c r="J37" s="954" t="s">
        <v>921</v>
      </c>
      <c r="K37" s="954" t="s">
        <v>737</v>
      </c>
      <c r="L37" s="954" t="s">
        <v>738</v>
      </c>
      <c r="M37" s="954" t="s">
        <v>739</v>
      </c>
      <c r="N37" s="955" t="s">
        <v>2</v>
      </c>
      <c r="O37" s="956">
        <f>366557+500000</f>
        <v>866557</v>
      </c>
      <c r="P37" s="940"/>
      <c r="Q37" s="940"/>
      <c r="R37" s="940"/>
    </row>
    <row r="38" spans="1:18" s="133" customFormat="1" ht="19.5" customHeight="1">
      <c r="A38" s="531" t="s">
        <v>741</v>
      </c>
      <c r="B38" s="530"/>
      <c r="C38" s="552" t="s">
        <v>568</v>
      </c>
      <c r="D38" s="242"/>
      <c r="E38" s="575">
        <f>550000-183443+500000</f>
        <v>866557</v>
      </c>
      <c r="F38" s="917" t="s">
        <v>737</v>
      </c>
      <c r="G38" s="917" t="s">
        <v>738</v>
      </c>
      <c r="H38" s="918" t="s">
        <v>739</v>
      </c>
      <c r="J38" s="951" t="s">
        <v>921</v>
      </c>
      <c r="K38" s="951" t="s">
        <v>737</v>
      </c>
      <c r="L38" s="951" t="s">
        <v>738</v>
      </c>
      <c r="M38" s="951" t="s">
        <v>739</v>
      </c>
      <c r="N38" s="952" t="s">
        <v>3</v>
      </c>
      <c r="O38" s="953">
        <v>44490</v>
      </c>
      <c r="P38" s="940"/>
      <c r="Q38" s="940"/>
      <c r="R38" s="940"/>
    </row>
    <row r="39" spans="1:18" s="133" customFormat="1" ht="19.5" customHeight="1">
      <c r="A39" s="531" t="s">
        <v>457</v>
      </c>
      <c r="B39" s="530"/>
      <c r="C39" s="552" t="s">
        <v>568</v>
      </c>
      <c r="D39" s="242">
        <v>104166.67</v>
      </c>
      <c r="E39" s="575">
        <f>40833.33+17486.33</f>
        <v>58319.66</v>
      </c>
      <c r="F39" s="917" t="s">
        <v>742</v>
      </c>
      <c r="G39" s="917" t="s">
        <v>743</v>
      </c>
      <c r="H39" s="918" t="s">
        <v>739</v>
      </c>
      <c r="J39" s="951" t="s">
        <v>921</v>
      </c>
      <c r="K39" s="951" t="s">
        <v>737</v>
      </c>
      <c r="L39" s="951" t="s">
        <v>738</v>
      </c>
      <c r="M39" s="951" t="s">
        <v>746</v>
      </c>
      <c r="N39" s="952" t="s">
        <v>4</v>
      </c>
      <c r="O39" s="953">
        <v>183443</v>
      </c>
      <c r="P39" s="940"/>
      <c r="Q39" s="940"/>
      <c r="R39" s="940"/>
    </row>
    <row r="40" spans="1:18" s="133" customFormat="1" ht="19.5" customHeight="1">
      <c r="A40" s="531" t="s">
        <v>458</v>
      </c>
      <c r="B40" s="530"/>
      <c r="C40" s="552" t="s">
        <v>568</v>
      </c>
      <c r="D40" s="242">
        <v>48333.33</v>
      </c>
      <c r="E40" s="575">
        <f>41666.67+7561.64</f>
        <v>49228.31</v>
      </c>
      <c r="F40" s="917" t="s">
        <v>742</v>
      </c>
      <c r="G40" s="917" t="s">
        <v>743</v>
      </c>
      <c r="H40" s="918" t="s">
        <v>739</v>
      </c>
      <c r="I40" s="134"/>
      <c r="J40" s="941"/>
      <c r="K40" s="957"/>
      <c r="L40" s="941"/>
      <c r="M40" s="941"/>
      <c r="N40" s="941"/>
      <c r="O40" s="941"/>
      <c r="P40" s="940"/>
      <c r="Q40" s="940"/>
      <c r="R40" s="940"/>
    </row>
    <row r="41" spans="1:18" s="133" customFormat="1" ht="19.5" customHeight="1">
      <c r="A41" s="531" t="s">
        <v>459</v>
      </c>
      <c r="B41" s="530"/>
      <c r="C41" s="552" t="s">
        <v>568</v>
      </c>
      <c r="D41" s="242">
        <v>7000</v>
      </c>
      <c r="E41" s="924"/>
      <c r="F41" s="597"/>
      <c r="G41" s="597"/>
      <c r="H41" s="598"/>
      <c r="I41" s="801"/>
      <c r="J41" s="940"/>
      <c r="K41" s="940"/>
      <c r="L41" s="940"/>
      <c r="M41" s="940"/>
      <c r="N41" s="940"/>
      <c r="O41" s="940"/>
      <c r="P41" s="940"/>
      <c r="Q41" s="940"/>
      <c r="R41" s="940"/>
    </row>
    <row r="42" spans="1:18" s="133" customFormat="1" ht="19.5" customHeight="1">
      <c r="A42" s="531" t="s">
        <v>460</v>
      </c>
      <c r="B42" s="530"/>
      <c r="C42" s="238" t="s">
        <v>568</v>
      </c>
      <c r="D42" s="242">
        <v>44940</v>
      </c>
      <c r="E42" s="575">
        <v>44490</v>
      </c>
      <c r="F42" s="917" t="s">
        <v>737</v>
      </c>
      <c r="G42" s="917" t="s">
        <v>738</v>
      </c>
      <c r="H42" s="918" t="s">
        <v>739</v>
      </c>
      <c r="I42" s="801"/>
      <c r="J42" s="940"/>
      <c r="K42" s="940"/>
      <c r="L42" s="940"/>
      <c r="M42" s="940"/>
      <c r="N42" s="940"/>
      <c r="O42" s="940"/>
      <c r="P42" s="940"/>
      <c r="Q42" s="940"/>
      <c r="R42" s="940"/>
    </row>
    <row r="43" spans="1:18" s="133" customFormat="1" ht="19.5" customHeight="1">
      <c r="A43" s="531" t="s">
        <v>461</v>
      </c>
      <c r="B43" s="530"/>
      <c r="C43" s="238" t="s">
        <v>571</v>
      </c>
      <c r="D43" s="242"/>
      <c r="E43" s="242">
        <v>95365.45</v>
      </c>
      <c r="F43" s="542"/>
      <c r="G43" s="542"/>
      <c r="H43" s="545"/>
      <c r="I43" s="801"/>
      <c r="J43" s="940"/>
      <c r="K43" s="940"/>
      <c r="L43" s="940"/>
      <c r="M43" s="940"/>
      <c r="N43" s="940"/>
      <c r="O43" s="940"/>
      <c r="P43" s="940"/>
      <c r="Q43" s="940"/>
      <c r="R43" s="940"/>
    </row>
    <row r="44" spans="1:18" s="133" customFormat="1" ht="19.5" customHeight="1">
      <c r="A44" s="531" t="s">
        <v>448</v>
      </c>
      <c r="B44" s="530"/>
      <c r="C44" s="238" t="s">
        <v>569</v>
      </c>
      <c r="D44" s="242"/>
      <c r="E44" s="242">
        <v>34920</v>
      </c>
      <c r="F44" s="542"/>
      <c r="G44" s="542"/>
      <c r="H44" s="545"/>
      <c r="I44" s="801"/>
      <c r="J44" s="940"/>
      <c r="K44" s="940"/>
      <c r="L44" s="940"/>
      <c r="M44" s="940"/>
      <c r="N44" s="940"/>
      <c r="O44" s="940"/>
      <c r="P44" s="940"/>
      <c r="Q44" s="940"/>
      <c r="R44" s="940"/>
    </row>
    <row r="45" spans="1:18" s="133" customFormat="1" ht="19.5" customHeight="1">
      <c r="A45" s="531" t="s">
        <v>462</v>
      </c>
      <c r="B45" s="530"/>
      <c r="C45" s="238" t="s">
        <v>569</v>
      </c>
      <c r="D45" s="242"/>
      <c r="E45" s="242">
        <v>28979.16</v>
      </c>
      <c r="F45" s="542"/>
      <c r="G45" s="542"/>
      <c r="H45" s="545"/>
      <c r="I45" s="801"/>
      <c r="J45" s="940"/>
      <c r="K45" s="940"/>
      <c r="L45" s="940"/>
      <c r="M45" s="940"/>
      <c r="N45" s="940"/>
      <c r="O45" s="940"/>
      <c r="P45" s="940"/>
      <c r="Q45" s="940"/>
      <c r="R45" s="940"/>
    </row>
    <row r="46" spans="1:18" s="133" customFormat="1" ht="19.5" customHeight="1">
      <c r="A46" s="531" t="s">
        <v>463</v>
      </c>
      <c r="B46" s="530"/>
      <c r="C46" s="238" t="s">
        <v>568</v>
      </c>
      <c r="D46" s="242"/>
      <c r="E46" s="242">
        <v>19000</v>
      </c>
      <c r="F46" s="542"/>
      <c r="G46" s="542"/>
      <c r="H46" s="545"/>
      <c r="I46" s="242"/>
      <c r="J46" s="940"/>
      <c r="K46" s="940"/>
      <c r="L46" s="940"/>
      <c r="M46" s="940"/>
      <c r="N46" s="940"/>
      <c r="O46" s="940"/>
      <c r="P46" s="940"/>
      <c r="Q46" s="940"/>
      <c r="R46" s="940"/>
    </row>
    <row r="47" spans="1:18" s="133" customFormat="1" ht="19.5" customHeight="1">
      <c r="A47" s="531" t="s">
        <v>464</v>
      </c>
      <c r="B47" s="530"/>
      <c r="C47" s="238" t="s">
        <v>571</v>
      </c>
      <c r="D47" s="242"/>
      <c r="E47" s="242">
        <v>150000</v>
      </c>
      <c r="F47" s="542"/>
      <c r="G47" s="542"/>
      <c r="H47" s="545"/>
      <c r="J47" s="940"/>
      <c r="K47" s="940"/>
      <c r="L47" s="940"/>
      <c r="M47" s="940"/>
      <c r="N47" s="940"/>
      <c r="O47" s="940"/>
      <c r="P47" s="940"/>
      <c r="Q47" s="940"/>
      <c r="R47" s="940"/>
    </row>
    <row r="48" spans="1:18" s="133" customFormat="1" ht="19.5" customHeight="1" thickBot="1">
      <c r="A48" s="532" t="s">
        <v>465</v>
      </c>
      <c r="B48" s="533"/>
      <c r="C48" s="298" t="s">
        <v>572</v>
      </c>
      <c r="D48" s="299">
        <v>3750</v>
      </c>
      <c r="E48" s="299">
        <v>1750</v>
      </c>
      <c r="F48" s="546"/>
      <c r="G48" s="546"/>
      <c r="H48" s="250"/>
      <c r="J48" s="940"/>
      <c r="K48" s="940"/>
      <c r="L48" s="940"/>
      <c r="M48" s="940"/>
      <c r="N48" s="940"/>
      <c r="O48" s="940"/>
      <c r="P48" s="940"/>
      <c r="Q48" s="940"/>
      <c r="R48" s="940"/>
    </row>
    <row r="49" spans="1:18" s="133" customFormat="1" ht="19.5" customHeight="1" thickBot="1">
      <c r="A49" s="543" t="s">
        <v>91</v>
      </c>
      <c r="B49" s="505"/>
      <c r="C49" s="544"/>
      <c r="D49" s="584">
        <f>SUM(D29:D48)</f>
        <v>703076.6599999999</v>
      </c>
      <c r="E49" s="585">
        <f>SUM(E29:E48)</f>
        <v>1789408.9799999997</v>
      </c>
      <c r="F49" s="549"/>
      <c r="G49" s="549"/>
      <c r="H49" s="549"/>
      <c r="J49" s="940"/>
      <c r="K49" s="940"/>
      <c r="L49" s="940"/>
      <c r="M49" s="940"/>
      <c r="N49" s="940"/>
      <c r="O49" s="940"/>
      <c r="P49" s="940"/>
      <c r="Q49" s="940"/>
      <c r="R49" s="940"/>
    </row>
    <row r="50" spans="1:18" s="133" customFormat="1" ht="19.5" customHeight="1" thickBot="1">
      <c r="A50" s="549"/>
      <c r="B50" s="549"/>
      <c r="C50" s="549"/>
      <c r="D50" s="549"/>
      <c r="E50" s="549"/>
      <c r="F50" s="549"/>
      <c r="G50" s="549"/>
      <c r="H50" s="549"/>
      <c r="J50" s="940"/>
      <c r="K50" s="940"/>
      <c r="L50" s="940"/>
      <c r="M50" s="940"/>
      <c r="N50" s="940"/>
      <c r="O50" s="940"/>
      <c r="P50" s="940"/>
      <c r="Q50" s="940"/>
      <c r="R50" s="940"/>
    </row>
    <row r="51" spans="1:18" s="133" customFormat="1" ht="41.25" customHeight="1" thickBot="1">
      <c r="A51" s="527" t="s">
        <v>381</v>
      </c>
      <c r="B51" s="501"/>
      <c r="C51" s="502" t="s">
        <v>552</v>
      </c>
      <c r="D51" s="502">
        <v>2015</v>
      </c>
      <c r="E51" s="502">
        <v>2016</v>
      </c>
      <c r="F51" s="502" t="s">
        <v>92</v>
      </c>
      <c r="G51" s="502" t="s">
        <v>589</v>
      </c>
      <c r="H51" s="503" t="s">
        <v>588</v>
      </c>
      <c r="J51" s="940"/>
      <c r="K51" s="940"/>
      <c r="L51" s="940"/>
      <c r="M51" s="940"/>
      <c r="N51" s="940"/>
      <c r="O51" s="940"/>
      <c r="P51" s="940"/>
      <c r="Q51" s="940"/>
      <c r="R51" s="940"/>
    </row>
    <row r="52" spans="1:18" s="133" customFormat="1" ht="19.5" customHeight="1">
      <c r="A52" s="537"/>
      <c r="B52" s="538"/>
      <c r="C52" s="539"/>
      <c r="D52" s="540"/>
      <c r="E52" s="541"/>
      <c r="F52" s="599"/>
      <c r="G52" s="599"/>
      <c r="H52" s="600"/>
      <c r="I52" s="551"/>
      <c r="J52" s="958"/>
      <c r="K52" s="940"/>
      <c r="L52" s="940"/>
      <c r="M52" s="940"/>
      <c r="N52" s="940"/>
      <c r="O52" s="940"/>
      <c r="P52" s="940"/>
      <c r="Q52" s="940"/>
      <c r="R52" s="940"/>
    </row>
    <row r="53" spans="1:18" s="133" customFormat="1" ht="19.5" customHeight="1">
      <c r="A53" s="531"/>
      <c r="B53" s="530"/>
      <c r="C53" s="238"/>
      <c r="D53" s="242"/>
      <c r="E53" s="242"/>
      <c r="F53" s="601"/>
      <c r="G53" s="601"/>
      <c r="H53" s="602"/>
      <c r="I53" s="551"/>
      <c r="J53" s="958"/>
      <c r="K53" s="940"/>
      <c r="L53" s="940"/>
      <c r="M53" s="940"/>
      <c r="N53" s="940"/>
      <c r="O53" s="940"/>
      <c r="P53" s="940"/>
      <c r="Q53" s="940"/>
      <c r="R53" s="940"/>
    </row>
    <row r="54" spans="1:18" s="133" customFormat="1" ht="19.5" customHeight="1">
      <c r="A54" s="531"/>
      <c r="B54" s="530"/>
      <c r="C54" s="238"/>
      <c r="D54" s="242"/>
      <c r="E54" s="242"/>
      <c r="F54" s="245"/>
      <c r="G54" s="245"/>
      <c r="H54" s="246"/>
      <c r="J54" s="940"/>
      <c r="K54" s="940"/>
      <c r="L54" s="940"/>
      <c r="M54" s="940"/>
      <c r="N54" s="940"/>
      <c r="O54" s="940"/>
      <c r="P54" s="940"/>
      <c r="Q54" s="940"/>
      <c r="R54" s="940"/>
    </row>
    <row r="55" spans="1:15" ht="24.75" customHeight="1">
      <c r="A55" s="531"/>
      <c r="B55" s="530"/>
      <c r="C55" s="238"/>
      <c r="D55" s="242"/>
      <c r="E55" s="242"/>
      <c r="F55" s="245"/>
      <c r="G55" s="245"/>
      <c r="H55" s="246"/>
      <c r="O55" s="949"/>
    </row>
    <row r="56" spans="1:15" ht="19.5" customHeight="1">
      <c r="A56" s="531"/>
      <c r="B56" s="530"/>
      <c r="C56" s="238"/>
      <c r="D56" s="242"/>
      <c r="E56" s="242"/>
      <c r="F56" s="245"/>
      <c r="G56" s="245"/>
      <c r="H56" s="246"/>
      <c r="O56" s="949"/>
    </row>
    <row r="57" spans="1:15" ht="19.5" customHeight="1">
      <c r="A57" s="531"/>
      <c r="B57" s="530"/>
      <c r="C57" s="238"/>
      <c r="D57" s="242"/>
      <c r="E57" s="242"/>
      <c r="F57" s="245"/>
      <c r="G57" s="245"/>
      <c r="H57" s="246"/>
      <c r="O57" s="949"/>
    </row>
    <row r="58" spans="1:15" ht="19.5" customHeight="1">
      <c r="A58" s="531"/>
      <c r="B58" s="530"/>
      <c r="C58" s="238"/>
      <c r="D58" s="242"/>
      <c r="E58" s="452"/>
      <c r="F58" s="245"/>
      <c r="G58" s="245"/>
      <c r="H58" s="246"/>
      <c r="O58" s="949"/>
    </row>
    <row r="59" spans="1:15" ht="19.5" customHeight="1" thickBot="1">
      <c r="A59" s="532"/>
      <c r="B59" s="533"/>
      <c r="C59" s="298"/>
      <c r="D59" s="299"/>
      <c r="E59" s="299"/>
      <c r="F59" s="249"/>
      <c r="G59" s="249"/>
      <c r="H59" s="250"/>
      <c r="O59" s="949"/>
    </row>
    <row r="60" spans="1:15" ht="19.5" customHeight="1" thickBot="1">
      <c r="A60" s="525" t="s">
        <v>91</v>
      </c>
      <c r="B60" s="501"/>
      <c r="C60" s="526"/>
      <c r="D60" s="586">
        <f>SUM(D52:D59)</f>
        <v>0</v>
      </c>
      <c r="E60" s="582">
        <f>SUM(E52:E59)</f>
        <v>0</v>
      </c>
      <c r="F60" s="549"/>
      <c r="G60" s="549"/>
      <c r="H60" s="549"/>
      <c r="O60" s="949"/>
    </row>
    <row r="61" spans="1:18" s="133" customFormat="1" ht="19.5" customHeight="1">
      <c r="A61" s="549"/>
      <c r="B61" s="549"/>
      <c r="C61" s="549"/>
      <c r="D61" s="549"/>
      <c r="E61" s="549"/>
      <c r="F61" s="549"/>
      <c r="G61" s="549"/>
      <c r="H61" s="549"/>
      <c r="J61" s="940"/>
      <c r="K61" s="940"/>
      <c r="L61" s="940"/>
      <c r="M61" s="940"/>
      <c r="N61" s="940"/>
      <c r="O61" s="940"/>
      <c r="P61" s="940"/>
      <c r="Q61" s="940"/>
      <c r="R61" s="940"/>
    </row>
    <row r="62" spans="1:18" s="133" customFormat="1" ht="19.5" customHeight="1" thickBot="1">
      <c r="A62" s="549"/>
      <c r="B62" s="549"/>
      <c r="C62" s="549"/>
      <c r="D62" s="549"/>
      <c r="E62" s="549"/>
      <c r="F62" s="549"/>
      <c r="G62" s="549"/>
      <c r="H62" s="549"/>
      <c r="J62" s="940"/>
      <c r="K62" s="940"/>
      <c r="L62" s="940"/>
      <c r="M62" s="940"/>
      <c r="N62" s="940"/>
      <c r="O62" s="940"/>
      <c r="P62" s="940"/>
      <c r="Q62" s="940"/>
      <c r="R62" s="940"/>
    </row>
    <row r="63" spans="1:18" s="133" customFormat="1" ht="19.5" customHeight="1" thickBot="1">
      <c r="A63" s="527" t="s">
        <v>559</v>
      </c>
      <c r="B63" s="501"/>
      <c r="C63" s="502" t="s">
        <v>552</v>
      </c>
      <c r="D63" s="502">
        <v>2015</v>
      </c>
      <c r="E63" s="502">
        <v>2016</v>
      </c>
      <c r="F63" s="502" t="s">
        <v>92</v>
      </c>
      <c r="G63" s="502" t="s">
        <v>589</v>
      </c>
      <c r="H63" s="503" t="s">
        <v>588</v>
      </c>
      <c r="J63" s="940"/>
      <c r="K63" s="940"/>
      <c r="L63" s="940"/>
      <c r="M63" s="940"/>
      <c r="N63" s="940"/>
      <c r="O63" s="940"/>
      <c r="P63" s="940"/>
      <c r="Q63" s="940"/>
      <c r="R63" s="940"/>
    </row>
    <row r="64" spans="1:18" s="133" customFormat="1" ht="19.5" customHeight="1">
      <c r="A64" s="529" t="s">
        <v>521</v>
      </c>
      <c r="B64" s="530"/>
      <c r="C64" s="238" t="s">
        <v>522</v>
      </c>
      <c r="D64" s="239"/>
      <c r="E64" s="239">
        <v>1000000</v>
      </c>
      <c r="F64" s="917" t="s">
        <v>737</v>
      </c>
      <c r="G64" s="917" t="s">
        <v>744</v>
      </c>
      <c r="H64" s="918" t="s">
        <v>745</v>
      </c>
      <c r="J64" s="940"/>
      <c r="K64" s="940"/>
      <c r="L64" s="940"/>
      <c r="M64" s="940"/>
      <c r="N64" s="940"/>
      <c r="O64" s="940"/>
      <c r="P64" s="940"/>
      <c r="Q64" s="940"/>
      <c r="R64" s="940"/>
    </row>
    <row r="65" spans="1:18" s="133" customFormat="1" ht="19.5" customHeight="1">
      <c r="A65" s="531"/>
      <c r="B65" s="530"/>
      <c r="C65" s="238"/>
      <c r="D65" s="242"/>
      <c r="E65" s="242"/>
      <c r="F65" s="245"/>
      <c r="G65" s="245"/>
      <c r="H65" s="246"/>
      <c r="J65" s="940"/>
      <c r="K65" s="940"/>
      <c r="L65" s="940"/>
      <c r="M65" s="940"/>
      <c r="N65" s="940"/>
      <c r="O65" s="940"/>
      <c r="P65" s="940"/>
      <c r="Q65" s="940"/>
      <c r="R65" s="940"/>
    </row>
    <row r="66" spans="1:18" s="133" customFormat="1" ht="19.5" customHeight="1">
      <c r="A66" s="531"/>
      <c r="B66" s="530"/>
      <c r="C66" s="238"/>
      <c r="D66" s="242"/>
      <c r="E66" s="242"/>
      <c r="F66" s="245"/>
      <c r="G66" s="245"/>
      <c r="H66" s="246"/>
      <c r="J66" s="940"/>
      <c r="K66" s="940"/>
      <c r="L66" s="940"/>
      <c r="M66" s="940"/>
      <c r="N66" s="940"/>
      <c r="O66" s="940"/>
      <c r="P66" s="940"/>
      <c r="Q66" s="940"/>
      <c r="R66" s="940"/>
    </row>
    <row r="67" spans="1:18" s="133" customFormat="1" ht="19.5" customHeight="1">
      <c r="A67" s="531"/>
      <c r="B67" s="530"/>
      <c r="C67" s="238"/>
      <c r="D67" s="242"/>
      <c r="E67" s="242"/>
      <c r="F67" s="245"/>
      <c r="G67" s="245"/>
      <c r="H67" s="246"/>
      <c r="J67" s="940"/>
      <c r="K67" s="940"/>
      <c r="L67" s="940"/>
      <c r="M67" s="940"/>
      <c r="N67" s="940"/>
      <c r="O67" s="940"/>
      <c r="P67" s="940"/>
      <c r="Q67" s="940"/>
      <c r="R67" s="940"/>
    </row>
    <row r="68" spans="1:18" s="133" customFormat="1" ht="19.5" customHeight="1">
      <c r="A68" s="531"/>
      <c r="B68" s="530"/>
      <c r="C68" s="238"/>
      <c r="D68" s="242"/>
      <c r="E68" s="242"/>
      <c r="F68" s="245"/>
      <c r="G68" s="245"/>
      <c r="H68" s="246"/>
      <c r="J68" s="940"/>
      <c r="K68" s="940"/>
      <c r="L68" s="940"/>
      <c r="M68" s="940"/>
      <c r="N68" s="940"/>
      <c r="O68" s="940"/>
      <c r="P68" s="940"/>
      <c r="Q68" s="940"/>
      <c r="R68" s="940"/>
    </row>
    <row r="69" spans="1:18" s="133" customFormat="1" ht="19.5" customHeight="1">
      <c r="A69" s="531"/>
      <c r="B69" s="530"/>
      <c r="C69" s="238"/>
      <c r="D69" s="242"/>
      <c r="E69" s="242"/>
      <c r="F69" s="245"/>
      <c r="G69" s="245"/>
      <c r="H69" s="246"/>
      <c r="J69" s="940"/>
      <c r="K69" s="940"/>
      <c r="L69" s="940"/>
      <c r="M69" s="940"/>
      <c r="N69" s="940"/>
      <c r="O69" s="940"/>
      <c r="P69" s="940"/>
      <c r="Q69" s="940"/>
      <c r="R69" s="940"/>
    </row>
    <row r="70" spans="1:18" s="133" customFormat="1" ht="19.5" customHeight="1">
      <c r="A70" s="531"/>
      <c r="B70" s="530"/>
      <c r="C70" s="238"/>
      <c r="D70" s="242"/>
      <c r="E70" s="242"/>
      <c r="F70" s="245"/>
      <c r="G70" s="245"/>
      <c r="H70" s="246"/>
      <c r="J70" s="940"/>
      <c r="K70" s="940"/>
      <c r="L70" s="940"/>
      <c r="M70" s="940"/>
      <c r="N70" s="940"/>
      <c r="O70" s="940"/>
      <c r="P70" s="940"/>
      <c r="Q70" s="940"/>
      <c r="R70" s="940"/>
    </row>
    <row r="71" spans="1:18" s="133" customFormat="1" ht="19.5" customHeight="1" thickBot="1">
      <c r="A71" s="531"/>
      <c r="B71" s="534"/>
      <c r="C71" s="247"/>
      <c r="D71" s="248"/>
      <c r="E71" s="248"/>
      <c r="F71" s="249"/>
      <c r="G71" s="249"/>
      <c r="H71" s="250"/>
      <c r="J71" s="940"/>
      <c r="K71" s="940"/>
      <c r="L71" s="940"/>
      <c r="M71" s="940"/>
      <c r="N71" s="940"/>
      <c r="O71" s="940"/>
      <c r="P71" s="940"/>
      <c r="Q71" s="940"/>
      <c r="R71" s="940"/>
    </row>
    <row r="72" spans="1:18" s="133" customFormat="1" ht="19.5" customHeight="1" thickBot="1">
      <c r="A72" s="525" t="s">
        <v>566</v>
      </c>
      <c r="B72" s="501"/>
      <c r="C72" s="526"/>
      <c r="D72" s="528">
        <f>SUM(D64:D71)</f>
        <v>0</v>
      </c>
      <c r="E72" s="528">
        <f>SUM(E64:E71)</f>
        <v>1000000</v>
      </c>
      <c r="F72" s="549"/>
      <c r="G72" s="549"/>
      <c r="H72" s="549"/>
      <c r="J72" s="940"/>
      <c r="K72" s="940"/>
      <c r="L72" s="940"/>
      <c r="M72" s="940"/>
      <c r="N72" s="940"/>
      <c r="O72" s="940"/>
      <c r="P72" s="940"/>
      <c r="Q72" s="940"/>
      <c r="R72" s="940"/>
    </row>
    <row r="73" spans="1:18" s="133" customFormat="1" ht="19.5" customHeight="1">
      <c r="A73" s="255"/>
      <c r="B73" s="256"/>
      <c r="C73" s="257"/>
      <c r="D73" s="257"/>
      <c r="E73" s="257"/>
      <c r="J73" s="940"/>
      <c r="K73" s="940"/>
      <c r="L73" s="940"/>
      <c r="M73" s="940"/>
      <c r="N73" s="940"/>
      <c r="O73" s="940"/>
      <c r="P73" s="940"/>
      <c r="Q73" s="940"/>
      <c r="R73" s="940"/>
    </row>
    <row r="74" spans="1:18" s="133" customFormat="1" ht="45.75" customHeight="1">
      <c r="A74" s="1140"/>
      <c r="B74" s="1140"/>
      <c r="C74" s="1140"/>
      <c r="D74" s="1140"/>
      <c r="E74" s="1140"/>
      <c r="F74" s="1140"/>
      <c r="G74" s="1140"/>
      <c r="H74" s="1140"/>
      <c r="J74" s="940"/>
      <c r="K74" s="940"/>
      <c r="L74" s="940"/>
      <c r="M74" s="940"/>
      <c r="N74" s="940"/>
      <c r="O74" s="940"/>
      <c r="P74" s="940"/>
      <c r="Q74" s="940"/>
      <c r="R74" s="940"/>
    </row>
    <row r="75" spans="1:18" s="133" customFormat="1" ht="19.5" customHeight="1">
      <c r="A75" s="1136"/>
      <c r="B75" s="1136"/>
      <c r="C75" s="1136"/>
      <c r="D75" s="1136"/>
      <c r="E75" s="1136"/>
      <c r="F75" s="1136"/>
      <c r="G75" s="1136"/>
      <c r="H75" s="1136"/>
      <c r="J75" s="940"/>
      <c r="K75" s="940"/>
      <c r="L75" s="940"/>
      <c r="M75" s="940"/>
      <c r="N75" s="940"/>
      <c r="O75" s="940"/>
      <c r="P75" s="940"/>
      <c r="Q75" s="940"/>
      <c r="R75" s="940"/>
    </row>
    <row r="76" spans="1:18" s="133" customFormat="1" ht="18.75" customHeight="1">
      <c r="A76" s="1136"/>
      <c r="B76" s="1136"/>
      <c r="C76" s="1136"/>
      <c r="D76" s="1136"/>
      <c r="E76" s="1136"/>
      <c r="F76" s="1136"/>
      <c r="G76" s="1136"/>
      <c r="H76" s="1136"/>
      <c r="J76" s="940"/>
      <c r="K76" s="940"/>
      <c r="L76" s="940"/>
      <c r="M76" s="940"/>
      <c r="N76" s="940"/>
      <c r="O76" s="940"/>
      <c r="P76" s="940"/>
      <c r="Q76" s="940"/>
      <c r="R76" s="940"/>
    </row>
    <row r="77" spans="10:18" s="133" customFormat="1" ht="19.5" customHeight="1">
      <c r="J77" s="940"/>
      <c r="K77" s="940"/>
      <c r="L77" s="940"/>
      <c r="M77" s="940"/>
      <c r="N77" s="940"/>
      <c r="O77" s="940"/>
      <c r="P77" s="940"/>
      <c r="Q77" s="940"/>
      <c r="R77" s="940"/>
    </row>
    <row r="78" spans="10:18" s="133" customFormat="1" ht="19.5" customHeight="1">
      <c r="J78" s="940"/>
      <c r="K78" s="940"/>
      <c r="L78" s="940"/>
      <c r="M78" s="940"/>
      <c r="N78" s="940"/>
      <c r="O78" s="940"/>
      <c r="P78" s="940"/>
      <c r="Q78" s="940"/>
      <c r="R78" s="940"/>
    </row>
    <row r="79" spans="10:18" s="133" customFormat="1" ht="19.5" customHeight="1">
      <c r="J79" s="940"/>
      <c r="K79" s="940"/>
      <c r="L79" s="940"/>
      <c r="M79" s="940"/>
      <c r="N79" s="940"/>
      <c r="O79" s="940"/>
      <c r="P79" s="940"/>
      <c r="Q79" s="940"/>
      <c r="R79" s="940"/>
    </row>
    <row r="80" spans="10:18" s="133" customFormat="1" ht="19.5" customHeight="1">
      <c r="J80" s="940"/>
      <c r="K80" s="940"/>
      <c r="L80" s="940"/>
      <c r="M80" s="940"/>
      <c r="N80" s="940"/>
      <c r="O80" s="940"/>
      <c r="P80" s="940"/>
      <c r="Q80" s="940"/>
      <c r="R80" s="940"/>
    </row>
    <row r="81" spans="10:18" s="133" customFormat="1" ht="19.5" customHeight="1">
      <c r="J81" s="940"/>
      <c r="K81" s="940"/>
      <c r="L81" s="940"/>
      <c r="M81" s="940"/>
      <c r="N81" s="940"/>
      <c r="O81" s="940"/>
      <c r="P81" s="940"/>
      <c r="Q81" s="940"/>
      <c r="R81" s="940"/>
    </row>
    <row r="82" spans="10:18" s="133" customFormat="1" ht="19.5" customHeight="1">
      <c r="J82" s="940"/>
      <c r="K82" s="940"/>
      <c r="L82" s="940"/>
      <c r="M82" s="940"/>
      <c r="N82" s="940"/>
      <c r="O82" s="940"/>
      <c r="P82" s="940"/>
      <c r="Q82" s="940"/>
      <c r="R82" s="940"/>
    </row>
    <row r="83" spans="10:18" s="133" customFormat="1" ht="19.5" customHeight="1">
      <c r="J83" s="940"/>
      <c r="K83" s="940"/>
      <c r="L83" s="940"/>
      <c r="M83" s="940"/>
      <c r="N83" s="940"/>
      <c r="O83" s="940"/>
      <c r="P83" s="940"/>
      <c r="Q83" s="940"/>
      <c r="R83" s="940"/>
    </row>
    <row r="84" spans="10:18" s="133" customFormat="1" ht="19.5" customHeight="1">
      <c r="J84" s="940"/>
      <c r="K84" s="940"/>
      <c r="L84" s="940"/>
      <c r="M84" s="940"/>
      <c r="N84" s="940"/>
      <c r="O84" s="940"/>
      <c r="P84" s="940"/>
      <c r="Q84" s="940"/>
      <c r="R84" s="940"/>
    </row>
    <row r="85" spans="10:18" s="133" customFormat="1" ht="19.5" customHeight="1">
      <c r="J85" s="940"/>
      <c r="K85" s="940"/>
      <c r="L85" s="940"/>
      <c r="M85" s="940"/>
      <c r="N85" s="940"/>
      <c r="O85" s="940"/>
      <c r="P85" s="940"/>
      <c r="Q85" s="940"/>
      <c r="R85" s="940"/>
    </row>
    <row r="86" spans="10:18" s="133" customFormat="1" ht="19.5" customHeight="1">
      <c r="J86" s="940"/>
      <c r="K86" s="940"/>
      <c r="L86" s="940"/>
      <c r="M86" s="940"/>
      <c r="N86" s="940"/>
      <c r="O86" s="940"/>
      <c r="P86" s="940"/>
      <c r="Q86" s="940"/>
      <c r="R86" s="940"/>
    </row>
    <row r="87" spans="10:18" s="133" customFormat="1" ht="19.5" customHeight="1">
      <c r="J87" s="940"/>
      <c r="K87" s="940"/>
      <c r="L87" s="940"/>
      <c r="M87" s="940"/>
      <c r="N87" s="940"/>
      <c r="O87" s="940"/>
      <c r="P87" s="940"/>
      <c r="Q87" s="940"/>
      <c r="R87" s="940"/>
    </row>
    <row r="88" spans="10:18" s="133" customFormat="1" ht="19.5" customHeight="1">
      <c r="J88" s="940"/>
      <c r="K88" s="940"/>
      <c r="L88" s="940"/>
      <c r="M88" s="940"/>
      <c r="N88" s="940"/>
      <c r="O88" s="940"/>
      <c r="P88" s="940"/>
      <c r="Q88" s="940"/>
      <c r="R88" s="940"/>
    </row>
    <row r="89" spans="10:18" s="133" customFormat="1" ht="12.75">
      <c r="J89" s="940"/>
      <c r="K89" s="940"/>
      <c r="L89" s="940"/>
      <c r="M89" s="940"/>
      <c r="N89" s="940"/>
      <c r="O89" s="940"/>
      <c r="P89" s="940"/>
      <c r="Q89" s="940"/>
      <c r="R89" s="940"/>
    </row>
    <row r="90" spans="10:18" s="133" customFormat="1" ht="12.75">
      <c r="J90" s="940"/>
      <c r="K90" s="940"/>
      <c r="L90" s="940"/>
      <c r="M90" s="940"/>
      <c r="N90" s="940"/>
      <c r="O90" s="940"/>
      <c r="P90" s="940"/>
      <c r="Q90" s="940"/>
      <c r="R90" s="940"/>
    </row>
    <row r="91" spans="10:18" s="133" customFormat="1" ht="12.75">
      <c r="J91" s="940"/>
      <c r="K91" s="940"/>
      <c r="L91" s="940"/>
      <c r="M91" s="940"/>
      <c r="N91" s="940"/>
      <c r="O91" s="940"/>
      <c r="P91" s="940"/>
      <c r="Q91" s="940"/>
      <c r="R91" s="940"/>
    </row>
    <row r="92" spans="10:18" s="133" customFormat="1" ht="12.75">
      <c r="J92" s="940"/>
      <c r="K92" s="940"/>
      <c r="L92" s="940"/>
      <c r="M92" s="940"/>
      <c r="N92" s="940"/>
      <c r="O92" s="940"/>
      <c r="P92" s="940"/>
      <c r="Q92" s="940"/>
      <c r="R92" s="940"/>
    </row>
    <row r="93" spans="10:18" s="133" customFormat="1" ht="12.75">
      <c r="J93" s="940"/>
      <c r="K93" s="940"/>
      <c r="L93" s="940"/>
      <c r="M93" s="940"/>
      <c r="N93" s="940"/>
      <c r="O93" s="940"/>
      <c r="P93" s="940"/>
      <c r="Q93" s="940"/>
      <c r="R93" s="940"/>
    </row>
    <row r="94" spans="10:18" s="133" customFormat="1" ht="12.75">
      <c r="J94" s="940"/>
      <c r="K94" s="940"/>
      <c r="L94" s="940"/>
      <c r="M94" s="940"/>
      <c r="N94" s="940"/>
      <c r="O94" s="940"/>
      <c r="P94" s="940"/>
      <c r="Q94" s="940"/>
      <c r="R94" s="940"/>
    </row>
    <row r="100" ht="12.75">
      <c r="C100" s="236" t="s">
        <v>567</v>
      </c>
    </row>
    <row r="101" ht="12.75">
      <c r="C101" s="236" t="s">
        <v>568</v>
      </c>
    </row>
    <row r="102" ht="12.75">
      <c r="C102" s="236" t="s">
        <v>569</v>
      </c>
    </row>
    <row r="103" ht="12.75">
      <c r="C103" s="236" t="s">
        <v>570</v>
      </c>
    </row>
    <row r="104" ht="12.75">
      <c r="C104" s="236" t="s">
        <v>571</v>
      </c>
    </row>
    <row r="105" ht="12.75">
      <c r="C105" s="236" t="s">
        <v>572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76:H76"/>
    <mergeCell ref="A9:H9"/>
    <mergeCell ref="A74:H74"/>
    <mergeCell ref="F7:H7"/>
    <mergeCell ref="F8:H8"/>
    <mergeCell ref="A8:E8"/>
    <mergeCell ref="A7:E7"/>
    <mergeCell ref="A75:H75"/>
    <mergeCell ref="F37:H37"/>
  </mergeCells>
  <dataValidations count="3">
    <dataValidation type="list" allowBlank="1" showInputMessage="1" showErrorMessage="1" promptTitle="Especifique la Entidad" sqref="C100:D100">
      <formula1>$C$11:$C$16</formula1>
    </dataValidation>
    <dataValidation type="list" allowBlank="1" showInputMessage="1" showErrorMessage="1" promptTitle="TENER EN CUENTA" prompt="Indicar Entidad Pública" sqref="C52:C59 C12:C19 C29:C48">
      <formula1>$C$100:$C$105</formula1>
    </dataValidation>
    <dataValidation allowBlank="1" showInputMessage="1" showErrorMessage="1" promptTitle="ENTRADA" prompt="Antes de Estimar esta Celda debes incluir en Celda Naranja el Dato Inicial" sqref="D52:E52 D12:E12 D29:E29"/>
  </dataValidations>
  <printOptions horizontalCentered="1" verticalCentered="1"/>
  <pageMargins left="0.34" right="0.2362204724409449" top="0.52" bottom="0.984251968503937" header="0" footer="0"/>
  <pageSetup horizontalDpi="300" verticalDpi="300" orientation="portrait" paperSize="9" scale="45" r:id="rId2"/>
  <headerFooter alignWithMargins="0">
    <oddFooter>&amp;L&amp;7Plaza de España, 1
38003 Santa Cruz de Tenerife
Teléfono: 901 501 901
www.tenerife.es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57"/>
  <sheetViews>
    <sheetView showGridLines="0" view="pageBreakPreview" zoomScale="40" zoomScaleNormal="70" zoomScaleSheetLayoutView="40" zoomScalePageLayoutView="0" workbookViewId="0" topLeftCell="A1">
      <selection activeCell="C4" sqref="C4"/>
    </sheetView>
  </sheetViews>
  <sheetFormatPr defaultColWidth="11.57421875" defaultRowHeight="12.75"/>
  <cols>
    <col min="1" max="1" width="2.7109375" style="133" customWidth="1"/>
    <col min="2" max="2" width="75.421875" style="133" customWidth="1"/>
    <col min="3" max="3" width="17.28125" style="133" customWidth="1"/>
    <col min="4" max="4" width="14.28125" style="133" customWidth="1"/>
    <col min="5" max="5" width="16.00390625" style="133" bestFit="1" customWidth="1"/>
    <col min="6" max="6" width="16.57421875" style="133" customWidth="1"/>
    <col min="7" max="7" width="12.8515625" style="133" customWidth="1"/>
    <col min="8" max="8" width="14.28125" style="133" bestFit="1" customWidth="1"/>
    <col min="9" max="9" width="17.140625" style="133" customWidth="1"/>
    <col min="10" max="10" width="15.8515625" style="133" customWidth="1"/>
    <col min="11" max="16384" width="11.57421875" style="133" customWidth="1"/>
  </cols>
  <sheetData>
    <row r="1" spans="2:5" ht="12.75">
      <c r="B1" s="215"/>
      <c r="C1" s="653" t="s">
        <v>534</v>
      </c>
      <c r="E1" s="236"/>
    </row>
    <row r="2" spans="2:5" ht="12.75">
      <c r="B2" s="215"/>
      <c r="C2" s="654" t="s">
        <v>535</v>
      </c>
      <c r="E2" s="236"/>
    </row>
    <row r="3" spans="2:5" ht="12.75">
      <c r="B3" s="215"/>
      <c r="C3" s="215"/>
      <c r="D3" s="215"/>
      <c r="E3" s="236"/>
    </row>
    <row r="4" spans="2:5" ht="12.75">
      <c r="B4" s="652" t="s">
        <v>296</v>
      </c>
      <c r="C4" s="655">
        <v>42339</v>
      </c>
      <c r="E4" s="236"/>
    </row>
    <row r="5" spans="2:5" ht="12.75">
      <c r="B5" s="652" t="s">
        <v>533</v>
      </c>
      <c r="C5" s="656" t="s">
        <v>536</v>
      </c>
      <c r="E5" s="236"/>
    </row>
    <row r="6" ht="26.25" customHeight="1" thickBot="1"/>
    <row r="7" spans="1:10" ht="21.75" customHeight="1">
      <c r="A7" s="1041" t="s">
        <v>264</v>
      </c>
      <c r="B7" s="1042"/>
      <c r="C7" s="1042"/>
      <c r="D7" s="1042"/>
      <c r="E7" s="1042"/>
      <c r="F7" s="1042"/>
      <c r="G7" s="1042"/>
      <c r="H7" s="1042"/>
      <c r="I7" s="1165">
        <v>2016</v>
      </c>
      <c r="J7" s="1166"/>
    </row>
    <row r="8" spans="1:10" ht="19.5" customHeight="1">
      <c r="A8" s="1182" t="s">
        <v>265</v>
      </c>
      <c r="B8" s="1183"/>
      <c r="C8" s="1183"/>
      <c r="D8" s="1183"/>
      <c r="E8" s="1183"/>
      <c r="F8" s="1183"/>
      <c r="G8" s="1183"/>
      <c r="H8" s="1183"/>
      <c r="I8" s="1167"/>
      <c r="J8" s="1168"/>
    </row>
    <row r="9" spans="1:10" ht="27.75" customHeight="1" thickBot="1">
      <c r="A9" s="1179" t="str">
        <f>CPYG!A8</f>
        <v>EMPRESA PÚBLICA: INSTITUTO TECNOLOGICO DE ENERGIAS RENOVABLES SA</v>
      </c>
      <c r="B9" s="1180"/>
      <c r="C9" s="1180"/>
      <c r="D9" s="1180"/>
      <c r="E9" s="1180"/>
      <c r="F9" s="1180"/>
      <c r="G9" s="1180"/>
      <c r="H9" s="1181"/>
      <c r="I9" s="1163" t="s">
        <v>279</v>
      </c>
      <c r="J9" s="1164"/>
    </row>
    <row r="10" spans="1:15" ht="18" customHeight="1">
      <c r="A10" s="1159" t="s">
        <v>574</v>
      </c>
      <c r="B10" s="1160"/>
      <c r="C10" s="1153" t="s">
        <v>659</v>
      </c>
      <c r="D10" s="1154"/>
      <c r="E10" s="1153" t="s">
        <v>660</v>
      </c>
      <c r="F10" s="1176"/>
      <c r="G10" s="1176"/>
      <c r="H10" s="1154"/>
      <c r="I10" s="1153" t="s">
        <v>661</v>
      </c>
      <c r="J10" s="1154"/>
      <c r="K10" s="258"/>
      <c r="L10" s="258"/>
      <c r="M10" s="258"/>
      <c r="N10" s="258"/>
      <c r="O10" s="258"/>
    </row>
    <row r="11" spans="1:15" ht="21" customHeight="1">
      <c r="A11" s="1159"/>
      <c r="B11" s="1160"/>
      <c r="C11" s="259"/>
      <c r="D11" s="260"/>
      <c r="E11" s="1174" t="s">
        <v>280</v>
      </c>
      <c r="F11" s="1186" t="s">
        <v>84</v>
      </c>
      <c r="G11" s="1187"/>
      <c r="H11" s="1157" t="s">
        <v>281</v>
      </c>
      <c r="I11" s="259"/>
      <c r="J11" s="260"/>
      <c r="K11" s="258"/>
      <c r="L11" s="258"/>
      <c r="M11" s="258"/>
      <c r="N11" s="258"/>
      <c r="O11" s="258"/>
    </row>
    <row r="12" spans="1:15" ht="27" customHeight="1">
      <c r="A12" s="1161"/>
      <c r="B12" s="1162"/>
      <c r="C12" s="261" t="s">
        <v>282</v>
      </c>
      <c r="D12" s="262" t="s">
        <v>283</v>
      </c>
      <c r="E12" s="1175"/>
      <c r="F12" s="263" t="s">
        <v>284</v>
      </c>
      <c r="G12" s="263" t="s">
        <v>285</v>
      </c>
      <c r="H12" s="1158"/>
      <c r="I12" s="261" t="s">
        <v>286</v>
      </c>
      <c r="J12" s="262" t="s">
        <v>283</v>
      </c>
      <c r="K12" s="258"/>
      <c r="L12" s="258"/>
      <c r="M12" s="258"/>
      <c r="N12" s="258"/>
      <c r="O12" s="258"/>
    </row>
    <row r="13" spans="1:10" ht="14.25" customHeight="1">
      <c r="A13" s="1155" t="s">
        <v>287</v>
      </c>
      <c r="B13" s="1173"/>
      <c r="C13" s="264"/>
      <c r="D13" s="265"/>
      <c r="E13" s="264"/>
      <c r="F13" s="266"/>
      <c r="G13" s="266"/>
      <c r="H13" s="265"/>
      <c r="I13" s="264"/>
      <c r="J13" s="265"/>
    </row>
    <row r="14" spans="1:10" ht="14.25" customHeight="1">
      <c r="A14" s="220"/>
      <c r="B14" s="158" t="s">
        <v>288</v>
      </c>
      <c r="C14" s="211"/>
      <c r="D14" s="210"/>
      <c r="E14" s="211"/>
      <c r="F14" s="209"/>
      <c r="G14" s="209"/>
      <c r="H14" s="210"/>
      <c r="I14" s="211">
        <f>C14+E14+F14+G14</f>
        <v>0</v>
      </c>
      <c r="J14" s="210"/>
    </row>
    <row r="15" spans="1:10" ht="14.25" customHeight="1">
      <c r="A15" s="220"/>
      <c r="B15" s="158" t="s">
        <v>289</v>
      </c>
      <c r="C15" s="211"/>
      <c r="D15" s="210"/>
      <c r="E15" s="211"/>
      <c r="F15" s="209"/>
      <c r="G15" s="209"/>
      <c r="H15" s="210"/>
      <c r="I15" s="211">
        <f>C15+E15+F15+G15</f>
        <v>0</v>
      </c>
      <c r="J15" s="210"/>
    </row>
    <row r="16" spans="1:10" ht="14.25" customHeight="1">
      <c r="A16" s="220"/>
      <c r="B16" s="158" t="s">
        <v>290</v>
      </c>
      <c r="C16" s="211"/>
      <c r="D16" s="210"/>
      <c r="E16" s="211"/>
      <c r="F16" s="209"/>
      <c r="G16" s="209"/>
      <c r="H16" s="210"/>
      <c r="I16" s="211">
        <f>C16+E16+F16+G16</f>
        <v>0</v>
      </c>
      <c r="J16" s="210"/>
    </row>
    <row r="17" spans="1:10" ht="14.25" customHeight="1">
      <c r="A17" s="220"/>
      <c r="B17" s="158" t="s">
        <v>291</v>
      </c>
      <c r="C17" s="211"/>
      <c r="D17" s="210"/>
      <c r="E17" s="211"/>
      <c r="F17" s="209"/>
      <c r="G17" s="209"/>
      <c r="H17" s="210"/>
      <c r="I17" s="211">
        <f>C17+E17+F17+G17</f>
        <v>0</v>
      </c>
      <c r="J17" s="210"/>
    </row>
    <row r="18" spans="1:10" ht="14.25" customHeight="1">
      <c r="A18" s="1155" t="s">
        <v>292</v>
      </c>
      <c r="B18" s="1156"/>
      <c r="C18" s="264"/>
      <c r="D18" s="265"/>
      <c r="E18" s="264"/>
      <c r="F18" s="266"/>
      <c r="G18" s="266"/>
      <c r="H18" s="265"/>
      <c r="I18" s="264"/>
      <c r="J18" s="265"/>
    </row>
    <row r="19" spans="1:10" ht="14.25" customHeight="1">
      <c r="A19" s="1184" t="s">
        <v>293</v>
      </c>
      <c r="B19" s="1185"/>
      <c r="C19" s="264"/>
      <c r="D19" s="265"/>
      <c r="E19" s="264"/>
      <c r="F19" s="266"/>
      <c r="G19" s="266"/>
      <c r="H19" s="265"/>
      <c r="I19" s="264"/>
      <c r="J19" s="265"/>
    </row>
    <row r="20" spans="1:10" ht="14.25" customHeight="1">
      <c r="A20" s="220"/>
      <c r="B20" s="158" t="s">
        <v>294</v>
      </c>
      <c r="C20" s="211">
        <v>4587852.73</v>
      </c>
      <c r="D20" s="210"/>
      <c r="E20" s="211">
        <v>2843308.11</v>
      </c>
      <c r="F20" s="209">
        <f>-2288436.82-2300000</f>
        <v>-4588436.82</v>
      </c>
      <c r="G20" s="209"/>
      <c r="H20" s="210">
        <v>270271.04</v>
      </c>
      <c r="I20" s="211">
        <f aca="true" t="shared" si="0" ref="I20:I25">C20+E20+F20+G20</f>
        <v>2842724.0199999996</v>
      </c>
      <c r="J20" s="210"/>
    </row>
    <row r="21" spans="1:10" ht="14.25" customHeight="1">
      <c r="A21" s="220"/>
      <c r="B21" s="158" t="s">
        <v>295</v>
      </c>
      <c r="C21" s="211"/>
      <c r="D21" s="210"/>
      <c r="E21" s="211"/>
      <c r="F21" s="209"/>
      <c r="G21" s="209"/>
      <c r="H21" s="210"/>
      <c r="I21" s="211">
        <f t="shared" si="0"/>
        <v>0</v>
      </c>
      <c r="J21" s="210"/>
    </row>
    <row r="22" spans="1:10" ht="14.25" customHeight="1">
      <c r="A22" s="220"/>
      <c r="B22" s="158" t="s">
        <v>300</v>
      </c>
      <c r="C22" s="211">
        <v>15194217.34</v>
      </c>
      <c r="D22" s="210"/>
      <c r="E22" s="211">
        <v>506.16</v>
      </c>
      <c r="F22" s="209">
        <v>-2843308.11389399</v>
      </c>
      <c r="G22" s="209"/>
      <c r="H22" s="210"/>
      <c r="I22" s="211">
        <f t="shared" si="0"/>
        <v>12351415.38610601</v>
      </c>
      <c r="J22" s="210"/>
    </row>
    <row r="23" spans="1:10" ht="14.25" customHeight="1">
      <c r="A23" s="220"/>
      <c r="B23" s="158" t="s">
        <v>302</v>
      </c>
      <c r="C23" s="211"/>
      <c r="D23" s="210"/>
      <c r="E23" s="211"/>
      <c r="F23" s="209"/>
      <c r="G23" s="209"/>
      <c r="H23" s="210"/>
      <c r="I23" s="211">
        <f t="shared" si="0"/>
        <v>0</v>
      </c>
      <c r="J23" s="210"/>
    </row>
    <row r="24" spans="1:10" ht="14.25" customHeight="1">
      <c r="A24" s="220"/>
      <c r="B24" s="158" t="s">
        <v>303</v>
      </c>
      <c r="C24" s="211"/>
      <c r="D24" s="210"/>
      <c r="E24" s="211"/>
      <c r="F24" s="209"/>
      <c r="G24" s="209"/>
      <c r="H24" s="210"/>
      <c r="I24" s="211">
        <f t="shared" si="0"/>
        <v>0</v>
      </c>
      <c r="J24" s="210"/>
    </row>
    <row r="25" spans="1:10" ht="14.25" customHeight="1">
      <c r="A25" s="220"/>
      <c r="B25" s="158" t="s">
        <v>304</v>
      </c>
      <c r="C25" s="211"/>
      <c r="D25" s="210"/>
      <c r="E25" s="211"/>
      <c r="F25" s="209"/>
      <c r="G25" s="209"/>
      <c r="H25" s="210"/>
      <c r="I25" s="211">
        <f t="shared" si="0"/>
        <v>0</v>
      </c>
      <c r="J25" s="210"/>
    </row>
    <row r="26" spans="1:10" ht="14.25" customHeight="1">
      <c r="A26" s="1184" t="s">
        <v>305</v>
      </c>
      <c r="B26" s="1185"/>
      <c r="C26" s="264"/>
      <c r="D26" s="265"/>
      <c r="E26" s="264"/>
      <c r="F26" s="266"/>
      <c r="G26" s="266"/>
      <c r="H26" s="265"/>
      <c r="I26" s="264"/>
      <c r="J26" s="265"/>
    </row>
    <row r="27" spans="1:10" ht="14.25" customHeight="1">
      <c r="A27" s="220"/>
      <c r="B27" s="158" t="s">
        <v>294</v>
      </c>
      <c r="C27" s="211"/>
      <c r="D27" s="210"/>
      <c r="E27" s="211"/>
      <c r="F27" s="209"/>
      <c r="G27" s="209"/>
      <c r="H27" s="210"/>
      <c r="I27" s="211">
        <f aca="true" t="shared" si="1" ref="I27:I32">C27+E27+F27+G27</f>
        <v>0</v>
      </c>
      <c r="J27" s="210"/>
    </row>
    <row r="28" spans="1:10" ht="14.25" customHeight="1">
      <c r="A28" s="220"/>
      <c r="B28" s="158" t="s">
        <v>295</v>
      </c>
      <c r="C28" s="211"/>
      <c r="D28" s="210"/>
      <c r="E28" s="211"/>
      <c r="F28" s="209"/>
      <c r="G28" s="209"/>
      <c r="H28" s="210"/>
      <c r="I28" s="211">
        <f t="shared" si="1"/>
        <v>0</v>
      </c>
      <c r="J28" s="210"/>
    </row>
    <row r="29" spans="1:10" ht="14.25" customHeight="1">
      <c r="A29" s="220"/>
      <c r="B29" s="158" t="s">
        <v>300</v>
      </c>
      <c r="C29" s="211"/>
      <c r="D29" s="210"/>
      <c r="E29" s="211"/>
      <c r="F29" s="209"/>
      <c r="G29" s="209"/>
      <c r="H29" s="210"/>
      <c r="I29" s="211">
        <f t="shared" si="1"/>
        <v>0</v>
      </c>
      <c r="J29" s="210"/>
    </row>
    <row r="30" spans="1:10" ht="14.25" customHeight="1">
      <c r="A30" s="220"/>
      <c r="B30" s="158" t="s">
        <v>302</v>
      </c>
      <c r="C30" s="211"/>
      <c r="D30" s="210"/>
      <c r="E30" s="211"/>
      <c r="F30" s="209"/>
      <c r="G30" s="209"/>
      <c r="H30" s="210"/>
      <c r="I30" s="211">
        <f t="shared" si="1"/>
        <v>0</v>
      </c>
      <c r="J30" s="210"/>
    </row>
    <row r="31" spans="1:10" ht="14.25" customHeight="1">
      <c r="A31" s="220"/>
      <c r="B31" s="158" t="s">
        <v>303</v>
      </c>
      <c r="C31" s="211"/>
      <c r="D31" s="210"/>
      <c r="E31" s="211"/>
      <c r="F31" s="209"/>
      <c r="G31" s="209"/>
      <c r="H31" s="210"/>
      <c r="I31" s="211">
        <f t="shared" si="1"/>
        <v>0</v>
      </c>
      <c r="J31" s="210"/>
    </row>
    <row r="32" spans="1:10" ht="14.25" customHeight="1">
      <c r="A32" s="220"/>
      <c r="B32" s="158" t="s">
        <v>304</v>
      </c>
      <c r="C32" s="211"/>
      <c r="D32" s="210"/>
      <c r="E32" s="211"/>
      <c r="F32" s="209"/>
      <c r="G32" s="209"/>
      <c r="H32" s="210"/>
      <c r="I32" s="211">
        <f t="shared" si="1"/>
        <v>0</v>
      </c>
      <c r="J32" s="210"/>
    </row>
    <row r="33" spans="1:10" ht="14.25" customHeight="1">
      <c r="A33" s="1184" t="s">
        <v>306</v>
      </c>
      <c r="B33" s="1185"/>
      <c r="C33" s="264"/>
      <c r="D33" s="265"/>
      <c r="E33" s="264"/>
      <c r="F33" s="266"/>
      <c r="G33" s="266"/>
      <c r="H33" s="265"/>
      <c r="I33" s="264"/>
      <c r="J33" s="265"/>
    </row>
    <row r="34" spans="1:10" ht="14.25" customHeight="1">
      <c r="A34" s="220"/>
      <c r="B34" s="158" t="s">
        <v>294</v>
      </c>
      <c r="C34" s="211"/>
      <c r="D34" s="210"/>
      <c r="E34" s="211"/>
      <c r="F34" s="209"/>
      <c r="G34" s="209"/>
      <c r="H34" s="210"/>
      <c r="I34" s="211">
        <f aca="true" t="shared" si="2" ref="I34:I39">C34+E34+F34+G34</f>
        <v>0</v>
      </c>
      <c r="J34" s="210"/>
    </row>
    <row r="35" spans="1:10" ht="14.25" customHeight="1">
      <c r="A35" s="220"/>
      <c r="B35" s="158" t="s">
        <v>295</v>
      </c>
      <c r="C35" s="211"/>
      <c r="D35" s="210"/>
      <c r="E35" s="211"/>
      <c r="F35" s="209"/>
      <c r="G35" s="209"/>
      <c r="H35" s="210"/>
      <c r="I35" s="211">
        <f t="shared" si="2"/>
        <v>0</v>
      </c>
      <c r="J35" s="210"/>
    </row>
    <row r="36" spans="1:10" ht="14.25" customHeight="1">
      <c r="A36" s="220"/>
      <c r="B36" s="158" t="s">
        <v>300</v>
      </c>
      <c r="C36" s="211"/>
      <c r="D36" s="210"/>
      <c r="E36" s="211"/>
      <c r="F36" s="209"/>
      <c r="G36" s="209"/>
      <c r="H36" s="210"/>
      <c r="I36" s="211">
        <f t="shared" si="2"/>
        <v>0</v>
      </c>
      <c r="J36" s="210"/>
    </row>
    <row r="37" spans="1:10" ht="14.25" customHeight="1">
      <c r="A37" s="220"/>
      <c r="B37" s="158" t="s">
        <v>302</v>
      </c>
      <c r="C37" s="211"/>
      <c r="D37" s="210"/>
      <c r="E37" s="211"/>
      <c r="F37" s="209"/>
      <c r="G37" s="209"/>
      <c r="H37" s="210"/>
      <c r="I37" s="211">
        <f t="shared" si="2"/>
        <v>0</v>
      </c>
      <c r="J37" s="210"/>
    </row>
    <row r="38" spans="1:10" ht="14.25" customHeight="1">
      <c r="A38" s="220"/>
      <c r="B38" s="158" t="s">
        <v>303</v>
      </c>
      <c r="C38" s="211"/>
      <c r="D38" s="210"/>
      <c r="E38" s="211"/>
      <c r="F38" s="209"/>
      <c r="G38" s="209"/>
      <c r="H38" s="210"/>
      <c r="I38" s="211">
        <f t="shared" si="2"/>
        <v>0</v>
      </c>
      <c r="J38" s="210"/>
    </row>
    <row r="39" spans="1:10" ht="14.25" customHeight="1">
      <c r="A39" s="220"/>
      <c r="B39" s="158" t="s">
        <v>304</v>
      </c>
      <c r="C39" s="211"/>
      <c r="D39" s="210"/>
      <c r="E39" s="211"/>
      <c r="F39" s="209"/>
      <c r="G39" s="209"/>
      <c r="H39" s="210"/>
      <c r="I39" s="211">
        <f t="shared" si="2"/>
        <v>0</v>
      </c>
      <c r="J39" s="210"/>
    </row>
    <row r="40" spans="1:10" ht="14.25" customHeight="1">
      <c r="A40" s="1184" t="s">
        <v>307</v>
      </c>
      <c r="B40" s="1185"/>
      <c r="C40" s="453"/>
      <c r="D40" s="453"/>
      <c r="E40" s="264"/>
      <c r="F40" s="266"/>
      <c r="G40" s="266"/>
      <c r="H40" s="265"/>
      <c r="I40" s="264"/>
      <c r="J40" s="265"/>
    </row>
    <row r="41" spans="1:10" ht="14.25" customHeight="1">
      <c r="A41" s="1155" t="s">
        <v>308</v>
      </c>
      <c r="B41" s="1156"/>
      <c r="C41" s="264"/>
      <c r="D41" s="265"/>
      <c r="E41" s="264"/>
      <c r="F41" s="266"/>
      <c r="G41" s="266"/>
      <c r="H41" s="265"/>
      <c r="I41" s="264"/>
      <c r="J41" s="265"/>
    </row>
    <row r="42" spans="1:10" ht="14.25" customHeight="1">
      <c r="A42" s="220"/>
      <c r="B42" s="158" t="s">
        <v>309</v>
      </c>
      <c r="C42" s="211"/>
      <c r="D42" s="210"/>
      <c r="E42" s="211"/>
      <c r="F42" s="209"/>
      <c r="G42" s="209"/>
      <c r="H42" s="210"/>
      <c r="I42" s="211">
        <f>C42+E42+F42+G42</f>
        <v>0</v>
      </c>
      <c r="J42" s="210"/>
    </row>
    <row r="43" spans="1:10" ht="14.25" customHeight="1">
      <c r="A43" s="220"/>
      <c r="B43" s="158" t="s">
        <v>310</v>
      </c>
      <c r="C43" s="211"/>
      <c r="D43" s="210"/>
      <c r="E43" s="211"/>
      <c r="F43" s="209"/>
      <c r="G43" s="209"/>
      <c r="H43" s="210"/>
      <c r="I43" s="211">
        <f>C43+E43+F43+G43</f>
        <v>0</v>
      </c>
      <c r="J43" s="210"/>
    </row>
    <row r="44" spans="1:10" ht="14.25" customHeight="1">
      <c r="A44" s="220"/>
      <c r="B44" s="158" t="s">
        <v>311</v>
      </c>
      <c r="C44" s="211"/>
      <c r="D44" s="210"/>
      <c r="E44" s="211"/>
      <c r="F44" s="209"/>
      <c r="G44" s="209"/>
      <c r="H44" s="210"/>
      <c r="I44" s="211">
        <f>C44+E44+F44+G44</f>
        <v>0</v>
      </c>
      <c r="J44" s="210"/>
    </row>
    <row r="45" spans="1:10" ht="14.25" customHeight="1">
      <c r="A45" s="1155" t="s">
        <v>312</v>
      </c>
      <c r="B45" s="1156"/>
      <c r="C45" s="264"/>
      <c r="D45" s="265"/>
      <c r="E45" s="264"/>
      <c r="F45" s="266"/>
      <c r="G45" s="266"/>
      <c r="H45" s="265"/>
      <c r="I45" s="264"/>
      <c r="J45" s="265"/>
    </row>
    <row r="46" spans="1:10" ht="14.25" customHeight="1">
      <c r="A46" s="1171" t="s">
        <v>313</v>
      </c>
      <c r="B46" s="1172"/>
      <c r="C46" s="211">
        <f>4514020.04-800000+2222588.14-100.12</f>
        <v>5936508.06</v>
      </c>
      <c r="D46" s="210"/>
      <c r="E46" s="211"/>
      <c r="F46" s="209">
        <f>-1772588.57-450000.43</f>
        <v>-2222589</v>
      </c>
      <c r="G46" s="209"/>
      <c r="H46" s="210"/>
      <c r="I46" s="211">
        <f aca="true" t="shared" si="3" ref="I46:I51">C46+E46+F46+G46</f>
        <v>3713919.0599999996</v>
      </c>
      <c r="J46" s="210"/>
    </row>
    <row r="47" spans="1:10" ht="14.25" customHeight="1">
      <c r="A47" s="1177" t="s">
        <v>314</v>
      </c>
      <c r="B47" s="1178"/>
      <c r="C47" s="211"/>
      <c r="D47" s="210"/>
      <c r="E47" s="211"/>
      <c r="F47" s="209"/>
      <c r="G47" s="209"/>
      <c r="H47" s="210"/>
      <c r="I47" s="211">
        <f t="shared" si="3"/>
        <v>0</v>
      </c>
      <c r="J47" s="210"/>
    </row>
    <row r="48" spans="1:10" ht="14.25" customHeight="1">
      <c r="A48" s="1171" t="s">
        <v>315</v>
      </c>
      <c r="B48" s="1172"/>
      <c r="C48" s="211"/>
      <c r="D48" s="210"/>
      <c r="E48" s="211"/>
      <c r="F48" s="209"/>
      <c r="G48" s="209"/>
      <c r="H48" s="210"/>
      <c r="I48" s="211">
        <f t="shared" si="3"/>
        <v>0</v>
      </c>
      <c r="J48" s="210"/>
    </row>
    <row r="49" spans="1:10" ht="14.25" customHeight="1">
      <c r="A49" s="1171" t="s">
        <v>316</v>
      </c>
      <c r="B49" s="1172"/>
      <c r="C49" s="211"/>
      <c r="D49" s="210"/>
      <c r="E49" s="211"/>
      <c r="F49" s="209"/>
      <c r="G49" s="209"/>
      <c r="H49" s="210"/>
      <c r="I49" s="211">
        <f t="shared" si="3"/>
        <v>0</v>
      </c>
      <c r="J49" s="210"/>
    </row>
    <row r="50" spans="1:10" ht="14.25" customHeight="1">
      <c r="A50" s="1171" t="s">
        <v>317</v>
      </c>
      <c r="B50" s="1172"/>
      <c r="C50" s="211"/>
      <c r="D50" s="210"/>
      <c r="E50" s="211"/>
      <c r="F50" s="209"/>
      <c r="G50" s="209"/>
      <c r="H50" s="210"/>
      <c r="I50" s="211">
        <f t="shared" si="3"/>
        <v>0</v>
      </c>
      <c r="J50" s="210"/>
    </row>
    <row r="51" spans="1:10" ht="14.25" customHeight="1">
      <c r="A51" s="1171" t="s">
        <v>318</v>
      </c>
      <c r="B51" s="1172"/>
      <c r="C51" s="211"/>
      <c r="D51" s="210"/>
      <c r="E51" s="211"/>
      <c r="F51" s="209"/>
      <c r="G51" s="209"/>
      <c r="H51" s="210"/>
      <c r="I51" s="211">
        <f t="shared" si="3"/>
        <v>0</v>
      </c>
      <c r="J51" s="210"/>
    </row>
    <row r="52" spans="1:10" ht="14.25" customHeight="1">
      <c r="A52" s="1155" t="s">
        <v>319</v>
      </c>
      <c r="B52" s="1156"/>
      <c r="C52" s="264"/>
      <c r="D52" s="265"/>
      <c r="E52" s="264"/>
      <c r="F52" s="266"/>
      <c r="G52" s="266"/>
      <c r="H52" s="265"/>
      <c r="I52" s="264"/>
      <c r="J52" s="265"/>
    </row>
    <row r="53" spans="1:10" ht="14.25" customHeight="1">
      <c r="A53" s="1171" t="s">
        <v>320</v>
      </c>
      <c r="B53" s="1172"/>
      <c r="C53" s="211"/>
      <c r="D53" s="210"/>
      <c r="E53" s="211"/>
      <c r="F53" s="209"/>
      <c r="G53" s="209"/>
      <c r="H53" s="210"/>
      <c r="I53" s="211">
        <f>C53+E53+F53+G53</f>
        <v>0</v>
      </c>
      <c r="J53" s="210"/>
    </row>
    <row r="54" spans="1:10" ht="14.25" customHeight="1">
      <c r="A54" s="1171" t="s">
        <v>321</v>
      </c>
      <c r="B54" s="1172"/>
      <c r="C54" s="211">
        <f>98316.13+64098.71</f>
        <v>162414.84</v>
      </c>
      <c r="D54" s="210"/>
      <c r="E54" s="211"/>
      <c r="F54" s="209">
        <f>-49157.79</f>
        <v>-49157.79</v>
      </c>
      <c r="G54" s="209"/>
      <c r="H54" s="210">
        <v>10606.44</v>
      </c>
      <c r="I54" s="211">
        <f>C54+E54+F54+G54</f>
        <v>113257.04999999999</v>
      </c>
      <c r="J54" s="210"/>
    </row>
    <row r="55" spans="1:10" ht="14.25" customHeight="1">
      <c r="A55" s="1171" t="s">
        <v>322</v>
      </c>
      <c r="B55" s="1172"/>
      <c r="C55" s="211"/>
      <c r="D55" s="210"/>
      <c r="E55" s="211"/>
      <c r="F55" s="209"/>
      <c r="G55" s="209"/>
      <c r="H55" s="210"/>
      <c r="I55" s="211">
        <f>C55+E55+F55+G55</f>
        <v>0</v>
      </c>
      <c r="J55" s="210"/>
    </row>
    <row r="56" spans="1:10" ht="14.25" customHeight="1">
      <c r="A56" s="220" t="s">
        <v>323</v>
      </c>
      <c r="B56" s="158"/>
      <c r="C56" s="211"/>
      <c r="D56" s="210"/>
      <c r="E56" s="211"/>
      <c r="F56" s="209"/>
      <c r="G56" s="209"/>
      <c r="H56" s="210"/>
      <c r="I56" s="211">
        <f>C56+E56+F56+G56</f>
        <v>0</v>
      </c>
      <c r="J56" s="210"/>
    </row>
    <row r="57" spans="1:10" ht="14.25" customHeight="1" thickBot="1">
      <c r="A57" s="1169" t="s">
        <v>324</v>
      </c>
      <c r="B57" s="1170"/>
      <c r="C57" s="214">
        <f>800000+400000+2999951.6+88495.6+1200+37918.08</f>
        <v>4327565.279999999</v>
      </c>
      <c r="D57" s="213"/>
      <c r="E57" s="214"/>
      <c r="F57" s="212">
        <f>-400000-2999951.6</f>
        <v>-3399951.6</v>
      </c>
      <c r="G57" s="212"/>
      <c r="H57" s="213"/>
      <c r="I57" s="214">
        <f>C57+E57+F57+G57</f>
        <v>927613.6799999992</v>
      </c>
      <c r="J57" s="213"/>
    </row>
  </sheetData>
  <sheetProtection/>
  <mergeCells count="31">
    <mergeCell ref="A55:B55"/>
    <mergeCell ref="A54:B54"/>
    <mergeCell ref="A7:H7"/>
    <mergeCell ref="A9:H9"/>
    <mergeCell ref="A8:H8"/>
    <mergeCell ref="A19:B19"/>
    <mergeCell ref="A33:B33"/>
    <mergeCell ref="F11:G11"/>
    <mergeCell ref="A40:B40"/>
    <mergeCell ref="A26:B26"/>
    <mergeCell ref="A49:B49"/>
    <mergeCell ref="A41:B41"/>
    <mergeCell ref="A47:B47"/>
    <mergeCell ref="A48:B48"/>
    <mergeCell ref="A45:B45"/>
    <mergeCell ref="A46:B46"/>
    <mergeCell ref="I9:J9"/>
    <mergeCell ref="I7:J8"/>
    <mergeCell ref="A57:B57"/>
    <mergeCell ref="A50:B50"/>
    <mergeCell ref="A51:B51"/>
    <mergeCell ref="A52:B52"/>
    <mergeCell ref="A53:B53"/>
    <mergeCell ref="A13:B13"/>
    <mergeCell ref="E11:E12"/>
    <mergeCell ref="E10:H10"/>
    <mergeCell ref="I10:J10"/>
    <mergeCell ref="C10:D10"/>
    <mergeCell ref="A18:B18"/>
    <mergeCell ref="H11:H12"/>
    <mergeCell ref="A10:B12"/>
  </mergeCells>
  <printOptions horizontalCentered="1" verticalCentered="1"/>
  <pageMargins left="0.21" right="0.2362204724409449" top="0.3" bottom="0.61" header="0" footer="0"/>
  <pageSetup horizontalDpi="600" verticalDpi="600" orientation="landscape" paperSize="9" scale="60" r:id="rId2"/>
  <headerFooter alignWithMargins="0">
    <oddFooter>&amp;L&amp;7Plaza de España, 1
38003 Santa Cruz de Tenerife
Teléfono: 901 501 901
www.tenerife.es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42"/>
  <sheetViews>
    <sheetView showGridLines="0" view="pageBreakPreview" zoomScale="55" zoomScaleNormal="55" zoomScaleSheetLayoutView="55" zoomScalePageLayoutView="0" workbookViewId="0" topLeftCell="A1">
      <selection activeCell="G4" sqref="G4"/>
    </sheetView>
  </sheetViews>
  <sheetFormatPr defaultColWidth="11.57421875" defaultRowHeight="12.75"/>
  <cols>
    <col min="1" max="1" width="10.28125" style="805" customWidth="1"/>
    <col min="2" max="2" width="19.8515625" style="805" hidden="1" customWidth="1"/>
    <col min="3" max="3" width="12.140625" style="805" customWidth="1"/>
    <col min="4" max="4" width="16.421875" style="805" customWidth="1"/>
    <col min="5" max="5" width="10.57421875" style="805" customWidth="1"/>
    <col min="6" max="6" width="11.28125" style="805" customWidth="1"/>
    <col min="7" max="8" width="13.57421875" style="805" customWidth="1"/>
    <col min="9" max="9" width="16.57421875" style="805" customWidth="1"/>
    <col min="10" max="10" width="17.28125" style="805" customWidth="1"/>
    <col min="11" max="11" width="13.28125" style="805" customWidth="1"/>
    <col min="12" max="12" width="15.421875" style="805" customWidth="1"/>
    <col min="13" max="13" width="15.57421875" style="805" customWidth="1"/>
    <col min="14" max="14" width="16.7109375" style="805" customWidth="1"/>
    <col min="15" max="15" width="12.57421875" style="805" customWidth="1"/>
    <col min="16" max="16" width="0" style="267" hidden="1" customWidth="1"/>
    <col min="17" max="17" width="17.140625" style="802" hidden="1" customWidth="1"/>
    <col min="18" max="18" width="17.421875" style="802" hidden="1" customWidth="1"/>
    <col min="19" max="19" width="0.9921875" style="802" hidden="1" customWidth="1"/>
    <col min="20" max="16384" width="11.57421875" style="267" customWidth="1"/>
  </cols>
  <sheetData>
    <row r="1" ht="12.75">
      <c r="G1" s="842" t="s">
        <v>534</v>
      </c>
    </row>
    <row r="2" ht="12.75">
      <c r="G2" s="843" t="s">
        <v>535</v>
      </c>
    </row>
    <row r="4" spans="1:7" ht="12.75">
      <c r="A4" s="849" t="s">
        <v>296</v>
      </c>
      <c r="G4" s="655">
        <v>42339</v>
      </c>
    </row>
    <row r="5" spans="1:7" ht="12.75">
      <c r="A5" s="849" t="s">
        <v>533</v>
      </c>
      <c r="G5" s="656" t="s">
        <v>536</v>
      </c>
    </row>
    <row r="6" spans="1:14" ht="24.75" customHeight="1" thickBot="1">
      <c r="A6" s="804"/>
      <c r="N6" s="804"/>
    </row>
    <row r="7" spans="1:19" s="805" customFormat="1" ht="36" customHeight="1" thickBot="1">
      <c r="A7" s="1222" t="s">
        <v>561</v>
      </c>
      <c r="B7" s="1223"/>
      <c r="C7" s="1223"/>
      <c r="D7" s="1223"/>
      <c r="E7" s="1223"/>
      <c r="F7" s="1223"/>
      <c r="G7" s="1223"/>
      <c r="H7" s="1223"/>
      <c r="I7" s="1223"/>
      <c r="J7" s="1223"/>
      <c r="K7" s="1223"/>
      <c r="L7" s="1223"/>
      <c r="M7" s="1224"/>
      <c r="N7" s="1228">
        <f>CPYG!D7</f>
        <v>2016</v>
      </c>
      <c r="O7" s="1229"/>
      <c r="Q7" s="806"/>
      <c r="R7" s="806"/>
      <c r="S7" s="806"/>
    </row>
    <row r="8" spans="1:15" ht="25.5" customHeight="1" thickBot="1">
      <c r="A8" s="1225" t="str">
        <f>CPYG!A8</f>
        <v>EMPRESA PÚBLICA: INSTITUTO TECNOLOGICO DE ENERGIAS RENOVABLES SA</v>
      </c>
      <c r="B8" s="1226"/>
      <c r="C8" s="1226"/>
      <c r="D8" s="1226"/>
      <c r="E8" s="1226"/>
      <c r="F8" s="1226"/>
      <c r="G8" s="1226"/>
      <c r="H8" s="1226"/>
      <c r="I8" s="1226"/>
      <c r="J8" s="1226"/>
      <c r="K8" s="1226"/>
      <c r="L8" s="1226"/>
      <c r="M8" s="1227"/>
      <c r="N8" s="1225" t="s">
        <v>145</v>
      </c>
      <c r="O8" s="1227"/>
    </row>
    <row r="9" spans="1:15" ht="24.75" customHeight="1">
      <c r="A9" s="1217" t="s">
        <v>90</v>
      </c>
      <c r="B9" s="1218"/>
      <c r="C9" s="1218"/>
      <c r="D9" s="1218"/>
      <c r="E9" s="1218"/>
      <c r="F9" s="1218"/>
      <c r="G9" s="1218"/>
      <c r="H9" s="1218"/>
      <c r="I9" s="1218"/>
      <c r="J9" s="1218"/>
      <c r="K9" s="1218"/>
      <c r="L9" s="1218"/>
      <c r="M9" s="1218"/>
      <c r="N9" s="1218"/>
      <c r="O9" s="1219"/>
    </row>
    <row r="10" spans="1:16" ht="48" customHeight="1">
      <c r="A10" s="1221" t="s">
        <v>389</v>
      </c>
      <c r="B10" s="1195"/>
      <c r="C10" s="1196"/>
      <c r="D10" s="1194" t="s">
        <v>819</v>
      </c>
      <c r="E10" s="1196"/>
      <c r="F10" s="808" t="s">
        <v>820</v>
      </c>
      <c r="G10" s="1208" t="s">
        <v>821</v>
      </c>
      <c r="H10" s="1208"/>
      <c r="I10" s="1208"/>
      <c r="J10" s="1194" t="s">
        <v>822</v>
      </c>
      <c r="K10" s="1196"/>
      <c r="L10" s="1194" t="s">
        <v>662</v>
      </c>
      <c r="M10" s="1196"/>
      <c r="N10" s="1194" t="s">
        <v>663</v>
      </c>
      <c r="O10" s="1220"/>
      <c r="P10" s="809"/>
    </row>
    <row r="11" spans="1:15" ht="24" customHeight="1">
      <c r="A11" s="1214"/>
      <c r="B11" s="1215"/>
      <c r="C11" s="1216"/>
      <c r="D11" s="1197"/>
      <c r="E11" s="1205"/>
      <c r="F11" s="810"/>
      <c r="G11" s="1209"/>
      <c r="H11" s="1210"/>
      <c r="I11" s="1211"/>
      <c r="J11" s="1197"/>
      <c r="K11" s="1205"/>
      <c r="L11" s="1197"/>
      <c r="M11" s="1205"/>
      <c r="N11" s="1197"/>
      <c r="O11" s="1206"/>
    </row>
    <row r="12" spans="1:15" ht="24" customHeight="1">
      <c r="A12" s="1214"/>
      <c r="B12" s="1215"/>
      <c r="C12" s="1216"/>
      <c r="D12" s="1197"/>
      <c r="E12" s="1205"/>
      <c r="F12" s="810"/>
      <c r="G12" s="1207"/>
      <c r="H12" s="1207"/>
      <c r="I12" s="1207"/>
      <c r="J12" s="1197"/>
      <c r="K12" s="1205"/>
      <c r="L12" s="1197"/>
      <c r="M12" s="1198"/>
      <c r="N12" s="1197"/>
      <c r="O12" s="1206"/>
    </row>
    <row r="13" spans="1:15" ht="24" customHeight="1">
      <c r="A13" s="1214"/>
      <c r="B13" s="1215"/>
      <c r="C13" s="1216"/>
      <c r="D13" s="1197"/>
      <c r="E13" s="1205"/>
      <c r="F13" s="810"/>
      <c r="G13" s="1207"/>
      <c r="H13" s="1207"/>
      <c r="I13" s="1207"/>
      <c r="J13" s="1197"/>
      <c r="K13" s="1205"/>
      <c r="L13" s="1197"/>
      <c r="M13" s="1198"/>
      <c r="N13" s="1197"/>
      <c r="O13" s="1206"/>
    </row>
    <row r="14" spans="1:15" ht="24" customHeight="1">
      <c r="A14" s="1214"/>
      <c r="B14" s="1215"/>
      <c r="C14" s="1216"/>
      <c r="D14" s="1197"/>
      <c r="E14" s="1205"/>
      <c r="F14" s="810"/>
      <c r="G14" s="1207"/>
      <c r="H14" s="1207"/>
      <c r="I14" s="1207"/>
      <c r="J14" s="1197"/>
      <c r="K14" s="1205"/>
      <c r="L14" s="1197"/>
      <c r="M14" s="1198"/>
      <c r="N14" s="1197"/>
      <c r="O14" s="1206"/>
    </row>
    <row r="15" spans="1:15" ht="24" customHeight="1">
      <c r="A15" s="1214"/>
      <c r="B15" s="1215"/>
      <c r="C15" s="1216"/>
      <c r="D15" s="1197"/>
      <c r="E15" s="1205"/>
      <c r="F15" s="811"/>
      <c r="G15" s="1207"/>
      <c r="H15" s="1207"/>
      <c r="I15" s="1207"/>
      <c r="J15" s="1197"/>
      <c r="K15" s="1205"/>
      <c r="L15" s="1197"/>
      <c r="M15" s="1198"/>
      <c r="N15" s="1197"/>
      <c r="O15" s="1206"/>
    </row>
    <row r="16" spans="1:15" ht="24.75" customHeight="1">
      <c r="A16" s="1212" t="s">
        <v>138</v>
      </c>
      <c r="B16" s="1208"/>
      <c r="C16" s="1208"/>
      <c r="D16" s="1208"/>
      <c r="E16" s="1208"/>
      <c r="F16" s="1208"/>
      <c r="G16" s="1208"/>
      <c r="H16" s="1208"/>
      <c r="I16" s="1208"/>
      <c r="J16" s="1208"/>
      <c r="K16" s="1208"/>
      <c r="L16" s="1208"/>
      <c r="M16" s="1208"/>
      <c r="N16" s="1208"/>
      <c r="O16" s="1213"/>
    </row>
    <row r="17" spans="1:15" ht="40.5" customHeight="1">
      <c r="A17" s="1212" t="s">
        <v>823</v>
      </c>
      <c r="B17" s="808"/>
      <c r="C17" s="1208" t="s">
        <v>824</v>
      </c>
      <c r="D17" s="1201" t="s">
        <v>825</v>
      </c>
      <c r="E17" s="1202"/>
      <c r="F17" s="1208" t="s">
        <v>826</v>
      </c>
      <c r="G17" s="1199" t="s">
        <v>386</v>
      </c>
      <c r="H17" s="1199" t="s">
        <v>387</v>
      </c>
      <c r="I17" s="1194" t="s">
        <v>664</v>
      </c>
      <c r="J17" s="1196"/>
      <c r="K17" s="1194" t="s">
        <v>658</v>
      </c>
      <c r="L17" s="1195"/>
      <c r="M17" s="1196"/>
      <c r="N17" s="1208" t="s">
        <v>670</v>
      </c>
      <c r="O17" s="1213"/>
    </row>
    <row r="18" spans="1:19" ht="60" customHeight="1">
      <c r="A18" s="1212"/>
      <c r="B18" s="808"/>
      <c r="C18" s="1208"/>
      <c r="D18" s="1203"/>
      <c r="E18" s="1204"/>
      <c r="F18" s="1208"/>
      <c r="G18" s="1200"/>
      <c r="H18" s="1200"/>
      <c r="I18" s="813" t="s">
        <v>562</v>
      </c>
      <c r="J18" s="808" t="s">
        <v>665</v>
      </c>
      <c r="K18" s="808" t="s">
        <v>666</v>
      </c>
      <c r="L18" s="808" t="s">
        <v>667</v>
      </c>
      <c r="M18" s="807" t="s">
        <v>668</v>
      </c>
      <c r="N18" s="807" t="s">
        <v>669</v>
      </c>
      <c r="O18" s="815" t="s">
        <v>827</v>
      </c>
      <c r="Q18" s="816" t="s">
        <v>85</v>
      </c>
      <c r="R18" s="802" t="s">
        <v>576</v>
      </c>
      <c r="S18" s="802" t="s">
        <v>577</v>
      </c>
    </row>
    <row r="19" spans="1:19" s="805" customFormat="1" ht="24" customHeight="1">
      <c r="A19" s="817"/>
      <c r="B19" s="818"/>
      <c r="C19" s="818">
        <v>170</v>
      </c>
      <c r="D19" s="1188" t="s">
        <v>439</v>
      </c>
      <c r="E19" s="1189"/>
      <c r="F19" s="812"/>
      <c r="G19" s="819"/>
      <c r="H19" s="819"/>
      <c r="I19" s="819"/>
      <c r="J19" s="844">
        <v>-506.16</v>
      </c>
      <c r="K19" s="814"/>
      <c r="L19" s="819">
        <v>506.16</v>
      </c>
      <c r="M19" s="819"/>
      <c r="N19" s="823">
        <f>J19+L19</f>
        <v>0</v>
      </c>
      <c r="O19" s="820"/>
      <c r="Q19" s="821"/>
      <c r="R19" s="806"/>
      <c r="S19" s="806"/>
    </row>
    <row r="20" spans="1:19" s="805" customFormat="1" ht="24" customHeight="1">
      <c r="A20" s="822"/>
      <c r="B20" s="818"/>
      <c r="C20" s="818">
        <v>170</v>
      </c>
      <c r="D20" s="1188" t="s">
        <v>440</v>
      </c>
      <c r="E20" s="1189"/>
      <c r="F20" s="812"/>
      <c r="G20" s="819"/>
      <c r="H20" s="819"/>
      <c r="I20" s="819">
        <v>18000000</v>
      </c>
      <c r="J20" s="819">
        <v>11250919.22</v>
      </c>
      <c r="K20" s="819"/>
      <c r="L20" s="819">
        <v>-1233079.09</v>
      </c>
      <c r="M20" s="819"/>
      <c r="N20" s="823">
        <f aca="true" t="shared" si="0" ref="N20:N27">J20+L20</f>
        <v>10017840.13</v>
      </c>
      <c r="O20" s="820"/>
      <c r="P20" s="805">
        <f aca="true" t="shared" si="1" ref="P20:P28">+P19+1</f>
        <v>1</v>
      </c>
      <c r="Q20" s="821">
        <f aca="true" t="shared" si="2" ref="Q20:Q28">+S20-R20</f>
        <v>-492841.42</v>
      </c>
      <c r="R20" s="806">
        <v>492841.42</v>
      </c>
      <c r="S20" s="806">
        <f aca="true" t="shared" si="3" ref="S20:S28">+R19</f>
        <v>0</v>
      </c>
    </row>
    <row r="21" spans="1:19" s="805" customFormat="1" ht="24" customHeight="1">
      <c r="A21" s="822"/>
      <c r="B21" s="818"/>
      <c r="C21" s="818">
        <v>170</v>
      </c>
      <c r="D21" s="1188" t="s">
        <v>441</v>
      </c>
      <c r="E21" s="1189"/>
      <c r="F21" s="812"/>
      <c r="G21" s="819"/>
      <c r="H21" s="819"/>
      <c r="I21" s="819">
        <v>600000</v>
      </c>
      <c r="J21" s="819">
        <v>600000</v>
      </c>
      <c r="K21" s="819"/>
      <c r="L21" s="819">
        <v>-600000</v>
      </c>
      <c r="M21" s="819"/>
      <c r="N21" s="823">
        <f t="shared" si="0"/>
        <v>0</v>
      </c>
      <c r="O21" s="820"/>
      <c r="P21" s="805">
        <f t="shared" si="1"/>
        <v>2</v>
      </c>
      <c r="Q21" s="821">
        <f t="shared" si="2"/>
        <v>53178.25</v>
      </c>
      <c r="R21" s="806">
        <v>439663.17</v>
      </c>
      <c r="S21" s="806">
        <f t="shared" si="3"/>
        <v>492841.42</v>
      </c>
    </row>
    <row r="22" spans="1:19" s="805" customFormat="1" ht="24" customHeight="1">
      <c r="A22" s="822"/>
      <c r="B22" s="818"/>
      <c r="C22" s="818">
        <v>170</v>
      </c>
      <c r="D22" s="1188" t="s">
        <v>441</v>
      </c>
      <c r="E22" s="1189"/>
      <c r="F22" s="812"/>
      <c r="G22" s="819"/>
      <c r="H22" s="819"/>
      <c r="I22" s="819">
        <v>700000</v>
      </c>
      <c r="J22" s="819">
        <v>154279.31</v>
      </c>
      <c r="K22" s="819"/>
      <c r="L22" s="819">
        <v>-154279.31</v>
      </c>
      <c r="M22" s="819"/>
      <c r="N22" s="823">
        <f t="shared" si="0"/>
        <v>0</v>
      </c>
      <c r="O22" s="820"/>
      <c r="P22" s="805">
        <f t="shared" si="1"/>
        <v>3</v>
      </c>
      <c r="Q22" s="821">
        <f t="shared" si="2"/>
        <v>56170.159999999974</v>
      </c>
      <c r="R22" s="806">
        <v>383493.01</v>
      </c>
      <c r="S22" s="806">
        <f t="shared" si="3"/>
        <v>439663.17</v>
      </c>
    </row>
    <row r="23" spans="1:19" s="805" customFormat="1" ht="24" customHeight="1">
      <c r="A23" s="822"/>
      <c r="B23" s="818"/>
      <c r="C23" s="818">
        <v>170</v>
      </c>
      <c r="D23" s="1188" t="s">
        <v>442</v>
      </c>
      <c r="E23" s="1189"/>
      <c r="F23" s="812"/>
      <c r="G23" s="819"/>
      <c r="H23" s="819"/>
      <c r="I23" s="819">
        <v>1300000</v>
      </c>
      <c r="J23" s="819">
        <v>939524.97</v>
      </c>
      <c r="K23" s="819"/>
      <c r="L23" s="819">
        <v>-105949.71</v>
      </c>
      <c r="M23" s="819"/>
      <c r="N23" s="823">
        <f t="shared" si="0"/>
        <v>833575.26</v>
      </c>
      <c r="O23" s="820"/>
      <c r="P23" s="805">
        <f t="shared" si="1"/>
        <v>4</v>
      </c>
      <c r="Q23" s="821">
        <f t="shared" si="2"/>
        <v>59330.42999999999</v>
      </c>
      <c r="R23" s="806">
        <v>324162.58</v>
      </c>
      <c r="S23" s="806">
        <f t="shared" si="3"/>
        <v>383493.01</v>
      </c>
    </row>
    <row r="24" spans="1:19" s="805" customFormat="1" ht="24" customHeight="1">
      <c r="A24" s="822"/>
      <c r="B24" s="818"/>
      <c r="C24" s="818">
        <v>170</v>
      </c>
      <c r="D24" s="1188" t="s">
        <v>443</v>
      </c>
      <c r="E24" s="1189"/>
      <c r="F24" s="812"/>
      <c r="G24" s="819"/>
      <c r="H24" s="819"/>
      <c r="I24" s="819">
        <v>3000000</v>
      </c>
      <c r="J24" s="819">
        <v>2250000</v>
      </c>
      <c r="K24" s="819"/>
      <c r="L24" s="819">
        <v>-750000</v>
      </c>
      <c r="M24" s="819"/>
      <c r="N24" s="823">
        <f t="shared" si="0"/>
        <v>1500000</v>
      </c>
      <c r="O24" s="820"/>
      <c r="P24" s="805">
        <f t="shared" si="1"/>
        <v>5</v>
      </c>
      <c r="Q24" s="821">
        <f t="shared" si="2"/>
        <v>62668.49000000002</v>
      </c>
      <c r="R24" s="806">
        <v>261494.09</v>
      </c>
      <c r="S24" s="806">
        <f t="shared" si="3"/>
        <v>324162.58</v>
      </c>
    </row>
    <row r="25" spans="1:19" s="805" customFormat="1" ht="24" customHeight="1">
      <c r="A25" s="822"/>
      <c r="B25" s="818"/>
      <c r="C25" s="818">
        <v>171</v>
      </c>
      <c r="D25" s="1188" t="s">
        <v>444</v>
      </c>
      <c r="E25" s="1189"/>
      <c r="F25" s="812"/>
      <c r="G25" s="812"/>
      <c r="H25" s="812"/>
      <c r="I25" s="845"/>
      <c r="J25" s="845">
        <v>3714020.04</v>
      </c>
      <c r="K25" s="845"/>
      <c r="L25" s="819">
        <v>-1772588.555</v>
      </c>
      <c r="M25" s="845"/>
      <c r="N25" s="823">
        <f t="shared" si="0"/>
        <v>1941431.485</v>
      </c>
      <c r="O25" s="820"/>
      <c r="P25" s="805">
        <f t="shared" si="1"/>
        <v>6</v>
      </c>
      <c r="Q25" s="821">
        <f t="shared" si="2"/>
        <v>66194.34</v>
      </c>
      <c r="R25" s="806">
        <v>195299.75</v>
      </c>
      <c r="S25" s="806">
        <f t="shared" si="3"/>
        <v>261494.09</v>
      </c>
    </row>
    <row r="26" spans="1:19" s="805" customFormat="1" ht="24" customHeight="1">
      <c r="A26" s="822"/>
      <c r="B26" s="818"/>
      <c r="C26" s="818">
        <v>173</v>
      </c>
      <c r="D26" s="1188" t="s">
        <v>445</v>
      </c>
      <c r="E26" s="1189"/>
      <c r="F26" s="812"/>
      <c r="G26" s="812"/>
      <c r="H26" s="812"/>
      <c r="I26" s="845"/>
      <c r="J26" s="845">
        <v>98316.13</v>
      </c>
      <c r="K26" s="845"/>
      <c r="L26" s="819">
        <v>-49157.79</v>
      </c>
      <c r="M26" s="845"/>
      <c r="N26" s="823">
        <f t="shared" si="0"/>
        <v>49158.340000000004</v>
      </c>
      <c r="O26" s="820"/>
      <c r="P26" s="805">
        <f t="shared" si="1"/>
        <v>7</v>
      </c>
      <c r="Q26" s="821">
        <f t="shared" si="2"/>
        <v>69918.59</v>
      </c>
      <c r="R26" s="806">
        <v>125381.16</v>
      </c>
      <c r="S26" s="806">
        <f t="shared" si="3"/>
        <v>195299.75</v>
      </c>
    </row>
    <row r="27" spans="1:19" s="805" customFormat="1" ht="24" customHeight="1">
      <c r="A27" s="822"/>
      <c r="B27" s="818"/>
      <c r="C27" s="818">
        <v>171</v>
      </c>
      <c r="D27" s="1188" t="s">
        <v>446</v>
      </c>
      <c r="E27" s="1189"/>
      <c r="F27" s="812"/>
      <c r="G27" s="812"/>
      <c r="H27" s="812"/>
      <c r="I27" s="845"/>
      <c r="J27" s="845">
        <v>800000</v>
      </c>
      <c r="K27" s="845"/>
      <c r="L27" s="819">
        <v>-400000</v>
      </c>
      <c r="M27" s="845"/>
      <c r="N27" s="824">
        <f t="shared" si="0"/>
        <v>400000</v>
      </c>
      <c r="O27" s="820"/>
      <c r="P27" s="805">
        <f t="shared" si="1"/>
        <v>8</v>
      </c>
      <c r="Q27" s="821">
        <f t="shared" si="2"/>
        <v>73852.37</v>
      </c>
      <c r="R27" s="806">
        <v>51528.79</v>
      </c>
      <c r="S27" s="806">
        <f t="shared" si="3"/>
        <v>125381.16</v>
      </c>
    </row>
    <row r="28" spans="1:19" s="805" customFormat="1" ht="24" customHeight="1" thickBot="1">
      <c r="A28" s="825"/>
      <c r="B28" s="818"/>
      <c r="C28" s="826"/>
      <c r="D28" s="1192"/>
      <c r="E28" s="1193"/>
      <c r="F28" s="827"/>
      <c r="G28" s="827"/>
      <c r="H28" s="827"/>
      <c r="I28" s="846"/>
      <c r="J28" s="846"/>
      <c r="K28" s="846"/>
      <c r="L28" s="846"/>
      <c r="M28" s="846"/>
      <c r="N28" s="829"/>
      <c r="O28" s="830"/>
      <c r="P28" s="805">
        <f t="shared" si="1"/>
        <v>9</v>
      </c>
      <c r="Q28" s="821">
        <f t="shared" si="2"/>
        <v>51528.79</v>
      </c>
      <c r="R28" s="806">
        <v>0</v>
      </c>
      <c r="S28" s="806">
        <f t="shared" si="3"/>
        <v>51528.79</v>
      </c>
    </row>
    <row r="29" spans="1:19" s="805" customFormat="1" ht="24" customHeight="1" thickBot="1">
      <c r="A29" s="831" t="s">
        <v>91</v>
      </c>
      <c r="B29" s="832"/>
      <c r="C29" s="833"/>
      <c r="D29" s="1190"/>
      <c r="E29" s="1191"/>
      <c r="F29" s="834"/>
      <c r="G29" s="834"/>
      <c r="H29" s="834"/>
      <c r="I29" s="847">
        <f aca="true" t="shared" si="4" ref="I29:N29">SUM(I19:I28)</f>
        <v>23600000</v>
      </c>
      <c r="J29" s="847">
        <f t="shared" si="4"/>
        <v>19806553.51</v>
      </c>
      <c r="K29" s="847">
        <f>SUM(K20:K28)</f>
        <v>0</v>
      </c>
      <c r="L29" s="847">
        <f t="shared" si="4"/>
        <v>-5064548.295</v>
      </c>
      <c r="M29" s="847">
        <f t="shared" si="4"/>
        <v>0</v>
      </c>
      <c r="N29" s="847">
        <f t="shared" si="4"/>
        <v>14742005.215</v>
      </c>
      <c r="O29" s="836"/>
      <c r="Q29" s="806"/>
      <c r="R29" s="806"/>
      <c r="S29" s="806"/>
    </row>
    <row r="30" spans="1:15" ht="12.75">
      <c r="A30" s="837"/>
      <c r="B30" s="838"/>
      <c r="C30" s="838"/>
      <c r="D30" s="839"/>
      <c r="E30" s="837"/>
      <c r="F30" s="837"/>
      <c r="G30" s="837"/>
      <c r="H30" s="837"/>
      <c r="I30" s="837"/>
      <c r="J30" s="837"/>
      <c r="K30" s="837"/>
      <c r="L30" s="837"/>
      <c r="M30" s="837"/>
      <c r="N30" s="840"/>
      <c r="O30" s="841"/>
    </row>
    <row r="31" spans="1:19" s="962" customFormat="1" ht="12.75" hidden="1">
      <c r="A31" s="961" t="s">
        <v>87</v>
      </c>
      <c r="B31" s="961"/>
      <c r="C31" s="961"/>
      <c r="D31" s="961"/>
      <c r="E31" s="961"/>
      <c r="F31" s="961"/>
      <c r="G31" s="961"/>
      <c r="H31" s="961"/>
      <c r="I31" s="961"/>
      <c r="J31" s="961"/>
      <c r="K31" s="961"/>
      <c r="L31" s="961"/>
      <c r="M31" s="961"/>
      <c r="N31" s="961"/>
      <c r="O31" s="961"/>
      <c r="Q31" s="963"/>
      <c r="R31" s="963"/>
      <c r="S31" s="963"/>
    </row>
    <row r="32" spans="1:19" s="962" customFormat="1" ht="12.75" hidden="1">
      <c r="A32" s="961" t="s">
        <v>388</v>
      </c>
      <c r="B32" s="961"/>
      <c r="C32" s="961"/>
      <c r="D32" s="961"/>
      <c r="E32" s="961"/>
      <c r="F32" s="961"/>
      <c r="G32" s="961"/>
      <c r="H32" s="961"/>
      <c r="I32" s="961"/>
      <c r="J32" s="961"/>
      <c r="K32" s="961"/>
      <c r="L32" s="961"/>
      <c r="M32" s="961"/>
      <c r="N32" s="961"/>
      <c r="O32" s="961"/>
      <c r="Q32" s="963"/>
      <c r="R32" s="963"/>
      <c r="S32" s="963"/>
    </row>
    <row r="33" spans="1:19" s="962" customFormat="1" ht="12.75" hidden="1">
      <c r="A33" s="961" t="s">
        <v>139</v>
      </c>
      <c r="B33" s="961"/>
      <c r="C33" s="961"/>
      <c r="D33" s="961"/>
      <c r="E33" s="961"/>
      <c r="F33" s="961"/>
      <c r="G33" s="961"/>
      <c r="H33" s="961"/>
      <c r="I33" s="961"/>
      <c r="J33" s="961"/>
      <c r="K33" s="961"/>
      <c r="L33" s="961"/>
      <c r="M33" s="961"/>
      <c r="N33" s="961"/>
      <c r="O33" s="961"/>
      <c r="Q33" s="963"/>
      <c r="R33" s="963"/>
      <c r="S33" s="963"/>
    </row>
    <row r="34" spans="1:19" s="962" customFormat="1" ht="12.75" hidden="1">
      <c r="A34" s="961" t="s">
        <v>563</v>
      </c>
      <c r="B34" s="961"/>
      <c r="C34" s="961"/>
      <c r="D34" s="961"/>
      <c r="E34" s="961"/>
      <c r="F34" s="961"/>
      <c r="G34" s="961"/>
      <c r="H34" s="961"/>
      <c r="I34" s="961"/>
      <c r="J34" s="961"/>
      <c r="K34" s="961"/>
      <c r="L34" s="961"/>
      <c r="M34" s="961"/>
      <c r="N34" s="961"/>
      <c r="O34" s="961"/>
      <c r="Q34" s="963"/>
      <c r="R34" s="963"/>
      <c r="S34" s="963"/>
    </row>
    <row r="35" spans="1:19" s="962" customFormat="1" ht="12.75" hidden="1">
      <c r="A35" s="961"/>
      <c r="B35" s="961"/>
      <c r="C35" s="961"/>
      <c r="D35" s="961"/>
      <c r="E35" s="961"/>
      <c r="F35" s="961"/>
      <c r="G35" s="961"/>
      <c r="H35" s="961"/>
      <c r="I35" s="961"/>
      <c r="J35" s="961"/>
      <c r="K35" s="961"/>
      <c r="L35" s="961"/>
      <c r="M35" s="961"/>
      <c r="N35" s="961"/>
      <c r="O35" s="961"/>
      <c r="Q35" s="963"/>
      <c r="R35" s="963"/>
      <c r="S35" s="963"/>
    </row>
    <row r="36" ht="12.75" hidden="1"/>
    <row r="39" ht="12.75">
      <c r="A39" s="848"/>
    </row>
    <row r="40" ht="12.75">
      <c r="A40" s="848"/>
    </row>
    <row r="41" ht="12.75">
      <c r="A41" s="848"/>
    </row>
    <row r="42" ht="12.75">
      <c r="A42" s="848"/>
    </row>
  </sheetData>
  <sheetProtection/>
  <mergeCells count="62">
    <mergeCell ref="A7:M7"/>
    <mergeCell ref="A8:M8"/>
    <mergeCell ref="N7:O7"/>
    <mergeCell ref="N11:O11"/>
    <mergeCell ref="N8:O8"/>
    <mergeCell ref="J11:K11"/>
    <mergeCell ref="D10:E10"/>
    <mergeCell ref="A11:C11"/>
    <mergeCell ref="D11:E11"/>
    <mergeCell ref="L11:M11"/>
    <mergeCell ref="L12:M12"/>
    <mergeCell ref="A12:C12"/>
    <mergeCell ref="A9:O9"/>
    <mergeCell ref="G10:I10"/>
    <mergeCell ref="N10:O10"/>
    <mergeCell ref="L10:M10"/>
    <mergeCell ref="J10:K10"/>
    <mergeCell ref="A10:C10"/>
    <mergeCell ref="J12:K12"/>
    <mergeCell ref="G12:I12"/>
    <mergeCell ref="A15:C15"/>
    <mergeCell ref="D15:E15"/>
    <mergeCell ref="A14:C14"/>
    <mergeCell ref="A13:C13"/>
    <mergeCell ref="C17:C18"/>
    <mergeCell ref="G11:I11"/>
    <mergeCell ref="G17:G18"/>
    <mergeCell ref="A16:O16"/>
    <mergeCell ref="A17:A18"/>
    <mergeCell ref="F17:F18"/>
    <mergeCell ref="N14:O14"/>
    <mergeCell ref="N12:O12"/>
    <mergeCell ref="N17:O17"/>
    <mergeCell ref="D12:E12"/>
    <mergeCell ref="N15:O15"/>
    <mergeCell ref="L15:M15"/>
    <mergeCell ref="N13:O13"/>
    <mergeCell ref="G13:I13"/>
    <mergeCell ref="J14:K14"/>
    <mergeCell ref="G14:I14"/>
    <mergeCell ref="L14:M14"/>
    <mergeCell ref="J13:K13"/>
    <mergeCell ref="G15:I15"/>
    <mergeCell ref="K17:M17"/>
    <mergeCell ref="D20:E20"/>
    <mergeCell ref="D22:E22"/>
    <mergeCell ref="L13:M13"/>
    <mergeCell ref="I17:J17"/>
    <mergeCell ref="H17:H18"/>
    <mergeCell ref="D17:E18"/>
    <mergeCell ref="J15:K15"/>
    <mergeCell ref="D13:E13"/>
    <mergeCell ref="D14:E14"/>
    <mergeCell ref="D29:E29"/>
    <mergeCell ref="D25:E25"/>
    <mergeCell ref="D26:E26"/>
    <mergeCell ref="D27:E27"/>
    <mergeCell ref="D28:E28"/>
    <mergeCell ref="D24:E24"/>
    <mergeCell ref="D19:E19"/>
    <mergeCell ref="D23:E23"/>
    <mergeCell ref="D21:E21"/>
  </mergeCells>
  <dataValidations count="4">
    <dataValidation type="list" allowBlank="1" showInputMessage="1" showErrorMessage="1" promptTitle="Tipo" prompt="Deberá indicar seleccionar el mismo&#10;" sqref="F19:F29">
      <formula1>$E$39:$E$42</formula1>
    </dataValidation>
    <dataValidation allowBlank="1" showInputMessage="1" showErrorMessage="1" prompt="Este número está correlacionado con el Aval del Cabildo, en su caso.&#10;" sqref="G19:H29"/>
    <dataValidation allowBlank="1" showInputMessage="1" showErrorMessage="1" prompt="LO QUE QUEDA POR PAGAR SIN INTERESES. RESPECTO DE PÓLIZAS DE CRÉDITOS ES LO QUE ESTÁ DISPUESTO A ESA FECHA." sqref="J19:J29"/>
    <dataValidation allowBlank="1" showInputMessage="1" showErrorMessage="1" promptTitle="Epígrafe Pasivo Balance" prompt="Incluir en dónde figura del Pasivo del Balance la disposición o reducción de pólizas y préstamos" sqref="C19:C29"/>
  </dataValidations>
  <printOptions horizontalCentered="1" verticalCentered="1"/>
  <pageMargins left="0.29" right="0.2362204724409449" top="0.24" bottom="0.63" header="0" footer="0"/>
  <pageSetup horizontalDpi="300" verticalDpi="300" orientation="landscape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1"/>
  <sheetViews>
    <sheetView zoomScale="95" zoomScaleNormal="95" zoomScalePageLayoutView="0" workbookViewId="0" topLeftCell="A7">
      <selection activeCell="D28" sqref="D28"/>
    </sheetView>
  </sheetViews>
  <sheetFormatPr defaultColWidth="11.421875" defaultRowHeight="12.75"/>
  <cols>
    <col min="1" max="1" width="28.57421875" style="109" customWidth="1"/>
    <col min="2" max="2" width="23.8515625" style="109" customWidth="1"/>
    <col min="3" max="3" width="13.7109375" style="109" bestFit="1" customWidth="1"/>
    <col min="4" max="5" width="13.7109375" style="123" bestFit="1" customWidth="1"/>
    <col min="6" max="6" width="14.28125" style="123" bestFit="1" customWidth="1"/>
    <col min="7" max="7" width="13.7109375" style="123" bestFit="1" customWidth="1"/>
    <col min="8" max="8" width="14.28125" style="123" bestFit="1" customWidth="1"/>
    <col min="9" max="16384" width="11.421875" style="109" customWidth="1"/>
  </cols>
  <sheetData>
    <row r="1" spans="1:10" ht="54" customHeight="1">
      <c r="A1" s="1230" t="s">
        <v>43</v>
      </c>
      <c r="B1" s="1231"/>
      <c r="C1" s="1231"/>
      <c r="D1" s="1231"/>
      <c r="E1" s="1231"/>
      <c r="F1" s="1231"/>
      <c r="G1" s="1232"/>
      <c r="H1" s="108">
        <v>2011</v>
      </c>
      <c r="I1"/>
      <c r="J1"/>
    </row>
    <row r="2" spans="1:10" s="110" customFormat="1" ht="17.25" thickBot="1">
      <c r="A2" s="1233" t="s">
        <v>44</v>
      </c>
      <c r="B2" s="1234"/>
      <c r="C2" s="1234"/>
      <c r="D2" s="1234"/>
      <c r="E2" s="1234"/>
      <c r="F2" s="1234"/>
      <c r="G2" s="1235"/>
      <c r="H2" s="120" t="s">
        <v>573</v>
      </c>
      <c r="I2"/>
      <c r="J2"/>
    </row>
    <row r="3" spans="1:8" ht="13.5" customHeight="1" thickBot="1">
      <c r="A3" s="1236" t="s">
        <v>45</v>
      </c>
      <c r="B3" s="1237"/>
      <c r="C3" s="1237"/>
      <c r="D3" s="1237"/>
      <c r="E3" s="1237"/>
      <c r="F3" s="1237"/>
      <c r="G3" s="1237"/>
      <c r="H3" s="1238"/>
    </row>
    <row r="4" spans="3:8" ht="20.25" customHeight="1">
      <c r="C4" s="1239">
        <v>2009</v>
      </c>
      <c r="D4" s="1239"/>
      <c r="E4" s="1239" t="s">
        <v>693</v>
      </c>
      <c r="F4" s="1239"/>
      <c r="G4" s="1239" t="s">
        <v>692</v>
      </c>
      <c r="H4" s="1239"/>
    </row>
    <row r="5" spans="1:8" ht="24.75">
      <c r="A5" s="111" t="s">
        <v>46</v>
      </c>
      <c r="B5" s="111" t="s">
        <v>574</v>
      </c>
      <c r="C5" s="112" t="s">
        <v>47</v>
      </c>
      <c r="D5" s="112" t="s">
        <v>48</v>
      </c>
      <c r="E5" s="112" t="s">
        <v>47</v>
      </c>
      <c r="F5" s="112" t="s">
        <v>48</v>
      </c>
      <c r="G5" s="112" t="s">
        <v>47</v>
      </c>
      <c r="H5" s="112" t="s">
        <v>48</v>
      </c>
    </row>
    <row r="6" spans="1:8" ht="15.75">
      <c r="A6" s="111" t="s">
        <v>49</v>
      </c>
      <c r="B6" s="111" t="s">
        <v>50</v>
      </c>
      <c r="C6" s="126">
        <v>27900</v>
      </c>
      <c r="D6" s="126">
        <v>27900</v>
      </c>
      <c r="E6" s="126">
        <v>27840</v>
      </c>
      <c r="F6" s="126">
        <v>27840</v>
      </c>
      <c r="G6" s="126">
        <v>28950</v>
      </c>
      <c r="H6" s="126">
        <v>28950</v>
      </c>
    </row>
    <row r="7" spans="1:8" ht="15.75">
      <c r="A7" s="111" t="s">
        <v>49</v>
      </c>
      <c r="B7" s="111" t="s">
        <v>51</v>
      </c>
      <c r="C7" s="126">
        <v>15390</v>
      </c>
      <c r="D7" s="126">
        <v>15390</v>
      </c>
      <c r="E7" s="126">
        <v>2780</v>
      </c>
      <c r="F7" s="126">
        <v>2780</v>
      </c>
      <c r="G7" s="126">
        <v>2810</v>
      </c>
      <c r="H7" s="126">
        <v>2810</v>
      </c>
    </row>
    <row r="8" spans="1:8" ht="16.5">
      <c r="A8" s="111"/>
      <c r="B8" s="111"/>
      <c r="C8" s="124"/>
      <c r="D8" s="124"/>
      <c r="E8" s="124"/>
      <c r="F8" s="124"/>
      <c r="G8" s="124"/>
      <c r="H8" s="124"/>
    </row>
    <row r="9" spans="1:8" ht="16.5">
      <c r="A9" s="111"/>
      <c r="B9" s="111"/>
      <c r="C9" s="124"/>
      <c r="D9" s="124"/>
      <c r="E9" s="124"/>
      <c r="F9" s="124"/>
      <c r="G9" s="124"/>
      <c r="H9" s="124"/>
    </row>
    <row r="10" spans="1:8" ht="16.5">
      <c r="A10" s="111"/>
      <c r="B10" s="111"/>
      <c r="C10" s="124"/>
      <c r="D10" s="124"/>
      <c r="E10" s="124"/>
      <c r="F10" s="124"/>
      <c r="G10" s="124"/>
      <c r="H10" s="124"/>
    </row>
    <row r="11" spans="1:8" ht="16.5">
      <c r="A11" s="111"/>
      <c r="B11" s="111"/>
      <c r="C11" s="124"/>
      <c r="D11" s="124"/>
      <c r="E11" s="124"/>
      <c r="F11" s="124"/>
      <c r="G11" s="124"/>
      <c r="H11" s="124"/>
    </row>
    <row r="12" spans="1:8" ht="15.75">
      <c r="A12" s="113"/>
      <c r="B12" s="114"/>
      <c r="C12" s="125"/>
      <c r="D12" s="125"/>
      <c r="E12" s="125"/>
      <c r="F12" s="125"/>
      <c r="G12" s="125"/>
      <c r="H12" s="125"/>
    </row>
    <row r="13" spans="1:8" ht="15.75">
      <c r="A13" s="113"/>
      <c r="B13" s="114"/>
      <c r="C13" s="125"/>
      <c r="D13" s="125"/>
      <c r="E13" s="125"/>
      <c r="F13" s="125"/>
      <c r="G13" s="125"/>
      <c r="H13" s="125"/>
    </row>
    <row r="14" spans="1:8" ht="15.75">
      <c r="A14" s="113"/>
      <c r="B14" s="114"/>
      <c r="C14" s="125"/>
      <c r="D14" s="125"/>
      <c r="E14" s="125"/>
      <c r="F14" s="125"/>
      <c r="G14" s="125"/>
      <c r="H14" s="125"/>
    </row>
    <row r="15" spans="1:8" ht="17.25" thickBot="1">
      <c r="A15" s="1241" t="s">
        <v>91</v>
      </c>
      <c r="B15" s="1242"/>
      <c r="C15" s="127">
        <f aca="true" t="shared" si="0" ref="C15:H15">SUM(C6:C14)</f>
        <v>43290</v>
      </c>
      <c r="D15" s="127">
        <f t="shared" si="0"/>
        <v>43290</v>
      </c>
      <c r="E15" s="127">
        <f t="shared" si="0"/>
        <v>30620</v>
      </c>
      <c r="F15" s="127">
        <f t="shared" si="0"/>
        <v>30620</v>
      </c>
      <c r="G15" s="127">
        <f t="shared" si="0"/>
        <v>31760</v>
      </c>
      <c r="H15" s="127">
        <f t="shared" si="0"/>
        <v>31760</v>
      </c>
    </row>
    <row r="16" spans="1:8" ht="6.75" customHeight="1" thickBot="1">
      <c r="A16" s="115"/>
      <c r="B16" s="116"/>
      <c r="C16" s="117"/>
      <c r="D16" s="117"/>
      <c r="E16" s="118"/>
      <c r="F16" s="118"/>
      <c r="G16" s="118"/>
      <c r="H16" s="119"/>
    </row>
    <row r="17" spans="3:8" ht="15.75" customHeight="1">
      <c r="C17" s="1240">
        <v>2009</v>
      </c>
      <c r="D17" s="1240"/>
      <c r="E17" s="1240" t="s">
        <v>693</v>
      </c>
      <c r="F17" s="1240"/>
      <c r="G17" s="1240" t="s">
        <v>692</v>
      </c>
      <c r="H17" s="1240"/>
    </row>
    <row r="18" spans="1:8" ht="24.75">
      <c r="A18" s="111" t="s">
        <v>52</v>
      </c>
      <c r="B18" s="111" t="s">
        <v>574</v>
      </c>
      <c r="C18" s="112" t="s">
        <v>53</v>
      </c>
      <c r="D18" s="112" t="s">
        <v>48</v>
      </c>
      <c r="E18" s="112" t="s">
        <v>53</v>
      </c>
      <c r="F18" s="112" t="s">
        <v>48</v>
      </c>
      <c r="G18" s="112" t="s">
        <v>53</v>
      </c>
      <c r="H18" s="112" t="s">
        <v>48</v>
      </c>
    </row>
    <row r="19" spans="1:8" ht="15.75">
      <c r="A19" s="111" t="s">
        <v>54</v>
      </c>
      <c r="B19" s="111" t="s">
        <v>55</v>
      </c>
      <c r="C19" s="129">
        <v>4875</v>
      </c>
      <c r="D19" s="129">
        <v>4875</v>
      </c>
      <c r="E19" s="129">
        <v>0</v>
      </c>
      <c r="F19" s="129">
        <v>0</v>
      </c>
      <c r="G19" s="129">
        <v>0</v>
      </c>
      <c r="H19" s="129">
        <v>0</v>
      </c>
    </row>
    <row r="20" spans="1:8" ht="15.75">
      <c r="A20" s="111" t="s">
        <v>56</v>
      </c>
      <c r="B20" s="111" t="s">
        <v>55</v>
      </c>
      <c r="C20" s="129">
        <v>2025</v>
      </c>
      <c r="D20" s="129">
        <v>2025</v>
      </c>
      <c r="E20" s="129">
        <v>0</v>
      </c>
      <c r="F20" s="129">
        <v>0</v>
      </c>
      <c r="G20" s="129">
        <v>0</v>
      </c>
      <c r="H20" s="129">
        <v>0</v>
      </c>
    </row>
    <row r="21" spans="1:8" ht="15.75">
      <c r="A21" s="111" t="s">
        <v>57</v>
      </c>
      <c r="B21" s="111" t="s">
        <v>58</v>
      </c>
      <c r="C21" s="129">
        <v>146.51</v>
      </c>
      <c r="D21" s="129">
        <v>146.51</v>
      </c>
      <c r="E21" s="129">
        <v>0</v>
      </c>
      <c r="F21" s="129">
        <v>0</v>
      </c>
      <c r="G21" s="129">
        <v>0</v>
      </c>
      <c r="H21" s="129">
        <v>0</v>
      </c>
    </row>
    <row r="22" spans="1:8" ht="15.75">
      <c r="A22" s="111" t="s">
        <v>59</v>
      </c>
      <c r="B22" s="111" t="s">
        <v>60</v>
      </c>
      <c r="C22" s="129">
        <v>5610.54</v>
      </c>
      <c r="D22" s="129">
        <v>5610.54</v>
      </c>
      <c r="E22" s="129">
        <v>0</v>
      </c>
      <c r="F22" s="129">
        <v>0</v>
      </c>
      <c r="G22" s="129">
        <v>0</v>
      </c>
      <c r="H22" s="129">
        <v>0</v>
      </c>
    </row>
    <row r="23" spans="1:8" ht="15.75">
      <c r="A23" s="111" t="s">
        <v>61</v>
      </c>
      <c r="B23" s="111" t="s">
        <v>62</v>
      </c>
      <c r="C23" s="129">
        <v>5813.99</v>
      </c>
      <c r="D23" s="129">
        <v>5813.99</v>
      </c>
      <c r="E23" s="129">
        <v>460</v>
      </c>
      <c r="F23" s="129">
        <v>460</v>
      </c>
      <c r="G23" s="129">
        <v>2040</v>
      </c>
      <c r="H23" s="129">
        <v>2040</v>
      </c>
    </row>
    <row r="24" spans="1:8" ht="15.75">
      <c r="A24" s="111" t="s">
        <v>49</v>
      </c>
      <c r="B24" s="111" t="s">
        <v>50</v>
      </c>
      <c r="C24" s="129">
        <v>73630</v>
      </c>
      <c r="D24" s="129">
        <v>73630</v>
      </c>
      <c r="E24" s="129">
        <v>76730</v>
      </c>
      <c r="F24" s="129">
        <v>76730</v>
      </c>
      <c r="G24" s="129">
        <v>79800</v>
      </c>
      <c r="H24" s="129">
        <v>79800</v>
      </c>
    </row>
    <row r="25" spans="1:8" ht="15.75">
      <c r="A25" s="111" t="s">
        <v>49</v>
      </c>
      <c r="B25" s="111" t="s">
        <v>63</v>
      </c>
      <c r="C25" s="130">
        <v>6878.96</v>
      </c>
      <c r="D25" s="130">
        <v>6878.96</v>
      </c>
      <c r="E25" s="130">
        <v>4530</v>
      </c>
      <c r="F25" s="130">
        <v>4530</v>
      </c>
      <c r="G25" s="130">
        <v>4580</v>
      </c>
      <c r="H25" s="130">
        <v>4580</v>
      </c>
    </row>
    <row r="26" spans="1:8" ht="18.75" customHeight="1">
      <c r="A26" s="113"/>
      <c r="B26" s="114"/>
      <c r="C26" s="128"/>
      <c r="D26" s="128"/>
      <c r="E26" s="128"/>
      <c r="F26" s="128"/>
      <c r="G26" s="128"/>
      <c r="H26" s="128"/>
    </row>
    <row r="27" spans="1:8" ht="15.75">
      <c r="A27" s="113"/>
      <c r="B27" s="114"/>
      <c r="C27" s="128"/>
      <c r="D27" s="128"/>
      <c r="E27" s="128"/>
      <c r="F27" s="128"/>
      <c r="G27" s="128"/>
      <c r="H27" s="128"/>
    </row>
    <row r="28" spans="1:8" ht="17.25" thickBot="1">
      <c r="A28" s="1241" t="s">
        <v>91</v>
      </c>
      <c r="B28" s="1242"/>
      <c r="C28" s="131">
        <f aca="true" t="shared" si="1" ref="C28:H28">SUM(C19:C27)</f>
        <v>98980.00000000001</v>
      </c>
      <c r="D28" s="131">
        <f t="shared" si="1"/>
        <v>98980.00000000001</v>
      </c>
      <c r="E28" s="131">
        <f t="shared" si="1"/>
        <v>81720</v>
      </c>
      <c r="F28" s="131">
        <f t="shared" si="1"/>
        <v>81720</v>
      </c>
      <c r="G28" s="131">
        <f t="shared" si="1"/>
        <v>86420</v>
      </c>
      <c r="H28" s="131">
        <f t="shared" si="1"/>
        <v>86420</v>
      </c>
    </row>
    <row r="29" spans="1:8" ht="13.5" thickBot="1">
      <c r="A29" s="115"/>
      <c r="B29" s="116"/>
      <c r="C29" s="116"/>
      <c r="D29" s="116"/>
      <c r="E29" s="121"/>
      <c r="F29" s="121"/>
      <c r="G29" s="121"/>
      <c r="H29" s="122"/>
    </row>
    <row r="31" ht="21.75" customHeight="1">
      <c r="A31" s="109" t="s">
        <v>575</v>
      </c>
    </row>
    <row r="32" ht="54" customHeight="1"/>
  </sheetData>
  <sheetProtection/>
  <mergeCells count="11">
    <mergeCell ref="G17:H17"/>
    <mergeCell ref="A28:B28"/>
    <mergeCell ref="A15:B15"/>
    <mergeCell ref="C17:D17"/>
    <mergeCell ref="E17:F17"/>
    <mergeCell ref="A1:G1"/>
    <mergeCell ref="A2:G2"/>
    <mergeCell ref="A3:H3"/>
    <mergeCell ref="C4:D4"/>
    <mergeCell ref="E4:F4"/>
    <mergeCell ref="G4:H4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39"/>
  <sheetViews>
    <sheetView showGridLines="0" view="pageBreakPreview" zoomScale="55" zoomScaleNormal="80" zoomScaleSheetLayoutView="55" zoomScalePageLayoutView="0" workbookViewId="0" topLeftCell="A1">
      <selection activeCell="F4" sqref="F4"/>
    </sheetView>
  </sheetViews>
  <sheetFormatPr defaultColWidth="11.57421875" defaultRowHeight="12.75"/>
  <cols>
    <col min="1" max="1" width="10.28125" style="267" customWidth="1"/>
    <col min="2" max="2" width="19.8515625" style="267" hidden="1" customWidth="1"/>
    <col min="3" max="3" width="26.28125" style="267" customWidth="1"/>
    <col min="4" max="4" width="13.28125" style="267" customWidth="1"/>
    <col min="5" max="5" width="21.421875" style="267" customWidth="1"/>
    <col min="6" max="6" width="13.8515625" style="267" customWidth="1"/>
    <col min="7" max="8" width="15.7109375" style="267" customWidth="1"/>
    <col min="9" max="9" width="17.8515625" style="267" bestFit="1" customWidth="1"/>
    <col min="10" max="10" width="21.00390625" style="267" customWidth="1"/>
    <col min="11" max="11" width="14.28125" style="267" customWidth="1"/>
    <col min="12" max="12" width="16.421875" style="267" bestFit="1" customWidth="1"/>
    <col min="13" max="13" width="17.421875" style="267" bestFit="1" customWidth="1"/>
    <col min="14" max="14" width="16.421875" style="267" bestFit="1" customWidth="1"/>
    <col min="15" max="15" width="12.57421875" style="267" customWidth="1"/>
    <col min="16" max="16" width="0" style="267" hidden="1" customWidth="1"/>
    <col min="17" max="17" width="17.140625" style="802" hidden="1" customWidth="1"/>
    <col min="18" max="18" width="17.421875" style="802" hidden="1" customWidth="1"/>
    <col min="19" max="19" width="0.9921875" style="802" hidden="1" customWidth="1"/>
    <col min="20" max="16384" width="11.57421875" style="267" customWidth="1"/>
  </cols>
  <sheetData>
    <row r="1" ht="12.75">
      <c r="F1" s="653" t="s">
        <v>534</v>
      </c>
    </row>
    <row r="2" ht="12.75">
      <c r="F2" s="654" t="s">
        <v>535</v>
      </c>
    </row>
    <row r="4" spans="1:7" ht="12.75">
      <c r="A4" s="652" t="s">
        <v>296</v>
      </c>
      <c r="F4" s="655">
        <v>42339</v>
      </c>
      <c r="G4" s="850"/>
    </row>
    <row r="5" spans="1:7" ht="12.75">
      <c r="A5" s="652" t="s">
        <v>533</v>
      </c>
      <c r="F5" s="656" t="s">
        <v>536</v>
      </c>
      <c r="G5" s="851"/>
    </row>
    <row r="6" spans="1:14" ht="13.5" thickBot="1">
      <c r="A6" s="803"/>
      <c r="N6" s="804"/>
    </row>
    <row r="7" spans="1:19" s="805" customFormat="1" ht="36" customHeight="1" thickBot="1">
      <c r="A7" s="1222" t="s">
        <v>561</v>
      </c>
      <c r="B7" s="1223"/>
      <c r="C7" s="1223"/>
      <c r="D7" s="1223"/>
      <c r="E7" s="1223"/>
      <c r="F7" s="1223"/>
      <c r="G7" s="1223"/>
      <c r="H7" s="1223"/>
      <c r="I7" s="1223"/>
      <c r="J7" s="1223"/>
      <c r="K7" s="1223"/>
      <c r="L7" s="1223"/>
      <c r="M7" s="1224"/>
      <c r="N7" s="1228">
        <f>CPYG!D7</f>
        <v>2016</v>
      </c>
      <c r="O7" s="1229"/>
      <c r="Q7" s="806"/>
      <c r="R7" s="806"/>
      <c r="S7" s="806"/>
    </row>
    <row r="8" spans="1:15" ht="34.5" customHeight="1" thickBot="1">
      <c r="A8" s="1225" t="str">
        <f>CPYG!A8</f>
        <v>EMPRESA PÚBLICA: INSTITUTO TECNOLOGICO DE ENERGIAS RENOVABLES SA</v>
      </c>
      <c r="B8" s="1226"/>
      <c r="C8" s="1226"/>
      <c r="D8" s="1226"/>
      <c r="E8" s="1226"/>
      <c r="F8" s="1226"/>
      <c r="G8" s="1226"/>
      <c r="H8" s="1226"/>
      <c r="I8" s="1226"/>
      <c r="J8" s="1226"/>
      <c r="K8" s="1226"/>
      <c r="L8" s="1226"/>
      <c r="M8" s="1227"/>
      <c r="N8" s="1225" t="s">
        <v>144</v>
      </c>
      <c r="O8" s="1227"/>
    </row>
    <row r="9" spans="1:15" ht="24.75" customHeight="1">
      <c r="A9" s="1247" t="s">
        <v>140</v>
      </c>
      <c r="B9" s="1200"/>
      <c r="C9" s="1200"/>
      <c r="D9" s="1200"/>
      <c r="E9" s="1200"/>
      <c r="F9" s="1200"/>
      <c r="G9" s="1200"/>
      <c r="H9" s="1200"/>
      <c r="I9" s="1200"/>
      <c r="J9" s="1200"/>
      <c r="K9" s="1200"/>
      <c r="L9" s="1200"/>
      <c r="M9" s="1200"/>
      <c r="N9" s="1200"/>
      <c r="O9" s="1248"/>
    </row>
    <row r="10" spans="1:15" ht="40.5" customHeight="1">
      <c r="A10" s="1249" t="s">
        <v>823</v>
      </c>
      <c r="B10" s="808"/>
      <c r="C10" s="1208" t="s">
        <v>824</v>
      </c>
      <c r="D10" s="1201" t="s">
        <v>825</v>
      </c>
      <c r="E10" s="1202"/>
      <c r="F10" s="1208" t="s">
        <v>826</v>
      </c>
      <c r="G10" s="1199" t="s">
        <v>386</v>
      </c>
      <c r="H10" s="1199" t="s">
        <v>387</v>
      </c>
      <c r="I10" s="1194" t="s">
        <v>673</v>
      </c>
      <c r="J10" s="1195"/>
      <c r="K10" s="1196"/>
      <c r="L10" s="1194" t="s">
        <v>660</v>
      </c>
      <c r="M10" s="1195"/>
      <c r="N10" s="1195"/>
      <c r="O10" s="1220"/>
    </row>
    <row r="11" spans="1:19" ht="73.5" customHeight="1">
      <c r="A11" s="1247"/>
      <c r="B11" s="808"/>
      <c r="C11" s="1208"/>
      <c r="D11" s="1203"/>
      <c r="E11" s="1204"/>
      <c r="F11" s="1208"/>
      <c r="G11" s="1200"/>
      <c r="H11" s="1200"/>
      <c r="I11" s="813" t="s">
        <v>562</v>
      </c>
      <c r="J11" s="813" t="s">
        <v>671</v>
      </c>
      <c r="K11" s="807" t="s">
        <v>141</v>
      </c>
      <c r="L11" s="813" t="s">
        <v>672</v>
      </c>
      <c r="M11" s="808" t="s">
        <v>667</v>
      </c>
      <c r="N11" s="807" t="s">
        <v>669</v>
      </c>
      <c r="O11" s="815" t="s">
        <v>141</v>
      </c>
      <c r="Q11" s="816" t="s">
        <v>85</v>
      </c>
      <c r="R11" s="802" t="s">
        <v>576</v>
      </c>
      <c r="S11" s="802" t="s">
        <v>577</v>
      </c>
    </row>
    <row r="12" spans="1:19" s="805" customFormat="1" ht="27" customHeight="1">
      <c r="A12" s="817"/>
      <c r="B12" s="818"/>
      <c r="C12" s="856">
        <v>520</v>
      </c>
      <c r="D12" s="1243" t="s">
        <v>440</v>
      </c>
      <c r="E12" s="1244"/>
      <c r="F12" s="857"/>
      <c r="G12" s="858"/>
      <c r="H12" s="858"/>
      <c r="I12" s="859">
        <v>18000000</v>
      </c>
      <c r="J12" s="859">
        <v>1276905.24</v>
      </c>
      <c r="K12" s="860"/>
      <c r="L12" s="859">
        <v>1233079.0938939864</v>
      </c>
      <c r="M12" s="859">
        <v>-1276905.24</v>
      </c>
      <c r="N12" s="868">
        <f aca="true" t="shared" si="0" ref="N12:N18">+J12+L12+M12</f>
        <v>1233079.0938939864</v>
      </c>
      <c r="O12" s="820"/>
      <c r="Q12" s="821"/>
      <c r="R12" s="806"/>
      <c r="S12" s="806"/>
    </row>
    <row r="13" spans="1:19" s="805" customFormat="1" ht="27" customHeight="1">
      <c r="A13" s="822"/>
      <c r="B13" s="818"/>
      <c r="C13" s="856">
        <v>520</v>
      </c>
      <c r="D13" s="1243" t="s">
        <v>441</v>
      </c>
      <c r="E13" s="1244"/>
      <c r="F13" s="857"/>
      <c r="G13" s="858"/>
      <c r="H13" s="858"/>
      <c r="I13" s="859">
        <v>600000</v>
      </c>
      <c r="J13" s="859"/>
      <c r="K13" s="860"/>
      <c r="L13" s="859">
        <v>600000</v>
      </c>
      <c r="M13" s="859"/>
      <c r="N13" s="868">
        <f t="shared" si="0"/>
        <v>600000</v>
      </c>
      <c r="O13" s="820"/>
      <c r="Q13" s="821"/>
      <c r="R13" s="806"/>
      <c r="S13" s="806"/>
    </row>
    <row r="14" spans="1:19" s="805" customFormat="1" ht="27" customHeight="1">
      <c r="A14" s="822"/>
      <c r="B14" s="818"/>
      <c r="C14" s="856">
        <v>520</v>
      </c>
      <c r="D14" s="1243" t="s">
        <v>441</v>
      </c>
      <c r="E14" s="1244"/>
      <c r="F14" s="857"/>
      <c r="G14" s="858"/>
      <c r="H14" s="858"/>
      <c r="I14" s="859">
        <v>700000</v>
      </c>
      <c r="J14" s="859">
        <v>152515.84</v>
      </c>
      <c r="K14" s="861"/>
      <c r="L14" s="859">
        <v>154279.31</v>
      </c>
      <c r="M14" s="859">
        <v>-152515.84</v>
      </c>
      <c r="N14" s="868">
        <f t="shared" si="0"/>
        <v>154279.31000000003</v>
      </c>
      <c r="O14" s="820"/>
      <c r="P14" s="805">
        <f aca="true" t="shared" si="1" ref="P14:P25">+P13+1</f>
        <v>1</v>
      </c>
      <c r="Q14" s="821">
        <f aca="true" t="shared" si="2" ref="Q14:Q25">+S14-R14</f>
        <v>-439663.17</v>
      </c>
      <c r="R14" s="806">
        <v>439663.17</v>
      </c>
      <c r="S14" s="806">
        <f aca="true" t="shared" si="3" ref="S14:S25">+R13</f>
        <v>0</v>
      </c>
    </row>
    <row r="15" spans="1:19" s="805" customFormat="1" ht="27" customHeight="1">
      <c r="A15" s="822"/>
      <c r="B15" s="818"/>
      <c r="C15" s="856">
        <v>520</v>
      </c>
      <c r="D15" s="1243" t="s">
        <v>466</v>
      </c>
      <c r="E15" s="1244"/>
      <c r="F15" s="857"/>
      <c r="G15" s="858"/>
      <c r="H15" s="858"/>
      <c r="I15" s="859">
        <v>3000000</v>
      </c>
      <c r="J15" s="859">
        <v>750000</v>
      </c>
      <c r="K15" s="861"/>
      <c r="L15" s="859">
        <v>750000</v>
      </c>
      <c r="M15" s="859">
        <v>-750000</v>
      </c>
      <c r="N15" s="868">
        <f t="shared" si="0"/>
        <v>750000</v>
      </c>
      <c r="O15" s="820"/>
      <c r="P15" s="805">
        <f t="shared" si="1"/>
        <v>2</v>
      </c>
      <c r="Q15" s="821">
        <f t="shared" si="2"/>
        <v>56170.159999999974</v>
      </c>
      <c r="R15" s="806">
        <v>383493.01</v>
      </c>
      <c r="S15" s="806">
        <f t="shared" si="3"/>
        <v>439663.17</v>
      </c>
    </row>
    <row r="16" spans="1:19" s="805" customFormat="1" ht="27" customHeight="1">
      <c r="A16" s="822"/>
      <c r="B16" s="818"/>
      <c r="C16" s="856">
        <v>520</v>
      </c>
      <c r="D16" s="1243" t="s">
        <v>467</v>
      </c>
      <c r="E16" s="1244"/>
      <c r="F16" s="857"/>
      <c r="G16" s="858"/>
      <c r="H16" s="858"/>
      <c r="I16" s="859">
        <v>2000000</v>
      </c>
      <c r="J16" s="859">
        <v>300000</v>
      </c>
      <c r="K16" s="861"/>
      <c r="L16" s="859"/>
      <c r="M16" s="859">
        <v>-300000</v>
      </c>
      <c r="N16" s="868">
        <f t="shared" si="0"/>
        <v>0</v>
      </c>
      <c r="O16" s="820"/>
      <c r="P16" s="805">
        <f t="shared" si="1"/>
        <v>3</v>
      </c>
      <c r="Q16" s="821">
        <f t="shared" si="2"/>
        <v>59330.42999999999</v>
      </c>
      <c r="R16" s="806">
        <v>324162.58</v>
      </c>
      <c r="S16" s="806">
        <f t="shared" si="3"/>
        <v>383493.01</v>
      </c>
    </row>
    <row r="17" spans="1:19" s="805" customFormat="1" ht="27" customHeight="1">
      <c r="A17" s="822"/>
      <c r="B17" s="818"/>
      <c r="C17" s="856">
        <v>520</v>
      </c>
      <c r="D17" s="1243" t="s">
        <v>468</v>
      </c>
      <c r="E17" s="1244"/>
      <c r="F17" s="857"/>
      <c r="G17" s="858"/>
      <c r="H17" s="858"/>
      <c r="I17" s="859">
        <v>2000000</v>
      </c>
      <c r="J17" s="859">
        <v>2000000</v>
      </c>
      <c r="K17" s="861"/>
      <c r="L17" s="859"/>
      <c r="M17" s="859">
        <v>-2000000</v>
      </c>
      <c r="N17" s="868">
        <f t="shared" si="0"/>
        <v>0</v>
      </c>
      <c r="O17" s="820"/>
      <c r="P17" s="805">
        <f t="shared" si="1"/>
        <v>4</v>
      </c>
      <c r="Q17" s="821">
        <f t="shared" si="2"/>
        <v>62668.49000000002</v>
      </c>
      <c r="R17" s="806">
        <v>261494.09</v>
      </c>
      <c r="S17" s="806">
        <f t="shared" si="3"/>
        <v>324162.58</v>
      </c>
    </row>
    <row r="18" spans="1:19" s="805" customFormat="1" ht="27" customHeight="1" thickBot="1">
      <c r="A18" s="822"/>
      <c r="B18" s="818"/>
      <c r="C18" s="856">
        <v>520</v>
      </c>
      <c r="D18" s="1243" t="s">
        <v>469</v>
      </c>
      <c r="E18" s="1244"/>
      <c r="F18" s="857"/>
      <c r="G18" s="857"/>
      <c r="H18" s="857"/>
      <c r="I18" s="859">
        <v>1300000</v>
      </c>
      <c r="J18" s="859">
        <v>108431.65</v>
      </c>
      <c r="K18" s="861"/>
      <c r="L18" s="859">
        <v>105949.71</v>
      </c>
      <c r="M18" s="859">
        <v>-109015.74</v>
      </c>
      <c r="N18" s="868">
        <f t="shared" si="0"/>
        <v>105365.61999999998</v>
      </c>
      <c r="O18" s="820"/>
      <c r="P18" s="805">
        <f t="shared" si="1"/>
        <v>5</v>
      </c>
      <c r="Q18" s="821">
        <f t="shared" si="2"/>
        <v>66194.34</v>
      </c>
      <c r="R18" s="806">
        <v>195299.75</v>
      </c>
      <c r="S18" s="806">
        <f t="shared" si="3"/>
        <v>261494.09</v>
      </c>
    </row>
    <row r="19" spans="1:19" s="805" customFormat="1" ht="27" customHeight="1" thickBot="1">
      <c r="A19" s="862" t="s">
        <v>91</v>
      </c>
      <c r="B19" s="863"/>
      <c r="C19" s="864"/>
      <c r="D19" s="1245"/>
      <c r="E19" s="1246"/>
      <c r="F19" s="865"/>
      <c r="G19" s="865"/>
      <c r="H19" s="865"/>
      <c r="I19" s="866">
        <f>SUM(I12:I18)</f>
        <v>27600000</v>
      </c>
      <c r="J19" s="866">
        <f aca="true" t="shared" si="4" ref="J19:O19">SUM(J12:J18)</f>
        <v>4587852.73</v>
      </c>
      <c r="K19" s="866">
        <f t="shared" si="4"/>
        <v>0</v>
      </c>
      <c r="L19" s="866">
        <f t="shared" si="4"/>
        <v>2843308.1138939867</v>
      </c>
      <c r="M19" s="866">
        <f t="shared" si="4"/>
        <v>-4588436.82</v>
      </c>
      <c r="N19" s="866">
        <f t="shared" si="4"/>
        <v>2842724.023893987</v>
      </c>
      <c r="O19" s="866">
        <f t="shared" si="4"/>
        <v>0</v>
      </c>
      <c r="P19" s="805">
        <f t="shared" si="1"/>
        <v>6</v>
      </c>
      <c r="Q19" s="821">
        <f t="shared" si="2"/>
        <v>69918.59</v>
      </c>
      <c r="R19" s="806">
        <v>125381.16</v>
      </c>
      <c r="S19" s="806">
        <f t="shared" si="3"/>
        <v>195299.75</v>
      </c>
    </row>
    <row r="20" spans="1:19" s="805" customFormat="1" ht="27" customHeight="1">
      <c r="A20" s="822"/>
      <c r="B20" s="867"/>
      <c r="C20" s="856">
        <v>521</v>
      </c>
      <c r="D20" s="1243" t="s">
        <v>470</v>
      </c>
      <c r="E20" s="1244"/>
      <c r="F20" s="857"/>
      <c r="G20" s="857"/>
      <c r="H20" s="857"/>
      <c r="I20" s="869"/>
      <c r="J20" s="859">
        <v>2222588.14</v>
      </c>
      <c r="K20" s="861"/>
      <c r="L20" s="859">
        <v>1772588.5675</v>
      </c>
      <c r="M20" s="859">
        <f>-2222588.14-0.87</f>
        <v>-2222589.0100000002</v>
      </c>
      <c r="N20" s="868">
        <f>+SUM(J20:M20)</f>
        <v>1772587.6974999998</v>
      </c>
      <c r="O20" s="820"/>
      <c r="Q20" s="821"/>
      <c r="R20" s="806"/>
      <c r="S20" s="806"/>
    </row>
    <row r="21" spans="1:19" s="805" customFormat="1" ht="15">
      <c r="A21" s="822"/>
      <c r="B21" s="867"/>
      <c r="C21" s="870">
        <v>521.8</v>
      </c>
      <c r="D21" s="1243" t="s">
        <v>471</v>
      </c>
      <c r="E21" s="1244"/>
      <c r="F21" s="871"/>
      <c r="G21" s="871"/>
      <c r="H21" s="871"/>
      <c r="I21" s="869"/>
      <c r="J21" s="859">
        <v>400000</v>
      </c>
      <c r="K21" s="872"/>
      <c r="L21" s="859">
        <v>400000</v>
      </c>
      <c r="M21" s="859">
        <v>-400000</v>
      </c>
      <c r="N21" s="873">
        <f>+J21+L21+M21</f>
        <v>400000</v>
      </c>
      <c r="O21" s="820"/>
      <c r="Q21" s="821"/>
      <c r="R21" s="806"/>
      <c r="S21" s="806"/>
    </row>
    <row r="22" spans="1:19" s="805" customFormat="1" ht="15">
      <c r="A22" s="822"/>
      <c r="B22" s="867"/>
      <c r="C22" s="870">
        <v>523</v>
      </c>
      <c r="D22" s="1243" t="s">
        <v>472</v>
      </c>
      <c r="E22" s="1244" t="s">
        <v>472</v>
      </c>
      <c r="F22" s="871"/>
      <c r="G22" s="871"/>
      <c r="H22" s="871"/>
      <c r="I22" s="869"/>
      <c r="J22" s="859">
        <v>64098.71</v>
      </c>
      <c r="K22" s="872"/>
      <c r="L22" s="859">
        <v>49157.79</v>
      </c>
      <c r="M22" s="859">
        <v>-49157.79</v>
      </c>
      <c r="N22" s="873">
        <f>+J22+L22+M22</f>
        <v>64098.71</v>
      </c>
      <c r="O22" s="820"/>
      <c r="Q22" s="821"/>
      <c r="R22" s="806"/>
      <c r="S22" s="806"/>
    </row>
    <row r="23" spans="1:19" s="805" customFormat="1" ht="32.25" customHeight="1">
      <c r="A23" s="822"/>
      <c r="B23" s="867"/>
      <c r="C23" s="870" t="s">
        <v>473</v>
      </c>
      <c r="D23" s="1243" t="s">
        <v>474</v>
      </c>
      <c r="E23" s="1244"/>
      <c r="F23" s="871"/>
      <c r="G23" s="871"/>
      <c r="H23" s="871"/>
      <c r="I23" s="869"/>
      <c r="J23" s="859">
        <v>127513.56</v>
      </c>
      <c r="K23" s="872"/>
      <c r="L23" s="869"/>
      <c r="M23" s="869"/>
      <c r="N23" s="873">
        <f>+J23+L23+M23</f>
        <v>127513.56</v>
      </c>
      <c r="O23" s="820"/>
      <c r="Q23" s="821"/>
      <c r="R23" s="806"/>
      <c r="S23" s="806"/>
    </row>
    <row r="24" spans="1:19" s="805" customFormat="1" ht="27" customHeight="1">
      <c r="A24" s="822"/>
      <c r="B24" s="818"/>
      <c r="C24" s="870">
        <v>194</v>
      </c>
      <c r="D24" s="1243" t="s">
        <v>475</v>
      </c>
      <c r="E24" s="1244"/>
      <c r="F24" s="871"/>
      <c r="G24" s="871"/>
      <c r="H24" s="871"/>
      <c r="I24" s="869"/>
      <c r="J24" s="859">
        <v>2999951.6</v>
      </c>
      <c r="K24" s="872"/>
      <c r="L24" s="869"/>
      <c r="M24" s="859">
        <v>-2999951.6</v>
      </c>
      <c r="N24" s="873">
        <f>+J24+L24+M24</f>
        <v>0</v>
      </c>
      <c r="O24" s="820"/>
      <c r="P24" s="805">
        <f>+P19+1</f>
        <v>7</v>
      </c>
      <c r="Q24" s="821">
        <f t="shared" si="2"/>
        <v>73852.37</v>
      </c>
      <c r="R24" s="806">
        <v>51528.79</v>
      </c>
      <c r="S24" s="806">
        <f>+R19</f>
        <v>125381.16</v>
      </c>
    </row>
    <row r="25" spans="1:19" s="805" customFormat="1" ht="27" customHeight="1" thickBot="1">
      <c r="A25" s="825"/>
      <c r="B25" s="818"/>
      <c r="C25" s="826"/>
      <c r="D25" s="1192"/>
      <c r="E25" s="1193"/>
      <c r="F25" s="827"/>
      <c r="G25" s="827"/>
      <c r="H25" s="827"/>
      <c r="I25" s="828"/>
      <c r="J25" s="828"/>
      <c r="K25" s="852"/>
      <c r="L25" s="828"/>
      <c r="M25" s="828"/>
      <c r="N25" s="829"/>
      <c r="O25" s="830"/>
      <c r="P25" s="805">
        <f t="shared" si="1"/>
        <v>8</v>
      </c>
      <c r="Q25" s="821">
        <f t="shared" si="2"/>
        <v>51528.79</v>
      </c>
      <c r="R25" s="806">
        <v>0</v>
      </c>
      <c r="S25" s="806">
        <f t="shared" si="3"/>
        <v>51528.79</v>
      </c>
    </row>
    <row r="26" spans="1:19" s="805" customFormat="1" ht="27" customHeight="1" thickBot="1">
      <c r="A26" s="831" t="s">
        <v>91</v>
      </c>
      <c r="B26" s="832"/>
      <c r="C26" s="833"/>
      <c r="D26" s="1190"/>
      <c r="E26" s="1191"/>
      <c r="F26" s="834"/>
      <c r="G26" s="834"/>
      <c r="H26" s="834"/>
      <c r="I26" s="835">
        <f>SUM(I20:I25)</f>
        <v>0</v>
      </c>
      <c r="J26" s="835">
        <f aca="true" t="shared" si="5" ref="J26:S26">SUM(J20:J25)</f>
        <v>5814152.01</v>
      </c>
      <c r="K26" s="835">
        <f t="shared" si="5"/>
        <v>0</v>
      </c>
      <c r="L26" s="835">
        <f t="shared" si="5"/>
        <v>2221746.3575</v>
      </c>
      <c r="M26" s="835">
        <f t="shared" si="5"/>
        <v>-5671698.4</v>
      </c>
      <c r="N26" s="835">
        <f t="shared" si="5"/>
        <v>2364199.9675</v>
      </c>
      <c r="O26" s="835">
        <f t="shared" si="5"/>
        <v>0</v>
      </c>
      <c r="P26" s="835">
        <f t="shared" si="5"/>
        <v>15</v>
      </c>
      <c r="Q26" s="835">
        <f t="shared" si="5"/>
        <v>125381.16</v>
      </c>
      <c r="R26" s="835">
        <f t="shared" si="5"/>
        <v>51528.79</v>
      </c>
      <c r="S26" s="835">
        <f t="shared" si="5"/>
        <v>176909.95</v>
      </c>
    </row>
    <row r="27" spans="1:15" ht="12.75">
      <c r="A27" s="837"/>
      <c r="B27" s="838"/>
      <c r="C27" s="838"/>
      <c r="D27" s="839"/>
      <c r="E27" s="837"/>
      <c r="F27" s="837"/>
      <c r="G27" s="837"/>
      <c r="H27" s="837"/>
      <c r="I27" s="837"/>
      <c r="J27" s="837"/>
      <c r="K27" s="837"/>
      <c r="L27" s="837"/>
      <c r="M27" s="837"/>
      <c r="N27" s="840"/>
      <c r="O27" s="841"/>
    </row>
    <row r="28" spans="1:19" s="959" customFormat="1" ht="12.75" hidden="1">
      <c r="A28" s="959" t="s">
        <v>87</v>
      </c>
      <c r="Q28" s="960"/>
      <c r="R28" s="960"/>
      <c r="S28" s="960"/>
    </row>
    <row r="29" spans="1:19" s="959" customFormat="1" ht="12.75" hidden="1">
      <c r="A29" s="959" t="s">
        <v>388</v>
      </c>
      <c r="Q29" s="960"/>
      <c r="R29" s="960"/>
      <c r="S29" s="960"/>
    </row>
    <row r="30" spans="1:19" s="959" customFormat="1" ht="12.75" hidden="1">
      <c r="A30" s="959" t="s">
        <v>151</v>
      </c>
      <c r="Q30" s="960"/>
      <c r="R30" s="960"/>
      <c r="S30" s="960"/>
    </row>
    <row r="31" spans="1:19" s="959" customFormat="1" ht="12.75" hidden="1">
      <c r="A31" s="959" t="s">
        <v>563</v>
      </c>
      <c r="Q31" s="960"/>
      <c r="R31" s="960"/>
      <c r="S31" s="960"/>
    </row>
    <row r="32" spans="17:19" s="959" customFormat="1" ht="12.75" hidden="1">
      <c r="Q32" s="960"/>
      <c r="R32" s="960"/>
      <c r="S32" s="960"/>
    </row>
    <row r="36" ht="12.75">
      <c r="A36" s="133"/>
    </row>
    <row r="37" ht="12.75">
      <c r="A37" s="133"/>
    </row>
    <row r="38" ht="12.75">
      <c r="A38" s="133"/>
    </row>
    <row r="39" ht="12.75">
      <c r="A39" s="133"/>
    </row>
  </sheetData>
  <sheetProtection/>
  <mergeCells count="28">
    <mergeCell ref="I10:K10"/>
    <mergeCell ref="L10:O10"/>
    <mergeCell ref="A7:M7"/>
    <mergeCell ref="N7:O7"/>
    <mergeCell ref="A8:M8"/>
    <mergeCell ref="N8:O8"/>
    <mergeCell ref="A9:O9"/>
    <mergeCell ref="A10:A11"/>
    <mergeCell ref="H10:H11"/>
    <mergeCell ref="D17:E17"/>
    <mergeCell ref="D16:E16"/>
    <mergeCell ref="C10:C11"/>
    <mergeCell ref="G10:G11"/>
    <mergeCell ref="F10:F11"/>
    <mergeCell ref="D10:E11"/>
    <mergeCell ref="D14:E14"/>
    <mergeCell ref="D15:E15"/>
    <mergeCell ref="D13:E13"/>
    <mergeCell ref="D12:E12"/>
    <mergeCell ref="D26:E26"/>
    <mergeCell ref="D18:E18"/>
    <mergeCell ref="D19:E19"/>
    <mergeCell ref="D24:E24"/>
    <mergeCell ref="D25:E25"/>
    <mergeCell ref="D20:E20"/>
    <mergeCell ref="D21:E21"/>
    <mergeCell ref="D22:E22"/>
    <mergeCell ref="D23:E23"/>
  </mergeCells>
  <dataValidations count="5">
    <dataValidation type="list" allowBlank="1" showInputMessage="1" showErrorMessage="1" promptTitle="Tipo" prompt="Deberá indicar seleccionar el mismo&#10;" sqref="F20:F26">
      <formula1>$E$36:$E$39</formula1>
    </dataValidation>
    <dataValidation allowBlank="1" showInputMessage="1" showErrorMessage="1" prompt="Este número está correlacionado con el Aval del Cabildo, en su caso.&#10;" sqref="G12:H26"/>
    <dataValidation allowBlank="1" showInputMessage="1" showErrorMessage="1" prompt="LO QUE QUEDA POR PAGAR SIN INTERESES. RESPECTO DE PÓLIZAS DE CRÉDITOS ES LO QUE ESTÁ DISPUESTO A ESA FECHA." sqref="J12:J18 J22:J25"/>
    <dataValidation allowBlank="1" showInputMessage="1" showErrorMessage="1" promptTitle="Epígrafe Pasivo Balance" prompt="Incluir en dónde figura del Pasivo del Balance la disposición o reducción de pólizas y préstamos" sqref="C12:C26"/>
    <dataValidation type="list" allowBlank="1" showInputMessage="1" showErrorMessage="1" promptTitle="Tipo" prompt="Deberá indicar seleccionar el mismo&#10;" sqref="F12:F19">
      <formula1>$E$40:$E$43</formula1>
    </dataValidation>
  </dataValidations>
  <printOptions horizontalCentered="1" verticalCentered="1"/>
  <pageMargins left="0.28" right="0.2362204724409449" top="0.32" bottom="0.984251968503937" header="0" footer="0"/>
  <pageSetup horizontalDpi="300" verticalDpi="300" orientation="landscape" paperSize="9" scale="55" r:id="rId2"/>
  <headerFooter alignWithMargins="0">
    <oddFooter>&amp;L&amp;7Plaza de España, 1
38003 Santa Cruz de Tenerife
Teléfono: 901 501 901
www.tenerife.es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9"/>
  <sheetViews>
    <sheetView showGridLines="0" view="pageBreakPreview" zoomScaleNormal="70" zoomScaleSheetLayoutView="100" zoomScalePageLayoutView="0" workbookViewId="0" topLeftCell="A1">
      <selection activeCell="E4" sqref="E4"/>
    </sheetView>
  </sheetViews>
  <sheetFormatPr defaultColWidth="11.57421875" defaultRowHeight="12.75"/>
  <cols>
    <col min="1" max="1" width="2.421875" style="133" customWidth="1"/>
    <col min="2" max="2" width="33.7109375" style="133" customWidth="1"/>
    <col min="3" max="3" width="13.140625" style="133" customWidth="1"/>
    <col min="4" max="4" width="19.7109375" style="133" customWidth="1"/>
    <col min="5" max="5" width="18.7109375" style="133" customWidth="1"/>
    <col min="6" max="6" width="16.140625" style="133" customWidth="1"/>
    <col min="7" max="7" width="13.421875" style="133" customWidth="1"/>
    <col min="8" max="8" width="17.00390625" style="133" customWidth="1"/>
    <col min="9" max="16384" width="11.57421875" style="133" customWidth="1"/>
  </cols>
  <sheetData>
    <row r="1" spans="2:8" ht="12.75">
      <c r="B1" s="267"/>
      <c r="C1" s="267"/>
      <c r="D1" s="267"/>
      <c r="E1" s="653" t="s">
        <v>534</v>
      </c>
      <c r="F1" s="267"/>
      <c r="H1" s="267"/>
    </row>
    <row r="2" spans="2:8" ht="12.75">
      <c r="B2" s="267"/>
      <c r="C2" s="267"/>
      <c r="D2" s="267"/>
      <c r="E2" s="654" t="s">
        <v>535</v>
      </c>
      <c r="F2" s="267"/>
      <c r="H2" s="267"/>
    </row>
    <row r="3" spans="2:8" ht="12.75">
      <c r="B3" s="267"/>
      <c r="C3" s="267"/>
      <c r="D3" s="267"/>
      <c r="E3" s="267"/>
      <c r="F3" s="267"/>
      <c r="G3" s="267"/>
      <c r="H3" s="267"/>
    </row>
    <row r="4" spans="2:8" ht="12.75">
      <c r="B4" s="652" t="s">
        <v>296</v>
      </c>
      <c r="C4" s="267"/>
      <c r="D4" s="267"/>
      <c r="E4" s="655">
        <v>42339</v>
      </c>
      <c r="F4" s="267"/>
      <c r="H4" s="850"/>
    </row>
    <row r="5" spans="2:8" ht="12.75">
      <c r="B5" s="652" t="s">
        <v>533</v>
      </c>
      <c r="C5" s="267"/>
      <c r="D5" s="267"/>
      <c r="E5" s="656" t="s">
        <v>536</v>
      </c>
      <c r="F5" s="267"/>
      <c r="H5" s="851"/>
    </row>
    <row r="6" ht="13.5" thickBot="1"/>
    <row r="7" spans="1:8" ht="12.75">
      <c r="A7" s="1041" t="s">
        <v>264</v>
      </c>
      <c r="B7" s="1042"/>
      <c r="C7" s="1042"/>
      <c r="D7" s="1042"/>
      <c r="E7" s="1042"/>
      <c r="F7" s="1042"/>
      <c r="G7" s="1042"/>
      <c r="H7" s="1278">
        <v>2016</v>
      </c>
    </row>
    <row r="8" spans="1:8" ht="24.75" customHeight="1" thickBot="1">
      <c r="A8" s="1182" t="s">
        <v>330</v>
      </c>
      <c r="B8" s="1183"/>
      <c r="C8" s="1183"/>
      <c r="D8" s="1183"/>
      <c r="E8" s="1183"/>
      <c r="F8" s="1183"/>
      <c r="G8" s="1183"/>
      <c r="H8" s="1279"/>
    </row>
    <row r="9" spans="1:8" ht="33" customHeight="1" thickBot="1">
      <c r="A9" s="1280" t="str">
        <f>CPYG!A8</f>
        <v>EMPRESA PÚBLICA: INSTITUTO TECNOLOGICO DE ENERGIAS RENOVABLES SA</v>
      </c>
      <c r="B9" s="1281"/>
      <c r="C9" s="1281"/>
      <c r="D9" s="1281"/>
      <c r="E9" s="1281"/>
      <c r="F9" s="1281"/>
      <c r="G9" s="1282"/>
      <c r="H9" s="853" t="s">
        <v>143</v>
      </c>
    </row>
    <row r="10" spans="1:8" ht="12.75">
      <c r="A10" s="220"/>
      <c r="B10" s="158"/>
      <c r="C10" s="158"/>
      <c r="D10" s="158"/>
      <c r="E10" s="158"/>
      <c r="F10" s="158"/>
      <c r="G10" s="158"/>
      <c r="H10" s="221"/>
    </row>
    <row r="11" spans="1:8" ht="12.75">
      <c r="A11" s="220"/>
      <c r="B11" s="1283" t="s">
        <v>331</v>
      </c>
      <c r="C11" s="1283"/>
      <c r="D11" s="1283"/>
      <c r="E11" s="1283"/>
      <c r="F11" s="1283"/>
      <c r="G11" s="1283"/>
      <c r="H11" s="1284"/>
    </row>
    <row r="12" spans="1:8" ht="12.75">
      <c r="A12" s="220"/>
      <c r="B12" s="158"/>
      <c r="C12" s="158"/>
      <c r="D12" s="158"/>
      <c r="E12" s="158"/>
      <c r="F12" s="158"/>
      <c r="G12" s="158"/>
      <c r="H12" s="221"/>
    </row>
    <row r="13" spans="1:8" ht="12.75">
      <c r="A13" s="1155" t="s">
        <v>332</v>
      </c>
      <c r="B13" s="1156"/>
      <c r="C13" s="158"/>
      <c r="D13" s="158"/>
      <c r="E13" s="158"/>
      <c r="F13" s="158"/>
      <c r="G13" s="158"/>
      <c r="H13" s="221"/>
    </row>
    <row r="14" spans="1:8" ht="12.75">
      <c r="A14" s="220"/>
      <c r="B14" s="158"/>
      <c r="C14" s="158"/>
      <c r="D14" s="158"/>
      <c r="E14" s="158"/>
      <c r="F14" s="158"/>
      <c r="G14" s="158"/>
      <c r="H14" s="221"/>
    </row>
    <row r="15" spans="1:8" ht="12.75">
      <c r="A15" s="268" t="s">
        <v>376</v>
      </c>
      <c r="B15" s="269" t="s">
        <v>333</v>
      </c>
      <c r="C15" s="269"/>
      <c r="D15" s="269"/>
      <c r="E15" s="158"/>
      <c r="F15" s="158"/>
      <c r="G15" s="158"/>
      <c r="H15" s="221"/>
    </row>
    <row r="16" spans="1:8" ht="12.75">
      <c r="A16" s="268"/>
      <c r="B16" s="269" t="s">
        <v>334</v>
      </c>
      <c r="C16" s="269"/>
      <c r="D16" s="269"/>
      <c r="E16" s="158"/>
      <c r="F16" s="158"/>
      <c r="G16" s="158"/>
      <c r="H16" s="221"/>
    </row>
    <row r="17" spans="1:8" ht="12.75">
      <c r="A17" s="268"/>
      <c r="B17" s="269" t="s">
        <v>337</v>
      </c>
      <c r="C17" s="269"/>
      <c r="D17" s="269"/>
      <c r="E17" s="158"/>
      <c r="F17" s="158"/>
      <c r="G17" s="158"/>
      <c r="H17" s="221"/>
    </row>
    <row r="18" spans="1:8" ht="12.75">
      <c r="A18" s="268"/>
      <c r="B18" s="269" t="s">
        <v>338</v>
      </c>
      <c r="C18" s="269"/>
      <c r="D18" s="269"/>
      <c r="E18" s="158"/>
      <c r="F18" s="158"/>
      <c r="G18" s="158"/>
      <c r="H18" s="221"/>
    </row>
    <row r="19" spans="1:8" ht="12.75">
      <c r="A19" s="268"/>
      <c r="B19" s="269" t="s">
        <v>339</v>
      </c>
      <c r="C19" s="269"/>
      <c r="D19" s="269"/>
      <c r="E19" s="158"/>
      <c r="F19" s="158"/>
      <c r="G19" s="158"/>
      <c r="H19" s="221"/>
    </row>
    <row r="20" spans="1:8" ht="12.75">
      <c r="A20" s="220"/>
      <c r="B20" s="158"/>
      <c r="C20" s="158"/>
      <c r="D20" s="158"/>
      <c r="E20" s="158"/>
      <c r="F20" s="158"/>
      <c r="G20" s="158"/>
      <c r="H20" s="221"/>
    </row>
    <row r="21" spans="1:8" ht="12.75">
      <c r="A21" s="1155" t="s">
        <v>340</v>
      </c>
      <c r="B21" s="1156"/>
      <c r="C21" s="1156"/>
      <c r="D21" s="1156"/>
      <c r="E21" s="158"/>
      <c r="F21" s="158"/>
      <c r="G21" s="158"/>
      <c r="H21" s="221"/>
    </row>
    <row r="22" spans="1:8" ht="12.75">
      <c r="A22" s="220"/>
      <c r="B22" s="158"/>
      <c r="C22" s="158"/>
      <c r="D22" s="158"/>
      <c r="E22" s="158"/>
      <c r="F22" s="158"/>
      <c r="G22" s="158"/>
      <c r="H22" s="221"/>
    </row>
    <row r="23" spans="1:8" ht="12.75">
      <c r="A23" s="1286" t="s">
        <v>341</v>
      </c>
      <c r="B23" s="1287"/>
      <c r="C23" s="1287"/>
      <c r="D23" s="1287"/>
      <c r="E23" s="1288"/>
      <c r="F23" s="158"/>
      <c r="G23" s="158"/>
      <c r="H23" s="221"/>
    </row>
    <row r="24" spans="1:8" ht="12.75">
      <c r="A24" s="220"/>
      <c r="B24" s="158"/>
      <c r="C24" s="158"/>
      <c r="D24" s="158"/>
      <c r="E24" s="158"/>
      <c r="F24" s="158"/>
      <c r="G24" s="158"/>
      <c r="H24" s="221"/>
    </row>
    <row r="25" spans="1:8" ht="12.75">
      <c r="A25" s="220"/>
      <c r="B25" s="158"/>
      <c r="C25" s="158"/>
      <c r="D25" s="158"/>
      <c r="E25" s="158"/>
      <c r="F25" s="1285" t="s">
        <v>342</v>
      </c>
      <c r="G25" s="1285"/>
      <c r="H25" s="651">
        <f>C41</f>
        <v>258.36</v>
      </c>
    </row>
    <row r="26" spans="1:11" ht="12.75">
      <c r="A26" s="220"/>
      <c r="B26" s="158"/>
      <c r="C26" s="158"/>
      <c r="D26" s="158"/>
      <c r="E26" s="158"/>
      <c r="F26" s="1285" t="s">
        <v>343</v>
      </c>
      <c r="G26" s="1285"/>
      <c r="H26" s="651">
        <f>H41+H49</f>
        <v>5668096.17</v>
      </c>
      <c r="K26" s="169"/>
    </row>
    <row r="27" spans="1:8" ht="12.75">
      <c r="A27" s="220"/>
      <c r="B27" s="158"/>
      <c r="C27" s="158"/>
      <c r="D27" s="158"/>
      <c r="E27" s="158"/>
      <c r="F27" s="158"/>
      <c r="G27" s="158"/>
      <c r="H27" s="221"/>
    </row>
    <row r="28" spans="1:8" ht="12.75">
      <c r="A28" s="220"/>
      <c r="B28" s="158"/>
      <c r="C28" s="158"/>
      <c r="D28" s="158"/>
      <c r="E28" s="158"/>
      <c r="F28" s="158"/>
      <c r="G28" s="158"/>
      <c r="H28" s="221"/>
    </row>
    <row r="29" spans="1:8" ht="12.75">
      <c r="A29" s="220"/>
      <c r="B29" s="158"/>
      <c r="C29" s="158"/>
      <c r="D29" s="158"/>
      <c r="E29" s="158"/>
      <c r="F29" s="158"/>
      <c r="G29" s="158"/>
      <c r="H29" s="535"/>
    </row>
    <row r="30" spans="1:8" ht="12.75">
      <c r="A30" s="1155" t="s">
        <v>344</v>
      </c>
      <c r="B30" s="1156"/>
      <c r="C30" s="1156"/>
      <c r="D30" s="158"/>
      <c r="E30" s="158"/>
      <c r="F30" s="158"/>
      <c r="G30" s="158"/>
      <c r="H30" s="221"/>
    </row>
    <row r="31" spans="1:8" ht="13.5" thickBot="1">
      <c r="A31" s="220"/>
      <c r="B31" s="158"/>
      <c r="C31" s="158"/>
      <c r="D31" s="158"/>
      <c r="E31" s="158"/>
      <c r="F31" s="158"/>
      <c r="G31" s="158"/>
      <c r="H31" s="221"/>
    </row>
    <row r="32" spans="1:8" ht="13.5" thickBot="1">
      <c r="A32" s="1272" t="s">
        <v>345</v>
      </c>
      <c r="B32" s="1273"/>
      <c r="C32" s="1250" t="s">
        <v>346</v>
      </c>
      <c r="D32" s="1250" t="s">
        <v>347</v>
      </c>
      <c r="E32" s="1250"/>
      <c r="F32" s="1250"/>
      <c r="G32" s="1250"/>
      <c r="H32" s="1250"/>
    </row>
    <row r="33" spans="1:8" ht="13.5" thickBot="1">
      <c r="A33" s="1274"/>
      <c r="B33" s="1275"/>
      <c r="C33" s="1250"/>
      <c r="D33" s="1250" t="s">
        <v>348</v>
      </c>
      <c r="E33" s="1250" t="s">
        <v>349</v>
      </c>
      <c r="F33" s="1250" t="s">
        <v>350</v>
      </c>
      <c r="G33" s="1250" t="s">
        <v>351</v>
      </c>
      <c r="H33" s="1250" t="s">
        <v>353</v>
      </c>
    </row>
    <row r="34" spans="1:8" ht="13.5" thickBot="1">
      <c r="A34" s="1276"/>
      <c r="B34" s="1277"/>
      <c r="C34" s="1250"/>
      <c r="D34" s="1250"/>
      <c r="E34" s="1250"/>
      <c r="F34" s="1250"/>
      <c r="G34" s="1250"/>
      <c r="H34" s="1250"/>
    </row>
    <row r="35" spans="1:8" ht="15" customHeight="1">
      <c r="A35" s="1251" t="s">
        <v>354</v>
      </c>
      <c r="B35" s="1252"/>
      <c r="C35" s="920"/>
      <c r="D35" s="271"/>
      <c r="E35" s="271"/>
      <c r="F35" s="271"/>
      <c r="G35" s="271"/>
      <c r="H35" s="273">
        <v>14109</v>
      </c>
    </row>
    <row r="36" spans="1:8" ht="15" customHeight="1">
      <c r="A36" s="1251" t="s">
        <v>355</v>
      </c>
      <c r="B36" s="1252"/>
      <c r="C36" s="921">
        <v>1</v>
      </c>
      <c r="D36" s="272">
        <v>70113</v>
      </c>
      <c r="E36" s="272">
        <v>20000</v>
      </c>
      <c r="F36" s="272"/>
      <c r="G36" s="272"/>
      <c r="H36" s="273">
        <f>D36+E36+F36+G36</f>
        <v>90113</v>
      </c>
    </row>
    <row r="37" spans="1:8" ht="15" customHeight="1">
      <c r="A37" s="1251" t="s">
        <v>356</v>
      </c>
      <c r="B37" s="1252"/>
      <c r="C37" s="921">
        <v>4</v>
      </c>
      <c r="D37" s="272">
        <v>197505.6</v>
      </c>
      <c r="E37" s="272">
        <v>28853.29</v>
      </c>
      <c r="F37" s="272"/>
      <c r="G37" s="272"/>
      <c r="H37" s="273">
        <f>D37+E37+F37+G37</f>
        <v>226358.89</v>
      </c>
    </row>
    <row r="38" spans="1:8" ht="15" customHeight="1">
      <c r="A38" s="1251" t="s">
        <v>357</v>
      </c>
      <c r="B38" s="1252"/>
      <c r="C38" s="921">
        <v>68</v>
      </c>
      <c r="D38" s="272">
        <v>1619682.6</v>
      </c>
      <c r="E38" s="272">
        <v>41704.61</v>
      </c>
      <c r="F38" s="272"/>
      <c r="G38" s="272"/>
      <c r="H38" s="273">
        <f>D38+E38+F38+G38</f>
        <v>1661387.2100000002</v>
      </c>
    </row>
    <row r="39" spans="1:8" ht="15" customHeight="1">
      <c r="A39" s="1251" t="s">
        <v>358</v>
      </c>
      <c r="B39" s="1252"/>
      <c r="C39" s="921">
        <v>56</v>
      </c>
      <c r="D39" s="272">
        <v>1038101.32</v>
      </c>
      <c r="E39" s="272">
        <v>38470.2</v>
      </c>
      <c r="F39" s="272"/>
      <c r="G39" s="272"/>
      <c r="H39" s="273">
        <f>D39+E39+F39+G39</f>
        <v>1076571.52</v>
      </c>
    </row>
    <row r="40" spans="1:8" ht="15" customHeight="1">
      <c r="A40" s="1251" t="s">
        <v>877</v>
      </c>
      <c r="B40" s="1252"/>
      <c r="C40" s="921">
        <v>129.36</v>
      </c>
      <c r="D40" s="272">
        <v>1333425.12</v>
      </c>
      <c r="E40" s="272"/>
      <c r="F40" s="272"/>
      <c r="G40" s="272"/>
      <c r="H40" s="273">
        <f>D40+E40+F40+G40</f>
        <v>1333425.12</v>
      </c>
    </row>
    <row r="41" spans="1:8" ht="15" customHeight="1" thickBot="1">
      <c r="A41" s="1262" t="s">
        <v>590</v>
      </c>
      <c r="B41" s="1271"/>
      <c r="C41" s="922">
        <f aca="true" t="shared" si="0" ref="C41:H41">C35+C36+C37+C38+C39+C40</f>
        <v>258.36</v>
      </c>
      <c r="D41" s="274">
        <f t="shared" si="0"/>
        <v>4258827.640000001</v>
      </c>
      <c r="E41" s="274">
        <f t="shared" si="0"/>
        <v>129028.09999999999</v>
      </c>
      <c r="F41" s="274">
        <f t="shared" si="0"/>
        <v>0</v>
      </c>
      <c r="G41" s="274">
        <f t="shared" si="0"/>
        <v>0</v>
      </c>
      <c r="H41" s="275">
        <f t="shared" si="0"/>
        <v>4401964.74</v>
      </c>
    </row>
    <row r="42" spans="1:8" ht="12.75">
      <c r="A42" s="220"/>
      <c r="B42" s="158"/>
      <c r="C42" s="158"/>
      <c r="D42" s="158"/>
      <c r="E42" s="158"/>
      <c r="F42" s="158"/>
      <c r="G42" s="158"/>
      <c r="H42" s="221"/>
    </row>
    <row r="43" spans="1:8" ht="12.75">
      <c r="A43" s="220"/>
      <c r="B43" s="158"/>
      <c r="C43" s="158"/>
      <c r="D43" s="158"/>
      <c r="E43" s="158"/>
      <c r="F43" s="158"/>
      <c r="G43" s="158"/>
      <c r="H43" s="221"/>
    </row>
    <row r="44" spans="1:8" ht="12.75">
      <c r="A44" s="1155" t="s">
        <v>359</v>
      </c>
      <c r="B44" s="1156"/>
      <c r="C44" s="1156"/>
      <c r="D44" s="158"/>
      <c r="E44" s="158"/>
      <c r="F44" s="158"/>
      <c r="G44" s="158"/>
      <c r="H44" s="221"/>
    </row>
    <row r="45" spans="1:8" ht="13.5" thickBot="1">
      <c r="A45" s="220"/>
      <c r="B45" s="158"/>
      <c r="C45" s="158"/>
      <c r="D45" s="158"/>
      <c r="E45" s="158"/>
      <c r="F45" s="158"/>
      <c r="G45" s="158"/>
      <c r="H45" s="221"/>
    </row>
    <row r="46" spans="1:8" ht="15" customHeight="1" thickBot="1">
      <c r="A46" s="1268" t="s">
        <v>574</v>
      </c>
      <c r="B46" s="1269"/>
      <c r="C46" s="1269"/>
      <c r="D46" s="1270"/>
      <c r="E46" s="1265" t="s">
        <v>66</v>
      </c>
      <c r="F46" s="1266"/>
      <c r="G46" s="1266"/>
      <c r="H46" s="1267"/>
    </row>
    <row r="47" spans="1:8" ht="15" customHeight="1">
      <c r="A47" s="1251" t="s">
        <v>377</v>
      </c>
      <c r="B47" s="1264"/>
      <c r="C47" s="270"/>
      <c r="D47" s="158"/>
      <c r="E47" s="158"/>
      <c r="F47" s="158"/>
      <c r="G47" s="158"/>
      <c r="H47" s="276">
        <v>226120</v>
      </c>
    </row>
    <row r="48" spans="1:8" ht="15" customHeight="1">
      <c r="A48" s="1251" t="s">
        <v>360</v>
      </c>
      <c r="B48" s="1264"/>
      <c r="C48" s="270"/>
      <c r="D48" s="158"/>
      <c r="E48" s="158"/>
      <c r="F48" s="158"/>
      <c r="G48" s="158"/>
      <c r="H48" s="277">
        <v>1040011.43</v>
      </c>
    </row>
    <row r="49" spans="1:8" ht="15" customHeight="1" thickBot="1">
      <c r="A49" s="1262" t="s">
        <v>361</v>
      </c>
      <c r="B49" s="1263"/>
      <c r="C49" s="278"/>
      <c r="D49" s="279"/>
      <c r="E49" s="279"/>
      <c r="F49" s="279"/>
      <c r="G49" s="279"/>
      <c r="H49" s="280">
        <f>H47+H48</f>
        <v>1266131.4300000002</v>
      </c>
    </row>
    <row r="50" spans="1:8" ht="12.75">
      <c r="A50" s="220"/>
      <c r="B50" s="158"/>
      <c r="C50" s="158"/>
      <c r="D50" s="158"/>
      <c r="E50" s="158"/>
      <c r="F50" s="158"/>
      <c r="G50" s="158"/>
      <c r="H50" s="535"/>
    </row>
    <row r="51" spans="1:8" ht="12.75">
      <c r="A51" s="220"/>
      <c r="B51" s="158"/>
      <c r="C51" s="158"/>
      <c r="D51" s="158"/>
      <c r="E51" s="158"/>
      <c r="F51" s="158"/>
      <c r="G51" s="158"/>
      <c r="H51" s="221"/>
    </row>
    <row r="52" spans="1:8" ht="12.75">
      <c r="A52" s="220"/>
      <c r="B52" s="281" t="s">
        <v>362</v>
      </c>
      <c r="C52" s="158"/>
      <c r="D52" s="158"/>
      <c r="E52" s="158"/>
      <c r="F52" s="158"/>
      <c r="G52" s="158"/>
      <c r="H52" s="221"/>
    </row>
    <row r="53" spans="1:8" ht="12.75">
      <c r="A53" s="220"/>
      <c r="B53" s="158"/>
      <c r="C53" s="158"/>
      <c r="D53" s="158"/>
      <c r="E53" s="158"/>
      <c r="F53" s="158"/>
      <c r="G53" s="158"/>
      <c r="H53" s="221"/>
    </row>
    <row r="54" spans="1:8" ht="12.75" customHeight="1">
      <c r="A54" s="1253" t="s">
        <v>878</v>
      </c>
      <c r="B54" s="1254"/>
      <c r="C54" s="1254"/>
      <c r="D54" s="1254"/>
      <c r="E54" s="1254"/>
      <c r="F54" s="1254"/>
      <c r="G54" s="1254"/>
      <c r="H54" s="1255"/>
    </row>
    <row r="55" spans="1:8" ht="12.75">
      <c r="A55" s="1256"/>
      <c r="B55" s="1257"/>
      <c r="C55" s="1257"/>
      <c r="D55" s="1257"/>
      <c r="E55" s="1257"/>
      <c r="F55" s="1257"/>
      <c r="G55" s="1257"/>
      <c r="H55" s="1258"/>
    </row>
    <row r="56" spans="1:8" ht="12.75">
      <c r="A56" s="1256"/>
      <c r="B56" s="1257"/>
      <c r="C56" s="1257"/>
      <c r="D56" s="1257"/>
      <c r="E56" s="1257"/>
      <c r="F56" s="1257"/>
      <c r="G56" s="1257"/>
      <c r="H56" s="1258"/>
    </row>
    <row r="57" spans="1:8" ht="12.75">
      <c r="A57" s="1256"/>
      <c r="B57" s="1257"/>
      <c r="C57" s="1257"/>
      <c r="D57" s="1257"/>
      <c r="E57" s="1257"/>
      <c r="F57" s="1257"/>
      <c r="G57" s="1257"/>
      <c r="H57" s="1258"/>
    </row>
    <row r="58" spans="1:8" ht="12.75">
      <c r="A58" s="1259"/>
      <c r="B58" s="1260"/>
      <c r="C58" s="1260"/>
      <c r="D58" s="1260"/>
      <c r="E58" s="1260"/>
      <c r="F58" s="1260"/>
      <c r="G58" s="1260"/>
      <c r="H58" s="1261"/>
    </row>
    <row r="59" spans="1:8" ht="13.5" thickBot="1">
      <c r="A59" s="282"/>
      <c r="B59" s="279"/>
      <c r="C59" s="279"/>
      <c r="D59" s="279"/>
      <c r="E59" s="279"/>
      <c r="F59" s="279"/>
      <c r="G59" s="279"/>
      <c r="H59" s="283"/>
    </row>
  </sheetData>
  <sheetProtection/>
  <mergeCells count="33">
    <mergeCell ref="F26:G26"/>
    <mergeCell ref="F33:F34"/>
    <mergeCell ref="D32:H32"/>
    <mergeCell ref="G33:G34"/>
    <mergeCell ref="F25:G25"/>
    <mergeCell ref="A13:B13"/>
    <mergeCell ref="A21:D21"/>
    <mergeCell ref="A23:E23"/>
    <mergeCell ref="C32:C34"/>
    <mergeCell ref="A32:B34"/>
    <mergeCell ref="H7:H8"/>
    <mergeCell ref="A7:G7"/>
    <mergeCell ref="A8:G8"/>
    <mergeCell ref="A9:G9"/>
    <mergeCell ref="H33:H34"/>
    <mergeCell ref="D33:D34"/>
    <mergeCell ref="A30:C30"/>
    <mergeCell ref="B11:H11"/>
    <mergeCell ref="A44:C44"/>
    <mergeCell ref="A36:B36"/>
    <mergeCell ref="A39:B39"/>
    <mergeCell ref="A37:B37"/>
    <mergeCell ref="A38:B38"/>
    <mergeCell ref="E33:E34"/>
    <mergeCell ref="A35:B35"/>
    <mergeCell ref="A54:H58"/>
    <mergeCell ref="A40:B40"/>
    <mergeCell ref="A49:B49"/>
    <mergeCell ref="A48:B48"/>
    <mergeCell ref="A47:B47"/>
    <mergeCell ref="E46:H46"/>
    <mergeCell ref="A46:D46"/>
    <mergeCell ref="A41:B41"/>
  </mergeCells>
  <printOptions horizontalCentered="1" verticalCentered="1"/>
  <pageMargins left="0.4330708661417323" right="0.2362204724409449" top="0.7086614173228347" bottom="0.984251968503937" header="0" footer="0"/>
  <pageSetup horizontalDpi="600" verticalDpi="600" orientation="portrait" paperSize="9" scale="70" r:id="rId2"/>
  <headerFooter alignWithMargins="0">
    <oddFooter>&amp;L&amp;7Plaza de España, 1
38003 Santa Cruz de Tenerife
Teléfono: 901 501 901
www.tenerife.es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60" zoomScalePageLayoutView="0" workbookViewId="0" topLeftCell="A1">
      <selection activeCell="K26" sqref="K26"/>
    </sheetView>
  </sheetViews>
  <sheetFormatPr defaultColWidth="11.421875" defaultRowHeight="12.75"/>
  <cols>
    <col min="1" max="1" width="4.57421875" style="0" customWidth="1"/>
    <col min="2" max="2" width="10.28125" style="0" customWidth="1"/>
    <col min="7" max="7" width="17.28125" style="0" customWidth="1"/>
    <col min="8" max="8" width="9.8515625" style="0" bestFit="1" customWidth="1"/>
  </cols>
  <sheetData>
    <row r="1" spans="1:8" ht="12.75">
      <c r="A1" s="652"/>
      <c r="B1" s="652"/>
      <c r="C1" s="652"/>
      <c r="D1" s="653" t="s">
        <v>534</v>
      </c>
      <c r="E1" s="652"/>
      <c r="F1" s="652"/>
      <c r="G1" s="652"/>
      <c r="H1" s="652"/>
    </row>
    <row r="2" spans="1:8" ht="12.75">
      <c r="A2" s="652"/>
      <c r="B2" s="652"/>
      <c r="C2" s="652"/>
      <c r="D2" s="654" t="s">
        <v>535</v>
      </c>
      <c r="E2" s="652"/>
      <c r="F2" s="652"/>
      <c r="G2" s="652"/>
      <c r="H2" s="652"/>
    </row>
    <row r="3" spans="1:8" ht="12.75">
      <c r="A3" s="652"/>
      <c r="B3" s="654"/>
      <c r="C3" s="652"/>
      <c r="D3" s="652"/>
      <c r="E3" s="652"/>
      <c r="F3" s="652"/>
      <c r="G3" s="652"/>
      <c r="H3" s="652"/>
    </row>
    <row r="4" spans="1:9" ht="12.75">
      <c r="A4" s="652" t="s">
        <v>296</v>
      </c>
      <c r="B4" s="652"/>
      <c r="C4" s="652"/>
      <c r="D4" s="652"/>
      <c r="E4" s="652"/>
      <c r="F4" s="652"/>
      <c r="G4" s="655">
        <v>42339</v>
      </c>
      <c r="H4" s="652"/>
      <c r="I4" t="s">
        <v>830</v>
      </c>
    </row>
    <row r="5" spans="1:8" ht="12.75">
      <c r="A5" s="652" t="s">
        <v>533</v>
      </c>
      <c r="B5" s="652"/>
      <c r="C5" s="652"/>
      <c r="D5" s="652"/>
      <c r="E5" s="652"/>
      <c r="F5" s="652"/>
      <c r="G5" s="656" t="s">
        <v>536</v>
      </c>
      <c r="H5" s="652"/>
    </row>
    <row r="6" ht="12" customHeight="1" thickBot="1"/>
    <row r="7" ht="13.5" hidden="1" thickBot="1"/>
    <row r="8" spans="1:8" ht="56.25" customHeight="1">
      <c r="A8" s="1009" t="s">
        <v>77</v>
      </c>
      <c r="B8" s="1010"/>
      <c r="C8" s="1010"/>
      <c r="D8" s="1010"/>
      <c r="E8" s="1010"/>
      <c r="F8" s="1010"/>
      <c r="G8" s="1010"/>
      <c r="H8" s="657">
        <v>2016</v>
      </c>
    </row>
    <row r="9" spans="1:8" s="603" customFormat="1" ht="27.75" customHeight="1">
      <c r="A9" s="1011" t="str">
        <f>CPYG!A8</f>
        <v>EMPRESA PÚBLICA: INSTITUTO TECNOLOGICO DE ENERGIAS RENOVABLES SA</v>
      </c>
      <c r="B9" s="1012"/>
      <c r="C9" s="1012"/>
      <c r="D9" s="1012"/>
      <c r="E9" s="1012"/>
      <c r="F9" s="1012"/>
      <c r="G9" s="1012"/>
      <c r="H9" s="1013"/>
    </row>
    <row r="10" spans="1:8" ht="12.75">
      <c r="A10" s="604"/>
      <c r="B10" s="605"/>
      <c r="C10" s="605"/>
      <c r="D10" s="605"/>
      <c r="E10" s="605"/>
      <c r="F10" s="605"/>
      <c r="G10" s="605"/>
      <c r="H10" s="606"/>
    </row>
    <row r="11" spans="1:8" ht="15.75">
      <c r="A11" s="607" t="s">
        <v>297</v>
      </c>
      <c r="B11" s="608"/>
      <c r="C11" s="608"/>
      <c r="D11" s="605"/>
      <c r="E11" s="605"/>
      <c r="F11" s="605"/>
      <c r="G11" s="605"/>
      <c r="H11" s="606"/>
    </row>
    <row r="12" spans="1:8" ht="12.75">
      <c r="A12" s="604"/>
      <c r="B12" s="605"/>
      <c r="C12" s="605"/>
      <c r="D12" s="605"/>
      <c r="E12" s="605"/>
      <c r="F12" s="605"/>
      <c r="G12" s="605"/>
      <c r="H12" s="606"/>
    </row>
    <row r="13" spans="1:8" ht="12.75">
      <c r="A13" s="609" t="s">
        <v>598</v>
      </c>
      <c r="B13" s="608"/>
      <c r="C13" s="608"/>
      <c r="D13" s="605"/>
      <c r="E13" s="605"/>
      <c r="F13" s="605"/>
      <c r="G13" s="605"/>
      <c r="H13" s="649"/>
    </row>
    <row r="14" spans="1:8" ht="12.75">
      <c r="A14" s="604"/>
      <c r="B14" s="605"/>
      <c r="C14" s="605"/>
      <c r="D14" s="605"/>
      <c r="E14" s="605"/>
      <c r="F14" s="605"/>
      <c r="G14" s="605"/>
      <c r="H14" s="606"/>
    </row>
    <row r="15" spans="1:8" ht="12.75">
      <c r="A15" s="604"/>
      <c r="B15" s="605" t="s">
        <v>599</v>
      </c>
      <c r="C15" s="605"/>
      <c r="D15" s="605"/>
      <c r="E15" s="605"/>
      <c r="F15" s="605"/>
      <c r="G15" s="605"/>
      <c r="H15" s="649">
        <f>+H16+H17</f>
        <v>9</v>
      </c>
    </row>
    <row r="16" spans="1:8" ht="12.75">
      <c r="A16" s="604"/>
      <c r="B16" s="610" t="s">
        <v>600</v>
      </c>
      <c r="C16" s="605" t="s">
        <v>601</v>
      </c>
      <c r="D16" s="605"/>
      <c r="E16" s="605"/>
      <c r="F16" s="605"/>
      <c r="G16" s="605"/>
      <c r="H16" s="611">
        <v>8</v>
      </c>
    </row>
    <row r="17" spans="1:8" ht="12.75">
      <c r="A17" s="604"/>
      <c r="B17" s="610" t="s">
        <v>602</v>
      </c>
      <c r="C17" s="605" t="s">
        <v>603</v>
      </c>
      <c r="D17" s="605"/>
      <c r="E17" s="605"/>
      <c r="F17" s="605"/>
      <c r="G17" s="605"/>
      <c r="H17" s="611">
        <v>1</v>
      </c>
    </row>
    <row r="18" spans="1:8" ht="7.5" customHeight="1">
      <c r="A18" s="604"/>
      <c r="B18" s="605"/>
      <c r="C18" s="605"/>
      <c r="D18" s="605"/>
      <c r="E18" s="605"/>
      <c r="F18" s="605"/>
      <c r="G18" s="605"/>
      <c r="H18" s="606"/>
    </row>
    <row r="19" spans="1:8" ht="12.75">
      <c r="A19" s="604"/>
      <c r="B19" s="605" t="s">
        <v>604</v>
      </c>
      <c r="C19" s="605"/>
      <c r="D19" s="605"/>
      <c r="E19" s="605"/>
      <c r="F19" s="605"/>
      <c r="G19" s="605"/>
      <c r="H19" s="649"/>
    </row>
    <row r="20" spans="1:8" ht="13.5" thickBot="1">
      <c r="A20" s="612"/>
      <c r="B20" s="613"/>
      <c r="C20" s="613"/>
      <c r="D20" s="613"/>
      <c r="E20" s="613"/>
      <c r="F20" s="613"/>
      <c r="G20" s="613"/>
      <c r="H20" s="614"/>
    </row>
  </sheetData>
  <sheetProtection/>
  <mergeCells count="2">
    <mergeCell ref="A8:G8"/>
    <mergeCell ref="A9:H9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landscape" paperSize="9" r:id="rId2"/>
  <headerFooter alignWithMargins="0">
    <oddFooter>&amp;L&amp;7Plaza de España, 1
38003 Santa Cruz de Tenerife
Teléfono: 901 501 901
www.tenerife.es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58"/>
  <sheetViews>
    <sheetView showGridLines="0" view="pageBreakPreview" zoomScale="40" zoomScaleNormal="55" zoomScaleSheetLayoutView="40" zoomScalePageLayoutView="0" workbookViewId="0" topLeftCell="A1">
      <selection activeCell="B4" sqref="B4"/>
    </sheetView>
  </sheetViews>
  <sheetFormatPr defaultColWidth="11.57421875" defaultRowHeight="12.75"/>
  <cols>
    <col min="1" max="1" width="94.00390625" style="660" customWidth="1"/>
    <col min="2" max="2" width="23.7109375" style="660" customWidth="1"/>
    <col min="3" max="3" width="94.00390625" style="660" customWidth="1"/>
    <col min="4" max="4" width="34.140625" style="660" customWidth="1"/>
    <col min="5" max="5" width="11.57421875" style="660" customWidth="1"/>
    <col min="6" max="6" width="11.8515625" style="660" bestFit="1" customWidth="1"/>
    <col min="7" max="16384" width="11.57421875" style="660" customWidth="1"/>
  </cols>
  <sheetData>
    <row r="1" spans="1:7" ht="18">
      <c r="A1" s="658"/>
      <c r="B1" s="659" t="s">
        <v>534</v>
      </c>
      <c r="C1" s="658"/>
      <c r="D1" s="658"/>
      <c r="E1" s="658"/>
      <c r="G1" s="658"/>
    </row>
    <row r="2" spans="1:7" ht="18">
      <c r="A2" s="658"/>
      <c r="B2" s="661" t="s">
        <v>535</v>
      </c>
      <c r="C2" s="658"/>
      <c r="D2" s="658"/>
      <c r="E2" s="658"/>
      <c r="G2" s="658"/>
    </row>
    <row r="3" spans="1:7" ht="18">
      <c r="A3" s="658"/>
      <c r="B3" s="658"/>
      <c r="C3" s="658"/>
      <c r="D3" s="658"/>
      <c r="E3" s="658"/>
      <c r="F3" s="658"/>
      <c r="G3" s="658"/>
    </row>
    <row r="4" spans="1:7" ht="18">
      <c r="A4" s="662" t="s">
        <v>296</v>
      </c>
      <c r="B4" s="663">
        <v>42339</v>
      </c>
      <c r="C4" s="658"/>
      <c r="D4" s="658"/>
      <c r="E4" s="658"/>
      <c r="G4" s="664"/>
    </row>
    <row r="5" spans="1:7" ht="18">
      <c r="A5" s="662" t="s">
        <v>533</v>
      </c>
      <c r="B5" s="665" t="s">
        <v>536</v>
      </c>
      <c r="C5" s="658"/>
      <c r="D5" s="658"/>
      <c r="E5" s="658"/>
      <c r="G5" s="666"/>
    </row>
    <row r="6" ht="18.75" thickBot="1"/>
    <row r="7" spans="1:4" ht="49.5" customHeight="1" thickTop="1">
      <c r="A7" s="1292" t="s">
        <v>565</v>
      </c>
      <c r="B7" s="1293"/>
      <c r="C7" s="1294"/>
      <c r="D7" s="667">
        <f>CPYG!D7</f>
        <v>2016</v>
      </c>
    </row>
    <row r="8" spans="1:4" ht="42.75" customHeight="1">
      <c r="A8" s="1295" t="str">
        <f>CPYG!A8</f>
        <v>EMPRESA PÚBLICA: INSTITUTO TECNOLOGICO DE ENERGIAS RENOVABLES SA</v>
      </c>
      <c r="B8" s="1296"/>
      <c r="C8" s="1297"/>
      <c r="D8" s="668" t="s">
        <v>150</v>
      </c>
    </row>
    <row r="9" spans="1:4" s="669" customFormat="1" ht="24.75" customHeight="1">
      <c r="A9" s="1298" t="s">
        <v>804</v>
      </c>
      <c r="B9" s="1299"/>
      <c r="C9" s="1299"/>
      <c r="D9" s="1300"/>
    </row>
    <row r="10" spans="1:4" s="669" customFormat="1" ht="16.5" customHeight="1">
      <c r="A10" s="1301" t="s">
        <v>68</v>
      </c>
      <c r="B10" s="1302"/>
      <c r="C10" s="1303" t="s">
        <v>70</v>
      </c>
      <c r="D10" s="1304"/>
    </row>
    <row r="11" spans="1:4" s="669" customFormat="1" ht="19.5" customHeight="1">
      <c r="A11" s="670" t="s">
        <v>69</v>
      </c>
      <c r="B11" s="671" t="s">
        <v>66</v>
      </c>
      <c r="C11" s="671" t="s">
        <v>69</v>
      </c>
      <c r="D11" s="672" t="s">
        <v>66</v>
      </c>
    </row>
    <row r="12" spans="1:4" s="669" customFormat="1" ht="31.5" customHeight="1">
      <c r="A12" s="673" t="s">
        <v>93</v>
      </c>
      <c r="B12" s="674">
        <v>879609.9</v>
      </c>
      <c r="C12" s="675" t="s">
        <v>93</v>
      </c>
      <c r="D12" s="676"/>
    </row>
    <row r="13" spans="1:4" s="669" customFormat="1" ht="31.5" customHeight="1">
      <c r="A13" s="677" t="s">
        <v>94</v>
      </c>
      <c r="B13" s="678"/>
      <c r="C13" s="679" t="s">
        <v>94</v>
      </c>
      <c r="D13" s="680"/>
    </row>
    <row r="14" spans="1:4" s="669" customFormat="1" ht="31.5" customHeight="1">
      <c r="A14" s="677" t="s">
        <v>95</v>
      </c>
      <c r="B14" s="678"/>
      <c r="C14" s="679" t="s">
        <v>95</v>
      </c>
      <c r="D14" s="680"/>
    </row>
    <row r="15" spans="1:4" s="669" customFormat="1" ht="31.5" customHeight="1">
      <c r="A15" s="677" t="s">
        <v>96</v>
      </c>
      <c r="B15" s="678"/>
      <c r="C15" s="679" t="s">
        <v>96</v>
      </c>
      <c r="D15" s="680"/>
    </row>
    <row r="16" spans="1:4" s="669" customFormat="1" ht="31.5" customHeight="1">
      <c r="A16" s="677" t="s">
        <v>97</v>
      </c>
      <c r="B16" s="678"/>
      <c r="C16" s="679" t="s">
        <v>97</v>
      </c>
      <c r="D16" s="680"/>
    </row>
    <row r="17" spans="1:4" s="669" customFormat="1" ht="31.5" customHeight="1">
      <c r="A17" s="677" t="s">
        <v>564</v>
      </c>
      <c r="B17" s="674">
        <v>5000</v>
      </c>
      <c r="C17" s="679" t="s">
        <v>564</v>
      </c>
      <c r="D17" s="680"/>
    </row>
    <row r="18" spans="1:4" s="684" customFormat="1" ht="31.5" customHeight="1">
      <c r="A18" s="681" t="s">
        <v>805</v>
      </c>
      <c r="B18" s="682"/>
      <c r="C18" s="679" t="s">
        <v>805</v>
      </c>
      <c r="D18" s="683"/>
    </row>
    <row r="19" spans="1:4" s="669" customFormat="1" ht="31.5" customHeight="1">
      <c r="A19" s="677" t="s">
        <v>130</v>
      </c>
      <c r="B19" s="678"/>
      <c r="C19" s="679" t="s">
        <v>130</v>
      </c>
      <c r="D19" s="680"/>
    </row>
    <row r="20" spans="1:6" s="669" customFormat="1" ht="31.5" customHeight="1">
      <c r="A20" s="677" t="s">
        <v>98</v>
      </c>
      <c r="B20" s="678"/>
      <c r="C20" s="679" t="s">
        <v>98</v>
      </c>
      <c r="D20" s="680"/>
      <c r="F20" s="685"/>
    </row>
    <row r="21" spans="1:4" s="669" customFormat="1" ht="31.5" customHeight="1">
      <c r="A21" s="677" t="s">
        <v>99</v>
      </c>
      <c r="B21" s="678"/>
      <c r="C21" s="679" t="s">
        <v>99</v>
      </c>
      <c r="D21" s="680"/>
    </row>
    <row r="22" spans="1:4" s="669" customFormat="1" ht="31.5" customHeight="1">
      <c r="A22" s="677" t="s">
        <v>100</v>
      </c>
      <c r="B22" s="678"/>
      <c r="C22" s="679" t="s">
        <v>100</v>
      </c>
      <c r="D22" s="680"/>
    </row>
    <row r="23" spans="1:4" s="669" customFormat="1" ht="31.5" customHeight="1">
      <c r="A23" s="677" t="s">
        <v>102</v>
      </c>
      <c r="B23" s="678"/>
      <c r="C23" s="679" t="s">
        <v>102</v>
      </c>
      <c r="D23" s="680"/>
    </row>
    <row r="24" spans="1:4" s="669" customFormat="1" ht="31.5" customHeight="1">
      <c r="A24" s="677" t="s">
        <v>101</v>
      </c>
      <c r="B24" s="678"/>
      <c r="C24" s="679" t="s">
        <v>101</v>
      </c>
      <c r="D24" s="680"/>
    </row>
    <row r="25" spans="1:4" s="669" customFormat="1" ht="31.5" customHeight="1">
      <c r="A25" s="677" t="s">
        <v>806</v>
      </c>
      <c r="B25" s="678"/>
      <c r="C25" s="679" t="s">
        <v>807</v>
      </c>
      <c r="D25" s="680"/>
    </row>
    <row r="26" spans="1:4" s="684" customFormat="1" ht="31.5" customHeight="1">
      <c r="A26" s="681" t="s">
        <v>103</v>
      </c>
      <c r="B26" s="682"/>
      <c r="C26" s="679" t="s">
        <v>103</v>
      </c>
      <c r="D26" s="683"/>
    </row>
    <row r="27" spans="1:4" s="669" customFormat="1" ht="31.5" customHeight="1">
      <c r="A27" s="677" t="s">
        <v>808</v>
      </c>
      <c r="B27" s="678"/>
      <c r="C27" s="679" t="s">
        <v>808</v>
      </c>
      <c r="D27" s="680"/>
    </row>
    <row r="28" spans="1:4" s="669" customFormat="1" ht="31.5" customHeight="1">
      <c r="A28" s="677" t="s">
        <v>106</v>
      </c>
      <c r="B28" s="678"/>
      <c r="C28" s="679" t="s">
        <v>106</v>
      </c>
      <c r="D28" s="680"/>
    </row>
    <row r="29" spans="1:4" s="669" customFormat="1" ht="31.5" customHeight="1">
      <c r="A29" s="677" t="s">
        <v>809</v>
      </c>
      <c r="B29" s="678"/>
      <c r="C29" s="679" t="s">
        <v>809</v>
      </c>
      <c r="D29" s="680"/>
    </row>
    <row r="30" spans="1:4" s="669" customFormat="1" ht="31.5" customHeight="1">
      <c r="A30" s="677" t="s">
        <v>810</v>
      </c>
      <c r="B30" s="678"/>
      <c r="C30" s="679" t="s">
        <v>810</v>
      </c>
      <c r="D30" s="680"/>
    </row>
    <row r="31" spans="1:4" s="669" customFormat="1" ht="31.5" customHeight="1">
      <c r="A31" s="677" t="s">
        <v>105</v>
      </c>
      <c r="B31" s="674">
        <v>13168.21</v>
      </c>
      <c r="C31" s="679" t="s">
        <v>105</v>
      </c>
      <c r="D31" s="680"/>
    </row>
    <row r="32" spans="1:4" s="669" customFormat="1" ht="31.5" customHeight="1">
      <c r="A32" s="677" t="s">
        <v>811</v>
      </c>
      <c r="B32" s="678"/>
      <c r="C32" s="679" t="s">
        <v>811</v>
      </c>
      <c r="D32" s="680"/>
    </row>
    <row r="33" spans="1:4" s="669" customFormat="1" ht="31.5" customHeight="1">
      <c r="A33" s="677" t="s">
        <v>812</v>
      </c>
      <c r="B33" s="678"/>
      <c r="C33" s="679" t="s">
        <v>812</v>
      </c>
      <c r="D33" s="680"/>
    </row>
    <row r="34" spans="1:4" s="669" customFormat="1" ht="31.5" customHeight="1">
      <c r="A34" s="677" t="s">
        <v>813</v>
      </c>
      <c r="B34" s="678"/>
      <c r="C34" s="679" t="s">
        <v>813</v>
      </c>
      <c r="D34" s="680"/>
    </row>
    <row r="35" spans="1:4" s="669" customFormat="1" ht="31.5" customHeight="1">
      <c r="A35" s="677" t="s">
        <v>814</v>
      </c>
      <c r="B35" s="678"/>
      <c r="C35" s="679" t="s">
        <v>814</v>
      </c>
      <c r="D35" s="680"/>
    </row>
    <row r="36" spans="1:4" s="669" customFormat="1" ht="31.5" customHeight="1">
      <c r="A36" s="686" t="s">
        <v>882</v>
      </c>
      <c r="B36" s="678">
        <v>65000</v>
      </c>
      <c r="C36" s="679" t="s">
        <v>882</v>
      </c>
      <c r="D36" s="680"/>
    </row>
    <row r="37" spans="1:4" s="669" customFormat="1" ht="31.5" customHeight="1">
      <c r="A37" s="686" t="s">
        <v>884</v>
      </c>
      <c r="B37" s="678">
        <v>5811.5</v>
      </c>
      <c r="C37" s="679" t="s">
        <v>884</v>
      </c>
      <c r="D37" s="680">
        <v>54000</v>
      </c>
    </row>
    <row r="38" spans="1:4" s="669" customFormat="1" ht="31.5" customHeight="1">
      <c r="A38" s="686" t="s">
        <v>136</v>
      </c>
      <c r="B38" s="678">
        <v>1368412.89</v>
      </c>
      <c r="C38" s="679" t="s">
        <v>136</v>
      </c>
      <c r="D38" s="680"/>
    </row>
    <row r="39" spans="1:4" s="669" customFormat="1" ht="31.5" customHeight="1">
      <c r="A39" s="686" t="s">
        <v>762</v>
      </c>
      <c r="B39" s="678"/>
      <c r="C39" s="679" t="str">
        <f>A39</f>
        <v>FUNDACION TENERIFE RURAL</v>
      </c>
      <c r="D39" s="680"/>
    </row>
    <row r="40" spans="1:4" s="669" customFormat="1" ht="31.5" customHeight="1">
      <c r="A40" s="686" t="s">
        <v>132</v>
      </c>
      <c r="B40" s="678"/>
      <c r="C40" s="679" t="s">
        <v>132</v>
      </c>
      <c r="D40" s="680"/>
    </row>
    <row r="41" spans="1:4" s="669" customFormat="1" ht="31.5" customHeight="1">
      <c r="A41" s="686" t="s">
        <v>131</v>
      </c>
      <c r="B41" s="678"/>
      <c r="C41" s="679" t="s">
        <v>131</v>
      </c>
      <c r="D41" s="680"/>
    </row>
    <row r="42" spans="1:4" s="669" customFormat="1" ht="31.5" customHeight="1">
      <c r="A42" s="686" t="s">
        <v>133</v>
      </c>
      <c r="B42" s="678">
        <v>24013.5</v>
      </c>
      <c r="C42" s="679" t="s">
        <v>133</v>
      </c>
      <c r="D42" s="680">
        <v>425537.83</v>
      </c>
    </row>
    <row r="43" spans="1:4" s="669" customFormat="1" ht="19.5" customHeight="1" thickBot="1">
      <c r="A43" s="687" t="s">
        <v>91</v>
      </c>
      <c r="B43" s="688">
        <f>SUM(B12:B42)</f>
        <v>2361016</v>
      </c>
      <c r="C43" s="689" t="s">
        <v>91</v>
      </c>
      <c r="D43" s="690">
        <f>SUM(D12:D42)</f>
        <v>479537.83</v>
      </c>
    </row>
    <row r="44" ht="18.75" thickTop="1">
      <c r="B44" s="691"/>
    </row>
    <row r="45" ht="18.75" thickBot="1"/>
    <row r="46" spans="1:4" ht="18.75" thickBot="1">
      <c r="A46" s="1289" t="s">
        <v>134</v>
      </c>
      <c r="B46" s="1290"/>
      <c r="C46" s="1290"/>
      <c r="D46" s="1291"/>
    </row>
    <row r="47" spans="1:4" ht="18.75" thickBot="1">
      <c r="A47" s="1289" t="s">
        <v>804</v>
      </c>
      <c r="B47" s="1290"/>
      <c r="C47" s="1290"/>
      <c r="D47" s="1291"/>
    </row>
    <row r="48" spans="1:4" ht="18">
      <c r="A48" s="1306" t="s">
        <v>68</v>
      </c>
      <c r="B48" s="1307"/>
      <c r="C48" s="1308" t="s">
        <v>70</v>
      </c>
      <c r="D48" s="1309"/>
    </row>
    <row r="49" spans="1:4" ht="18">
      <c r="A49" s="692" t="s">
        <v>69</v>
      </c>
      <c r="B49" s="671" t="s">
        <v>66</v>
      </c>
      <c r="C49" s="671" t="s">
        <v>69</v>
      </c>
      <c r="D49" s="693" t="s">
        <v>66</v>
      </c>
    </row>
    <row r="50" spans="1:4" s="669" customFormat="1" ht="29.25" customHeight="1">
      <c r="A50" s="694" t="s">
        <v>135</v>
      </c>
      <c r="B50" s="678"/>
      <c r="C50" s="679" t="s">
        <v>135</v>
      </c>
      <c r="D50" s="695"/>
    </row>
    <row r="51" spans="1:4" s="669" customFormat="1" ht="19.5" customHeight="1" thickBot="1">
      <c r="A51" s="696" t="s">
        <v>91</v>
      </c>
      <c r="B51" s="697">
        <f>SUM(B50:B50)</f>
        <v>0</v>
      </c>
      <c r="C51" s="698" t="s">
        <v>91</v>
      </c>
      <c r="D51" s="699">
        <f>SUM(D50:D50)</f>
        <v>0</v>
      </c>
    </row>
    <row r="52" spans="1:2" ht="18">
      <c r="A52" s="700"/>
      <c r="B52" s="691"/>
    </row>
    <row r="53" ht="18">
      <c r="B53" s="691"/>
    </row>
    <row r="54" spans="1:4" ht="18" hidden="1">
      <c r="A54" s="1305" t="s">
        <v>104</v>
      </c>
      <c r="B54" s="1305"/>
      <c r="C54" s="1305"/>
      <c r="D54" s="1305"/>
    </row>
    <row r="55" spans="1:4" ht="18" hidden="1">
      <c r="A55" s="1305" t="s">
        <v>107</v>
      </c>
      <c r="B55" s="1305"/>
      <c r="C55" s="1305"/>
      <c r="D55" s="1305"/>
    </row>
    <row r="56" ht="18" hidden="1">
      <c r="B56" s="691"/>
    </row>
    <row r="57" ht="18">
      <c r="B57" s="691"/>
    </row>
    <row r="58" ht="18">
      <c r="B58" s="691"/>
    </row>
  </sheetData>
  <sheetProtection/>
  <mergeCells count="11">
    <mergeCell ref="A55:D55"/>
    <mergeCell ref="A54:D54"/>
    <mergeCell ref="A47:D47"/>
    <mergeCell ref="A48:B48"/>
    <mergeCell ref="C48:D48"/>
    <mergeCell ref="A46:D46"/>
    <mergeCell ref="A7:C7"/>
    <mergeCell ref="A8:C8"/>
    <mergeCell ref="A9:D9"/>
    <mergeCell ref="A10:B10"/>
    <mergeCell ref="C10:D10"/>
  </mergeCells>
  <printOptions horizontalCentered="1" verticalCentered="1"/>
  <pageMargins left="0.15748031496062992" right="0.2362204724409449" top="0.3937007874015748" bottom="0.984251968503937" header="0" footer="0"/>
  <pageSetup horizontalDpi="300" verticalDpi="300" orientation="portrait" paperSize="9" scale="35" r:id="rId2"/>
  <headerFooter alignWithMargins="0">
    <oddFooter>&amp;L&amp;7Plaza de España, 1
38003 Santa Cruz de Tenerife
Teléfono: 901 501 901
www.tenerife.es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54"/>
  <sheetViews>
    <sheetView showGridLines="0" tabSelected="1" view="pageBreakPreview" zoomScale="70" zoomScaleSheetLayoutView="70" zoomScalePageLayoutView="0" workbookViewId="0" topLeftCell="A1">
      <selection activeCell="H11" sqref="H11"/>
    </sheetView>
  </sheetViews>
  <sheetFormatPr defaultColWidth="11.57421875" defaultRowHeight="12.75"/>
  <cols>
    <col min="1" max="1" width="17.7109375" style="133" customWidth="1"/>
    <col min="2" max="2" width="49.8515625" style="133" customWidth="1"/>
    <col min="3" max="5" width="17.140625" style="133" customWidth="1"/>
    <col min="6" max="16384" width="11.57421875" style="133" customWidth="1"/>
  </cols>
  <sheetData>
    <row r="1" spans="1:7" ht="12.75">
      <c r="A1" s="267"/>
      <c r="B1" s="267"/>
      <c r="C1" s="653" t="s">
        <v>534</v>
      </c>
      <c r="D1" s="267"/>
      <c r="E1" s="267"/>
      <c r="G1" s="267"/>
    </row>
    <row r="2" spans="1:7" ht="12.75">
      <c r="A2" s="267"/>
      <c r="B2" s="267"/>
      <c r="C2" s="654" t="s">
        <v>535</v>
      </c>
      <c r="D2" s="267"/>
      <c r="E2" s="267"/>
      <c r="G2" s="267"/>
    </row>
    <row r="3" spans="1:7" ht="12.75">
      <c r="A3" s="267"/>
      <c r="B3" s="267"/>
      <c r="C3" s="267"/>
      <c r="D3" s="267"/>
      <c r="E3" s="267"/>
      <c r="G3" s="267"/>
    </row>
    <row r="4" spans="1:7" ht="12.75">
      <c r="A4" s="652" t="s">
        <v>296</v>
      </c>
      <c r="B4" s="267"/>
      <c r="C4" s="655">
        <v>42339</v>
      </c>
      <c r="D4" s="267"/>
      <c r="E4" s="267"/>
      <c r="G4" s="850"/>
    </row>
    <row r="5" spans="1:7" ht="12.75">
      <c r="A5" s="652" t="s">
        <v>533</v>
      </c>
      <c r="B5" s="267"/>
      <c r="C5" s="656" t="s">
        <v>536</v>
      </c>
      <c r="D5" s="267"/>
      <c r="E5" s="267"/>
      <c r="G5" s="851"/>
    </row>
    <row r="6" ht="13.5" thickBot="1"/>
    <row r="7" spans="1:5" ht="49.5" customHeight="1">
      <c r="A7" s="1062" t="s">
        <v>565</v>
      </c>
      <c r="B7" s="1063"/>
      <c r="C7" s="1063"/>
      <c r="D7" s="1063"/>
      <c r="E7" s="222">
        <f>CPYG!D7</f>
        <v>2016</v>
      </c>
    </row>
    <row r="8" spans="1:5" ht="44.25" customHeight="1">
      <c r="A8" s="1310" t="str">
        <f>CPYG!A8</f>
        <v>EMPRESA PÚBLICA: INSTITUTO TECNOLOGICO DE ENERGIAS RENOVABLES SA</v>
      </c>
      <c r="B8" s="964"/>
      <c r="C8" s="964"/>
      <c r="D8" s="1019"/>
      <c r="E8" s="286" t="s">
        <v>149</v>
      </c>
    </row>
    <row r="9" spans="1:5" ht="24.75" customHeight="1">
      <c r="A9" s="1311" t="s">
        <v>815</v>
      </c>
      <c r="B9" s="1312"/>
      <c r="C9" s="1312"/>
      <c r="D9" s="1312"/>
      <c r="E9" s="1313"/>
    </row>
    <row r="10" spans="1:5" ht="30" customHeight="1">
      <c r="A10" s="287" t="s">
        <v>64</v>
      </c>
      <c r="B10" s="284" t="s">
        <v>65</v>
      </c>
      <c r="C10" s="594" t="s">
        <v>336</v>
      </c>
      <c r="D10" s="594" t="s">
        <v>674</v>
      </c>
      <c r="E10" s="288" t="s">
        <v>67</v>
      </c>
    </row>
    <row r="11" spans="1:5" ht="19.5" customHeight="1">
      <c r="A11" s="289"/>
      <c r="B11" s="293"/>
      <c r="C11" s="293"/>
      <c r="D11" s="854"/>
      <c r="E11" s="291"/>
    </row>
    <row r="12" spans="1:5" ht="19.5" customHeight="1">
      <c r="A12" s="587"/>
      <c r="B12" s="588"/>
      <c r="C12" s="588"/>
      <c r="D12" s="855"/>
      <c r="E12" s="589"/>
    </row>
    <row r="13" spans="1:5" ht="19.5" customHeight="1">
      <c r="A13" s="587"/>
      <c r="B13" s="588"/>
      <c r="C13" s="588"/>
      <c r="D13" s="855"/>
      <c r="E13" s="589"/>
    </row>
    <row r="14" spans="1:5" ht="19.5" customHeight="1">
      <c r="A14" s="587"/>
      <c r="B14" s="588"/>
      <c r="C14" s="588"/>
      <c r="D14" s="855"/>
      <c r="E14" s="589"/>
    </row>
    <row r="15" spans="1:5" ht="19.5" customHeight="1">
      <c r="A15" s="289"/>
      <c r="B15" s="293"/>
      <c r="C15" s="293"/>
      <c r="D15" s="854"/>
      <c r="E15" s="291"/>
    </row>
    <row r="16" spans="1:5" ht="19.5" customHeight="1">
      <c r="A16" s="289"/>
      <c r="B16" s="293"/>
      <c r="C16" s="293"/>
      <c r="D16" s="854"/>
      <c r="E16" s="291"/>
    </row>
    <row r="17" spans="1:5" ht="19.5" customHeight="1">
      <c r="A17" s="289"/>
      <c r="B17" s="293"/>
      <c r="C17" s="293"/>
      <c r="D17" s="854"/>
      <c r="E17" s="291"/>
    </row>
    <row r="18" spans="1:5" ht="19.5" customHeight="1">
      <c r="A18" s="289"/>
      <c r="B18" s="293"/>
      <c r="C18" s="293"/>
      <c r="D18" s="854"/>
      <c r="E18" s="291"/>
    </row>
    <row r="19" spans="1:5" ht="19.5" customHeight="1">
      <c r="A19" s="289"/>
      <c r="B19" s="293"/>
      <c r="C19" s="293"/>
      <c r="D19" s="854"/>
      <c r="E19" s="291"/>
    </row>
    <row r="20" spans="1:5" ht="19.5" customHeight="1">
      <c r="A20" s="289"/>
      <c r="B20" s="292"/>
      <c r="C20" s="292"/>
      <c r="D20" s="293"/>
      <c r="E20" s="291"/>
    </row>
    <row r="21" spans="1:5" ht="19.5" customHeight="1">
      <c r="A21" s="289"/>
      <c r="B21" s="285"/>
      <c r="C21" s="593"/>
      <c r="D21" s="290"/>
      <c r="E21" s="291"/>
    </row>
    <row r="22" spans="1:5" ht="19.5" customHeight="1">
      <c r="A22" s="289"/>
      <c r="B22" s="285"/>
      <c r="C22" s="593"/>
      <c r="D22" s="290"/>
      <c r="E22" s="291"/>
    </row>
    <row r="23" spans="1:5" ht="19.5" customHeight="1">
      <c r="A23" s="289"/>
      <c r="B23" s="285"/>
      <c r="C23" s="593"/>
      <c r="D23" s="290"/>
      <c r="E23" s="291"/>
    </row>
    <row r="24" spans="1:5" ht="19.5" customHeight="1">
      <c r="A24" s="289"/>
      <c r="B24" s="285"/>
      <c r="C24" s="593"/>
      <c r="D24" s="290"/>
      <c r="E24" s="291"/>
    </row>
    <row r="25" spans="1:5" ht="19.5" customHeight="1">
      <c r="A25" s="289"/>
      <c r="B25" s="285"/>
      <c r="C25" s="593"/>
      <c r="D25" s="290"/>
      <c r="E25" s="291"/>
    </row>
    <row r="26" spans="1:5" ht="19.5" customHeight="1">
      <c r="A26" s="289"/>
      <c r="B26" s="285"/>
      <c r="C26" s="593"/>
      <c r="D26" s="290"/>
      <c r="E26" s="291"/>
    </row>
    <row r="27" spans="1:5" ht="19.5" customHeight="1">
      <c r="A27" s="289"/>
      <c r="B27" s="285"/>
      <c r="C27" s="593"/>
      <c r="D27" s="290"/>
      <c r="E27" s="291"/>
    </row>
    <row r="28" spans="1:5" ht="23.25" customHeight="1" thickBot="1">
      <c r="A28" s="294"/>
      <c r="B28" s="295"/>
      <c r="C28" s="295"/>
      <c r="D28" s="536">
        <f>SUM(D11:D27)</f>
        <v>0</v>
      </c>
      <c r="E28" s="280"/>
    </row>
    <row r="29" spans="2:3" ht="12.75">
      <c r="B29" s="551"/>
      <c r="C29" s="551"/>
    </row>
    <row r="30" spans="2:3" ht="12.75">
      <c r="B30" s="551"/>
      <c r="C30" s="551"/>
    </row>
    <row r="31" spans="4:5" ht="12.75">
      <c r="D31" s="169"/>
      <c r="E31" s="169"/>
    </row>
    <row r="32" spans="4:5" ht="12.75">
      <c r="D32" s="169"/>
      <c r="E32" s="169"/>
    </row>
    <row r="33" spans="2:5" ht="12.75">
      <c r="B33" s="551"/>
      <c r="C33" s="551"/>
      <c r="D33" s="169"/>
      <c r="E33" s="169"/>
    </row>
    <row r="34" spans="2:5" ht="12.75">
      <c r="B34" s="551"/>
      <c r="C34" s="551"/>
      <c r="D34" s="169"/>
      <c r="E34" s="169"/>
    </row>
    <row r="35" spans="4:5" ht="12.75">
      <c r="D35" s="169"/>
      <c r="E35" s="169"/>
    </row>
    <row r="36" spans="4:5" ht="12.75">
      <c r="D36" s="169"/>
      <c r="E36" s="169"/>
    </row>
    <row r="37" spans="2:5" ht="12.75">
      <c r="B37" s="577"/>
      <c r="C37" s="577"/>
      <c r="D37" s="578"/>
      <c r="E37" s="578"/>
    </row>
    <row r="38" spans="2:5" ht="12.75">
      <c r="B38" s="551"/>
      <c r="C38" s="551"/>
      <c r="D38" s="169"/>
      <c r="E38" s="169"/>
    </row>
    <row r="39" spans="2:3" ht="12.75">
      <c r="B39" s="551"/>
      <c r="C39" s="551"/>
    </row>
    <row r="40" spans="2:5" ht="12.75">
      <c r="B40" s="577"/>
      <c r="C40" s="577"/>
      <c r="D40" s="578"/>
      <c r="E40" s="578"/>
    </row>
    <row r="41" spans="2:5" ht="12.75">
      <c r="B41" s="577"/>
      <c r="C41" s="577"/>
      <c r="D41" s="578"/>
      <c r="E41" s="578"/>
    </row>
    <row r="42" spans="2:3" ht="12.75">
      <c r="B42" s="551"/>
      <c r="C42" s="551"/>
    </row>
    <row r="43" spans="2:3" ht="12.75">
      <c r="B43" s="551"/>
      <c r="C43" s="551"/>
    </row>
    <row r="44" spans="2:3" ht="12.75">
      <c r="B44" s="551"/>
      <c r="C44" s="551"/>
    </row>
    <row r="45" spans="2:3" ht="12.75">
      <c r="B45" s="551"/>
      <c r="C45" s="551"/>
    </row>
    <row r="46" spans="2:3" ht="12.75">
      <c r="B46" s="551"/>
      <c r="C46" s="551"/>
    </row>
    <row r="47" spans="2:3" ht="12.75">
      <c r="B47" s="551"/>
      <c r="C47" s="551"/>
    </row>
    <row r="48" spans="2:3" ht="12.75">
      <c r="B48" s="551"/>
      <c r="C48" s="551"/>
    </row>
    <row r="49" spans="2:3" ht="12.75">
      <c r="B49" s="551"/>
      <c r="C49" s="551"/>
    </row>
    <row r="50" spans="2:3" ht="12.75">
      <c r="B50" s="551"/>
      <c r="C50" s="551"/>
    </row>
    <row r="51" spans="2:3" ht="12.75">
      <c r="B51" s="551"/>
      <c r="C51" s="551"/>
    </row>
    <row r="52" spans="2:3" ht="12.75">
      <c r="B52" s="551"/>
      <c r="C52" s="551"/>
    </row>
    <row r="53" spans="2:3" ht="12.75">
      <c r="B53" s="551"/>
      <c r="C53" s="551"/>
    </row>
    <row r="54" spans="2:3" ht="12.75">
      <c r="B54" s="551"/>
      <c r="C54" s="551"/>
    </row>
  </sheetData>
  <sheetProtection/>
  <mergeCells count="3">
    <mergeCell ref="A7:D7"/>
    <mergeCell ref="A8:D8"/>
    <mergeCell ref="A9:E9"/>
  </mergeCells>
  <printOptions horizontalCentered="1" verticalCentered="1"/>
  <pageMargins left="0.2362204724409449" right="0.15748031496062992" top="0.3937007874015748" bottom="0.7086614173228347" header="0" footer="0"/>
  <pageSetup horizontalDpi="300" verticalDpi="300" orientation="portrait" paperSize="9" scale="80" r:id="rId2"/>
  <headerFooter alignWithMargins="0">
    <oddFooter>&amp;L&amp;7Plaza de España, 1
38003 Santa Cruz de Tenerife
Teléfono: 901 501 901
www.tenerife.es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H30"/>
  <sheetViews>
    <sheetView view="pageBreakPreview" zoomScale="60" zoomScalePageLayoutView="0" workbookViewId="0" topLeftCell="A33">
      <selection activeCell="L33" sqref="L33"/>
    </sheetView>
  </sheetViews>
  <sheetFormatPr defaultColWidth="11.421875" defaultRowHeight="12.75"/>
  <cols>
    <col min="1" max="1" width="4.57421875" style="0" customWidth="1"/>
    <col min="2" max="2" width="4.8515625" style="0" customWidth="1"/>
    <col min="7" max="7" width="22.57421875" style="0" customWidth="1"/>
    <col min="8" max="8" width="14.8515625" style="615" customWidth="1"/>
  </cols>
  <sheetData>
    <row r="1" spans="1:8" ht="12.75" hidden="1">
      <c r="A1" s="652"/>
      <c r="B1" s="652"/>
      <c r="C1" s="652"/>
      <c r="D1" s="653" t="s">
        <v>534</v>
      </c>
      <c r="E1" s="652"/>
      <c r="F1" s="652"/>
      <c r="G1" s="652"/>
      <c r="H1" s="652"/>
    </row>
    <row r="2" spans="1:8" ht="12.75" hidden="1">
      <c r="A2" s="652"/>
      <c r="B2" s="652"/>
      <c r="C2" s="652"/>
      <c r="D2" s="654" t="s">
        <v>535</v>
      </c>
      <c r="E2" s="652"/>
      <c r="F2" s="652"/>
      <c r="G2" s="652"/>
      <c r="H2" s="652"/>
    </row>
    <row r="3" spans="1:8" ht="12.75" hidden="1">
      <c r="A3" s="652"/>
      <c r="B3" s="654"/>
      <c r="C3" s="652"/>
      <c r="D3" s="652"/>
      <c r="E3" s="652"/>
      <c r="F3" s="652"/>
      <c r="G3" s="652"/>
      <c r="H3" s="652"/>
    </row>
    <row r="4" spans="1:8" ht="12.75" hidden="1">
      <c r="A4" s="652" t="s">
        <v>296</v>
      </c>
      <c r="B4" s="652"/>
      <c r="C4" s="652"/>
      <c r="D4" s="652"/>
      <c r="E4" s="652"/>
      <c r="F4" s="652"/>
      <c r="G4" s="655">
        <v>41974</v>
      </c>
      <c r="H4" s="652"/>
    </row>
    <row r="5" spans="1:8" ht="12.75" hidden="1">
      <c r="A5" s="652" t="s">
        <v>533</v>
      </c>
      <c r="B5" s="652"/>
      <c r="C5" s="652"/>
      <c r="D5" s="652"/>
      <c r="E5" s="652"/>
      <c r="F5" s="652"/>
      <c r="G5" s="656" t="s">
        <v>536</v>
      </c>
      <c r="H5" s="652"/>
    </row>
    <row r="6" ht="13.5" hidden="1" thickBot="1"/>
    <row r="7" spans="1:8" ht="51" customHeight="1" hidden="1">
      <c r="A7" s="1009" t="s">
        <v>77</v>
      </c>
      <c r="B7" s="1010"/>
      <c r="C7" s="1010"/>
      <c r="D7" s="1010"/>
      <c r="E7" s="1010"/>
      <c r="F7" s="1010"/>
      <c r="G7" s="1010"/>
      <c r="H7" s="657">
        <f>'ORGANOS DE GOBIERNO'!H8</f>
        <v>2016</v>
      </c>
    </row>
    <row r="8" spans="1:8" ht="24" customHeight="1" hidden="1">
      <c r="A8" s="1011" t="str">
        <f>'ORGANOS DE GOBIERNO'!A9:H9</f>
        <v>EMPRESA PÚBLICA: INSTITUTO TECNOLOGICO DE ENERGIAS RENOVABLES SA</v>
      </c>
      <c r="B8" s="1012"/>
      <c r="C8" s="1012"/>
      <c r="D8" s="1012"/>
      <c r="E8" s="1012"/>
      <c r="F8" s="1012"/>
      <c r="G8" s="1012"/>
      <c r="H8" s="1013"/>
    </row>
    <row r="9" spans="1:8" ht="12.75" hidden="1">
      <c r="A9" s="604"/>
      <c r="B9" s="605"/>
      <c r="C9" s="605"/>
      <c r="D9" s="605"/>
      <c r="E9" s="605"/>
      <c r="F9" s="605"/>
      <c r="G9" s="605"/>
      <c r="H9" s="616"/>
    </row>
    <row r="10" spans="1:8" ht="15.75" hidden="1">
      <c r="A10" s="607" t="s">
        <v>605</v>
      </c>
      <c r="B10" s="608"/>
      <c r="C10" s="608"/>
      <c r="D10" s="605"/>
      <c r="E10" s="605"/>
      <c r="F10" s="605"/>
      <c r="G10" s="605"/>
      <c r="H10" s="616"/>
    </row>
    <row r="11" spans="1:8" ht="12.75" hidden="1">
      <c r="A11" s="604"/>
      <c r="B11" s="605"/>
      <c r="C11" s="605"/>
      <c r="D11" s="605"/>
      <c r="E11" s="605"/>
      <c r="F11" s="605"/>
      <c r="G11" s="605"/>
      <c r="H11" s="616"/>
    </row>
    <row r="12" spans="1:8" ht="12.75" hidden="1">
      <c r="A12" s="609" t="s">
        <v>606</v>
      </c>
      <c r="B12" s="608" t="s">
        <v>607</v>
      </c>
      <c r="C12" s="608"/>
      <c r="D12" s="605"/>
      <c r="E12" s="605"/>
      <c r="F12" s="605"/>
      <c r="G12" s="605"/>
      <c r="H12" s="650"/>
    </row>
    <row r="13" spans="1:8" ht="12.75" hidden="1">
      <c r="A13" s="604"/>
      <c r="B13" s="605"/>
      <c r="C13" s="605"/>
      <c r="D13" s="605"/>
      <c r="E13" s="605"/>
      <c r="F13" s="605"/>
      <c r="G13" s="605"/>
      <c r="H13" s="616"/>
    </row>
    <row r="14" spans="1:8" ht="12.75" hidden="1">
      <c r="A14" s="604"/>
      <c r="B14" s="605" t="s">
        <v>608</v>
      </c>
      <c r="C14" s="605" t="s">
        <v>609</v>
      </c>
      <c r="D14" s="605"/>
      <c r="E14" s="605"/>
      <c r="F14" s="605"/>
      <c r="G14" s="605"/>
      <c r="H14" s="617"/>
    </row>
    <row r="15" spans="1:8" ht="12.75" hidden="1">
      <c r="A15" s="604"/>
      <c r="B15" s="605" t="s">
        <v>610</v>
      </c>
      <c r="C15" s="605" t="s">
        <v>611</v>
      </c>
      <c r="D15" s="605"/>
      <c r="E15" s="605"/>
      <c r="F15" s="605"/>
      <c r="G15" s="605"/>
      <c r="H15" s="617"/>
    </row>
    <row r="16" spans="1:8" ht="12.75" hidden="1">
      <c r="A16" s="604"/>
      <c r="B16" s="605" t="s">
        <v>612</v>
      </c>
      <c r="C16" s="605" t="s">
        <v>613</v>
      </c>
      <c r="D16" s="605"/>
      <c r="E16" s="605"/>
      <c r="F16" s="605"/>
      <c r="G16" s="605"/>
      <c r="H16" s="617"/>
    </row>
    <row r="17" spans="1:8" ht="7.5" customHeight="1" hidden="1">
      <c r="A17" s="604"/>
      <c r="B17" s="605"/>
      <c r="C17" s="605"/>
      <c r="D17" s="605"/>
      <c r="E17" s="605"/>
      <c r="F17" s="605"/>
      <c r="G17" s="605"/>
      <c r="H17" s="616"/>
    </row>
    <row r="18" spans="1:8" ht="12.75" hidden="1">
      <c r="A18" s="609" t="s">
        <v>614</v>
      </c>
      <c r="B18" s="608" t="s">
        <v>615</v>
      </c>
      <c r="C18" s="605"/>
      <c r="D18" s="605"/>
      <c r="E18" s="605"/>
      <c r="F18" s="605"/>
      <c r="G18" s="605"/>
      <c r="H18" s="650"/>
    </row>
    <row r="19" spans="1:8" ht="12.75" hidden="1">
      <c r="A19" s="609" t="s">
        <v>616</v>
      </c>
      <c r="B19" s="608" t="s">
        <v>617</v>
      </c>
      <c r="C19" s="605"/>
      <c r="D19" s="605"/>
      <c r="E19" s="605"/>
      <c r="F19" s="605"/>
      <c r="G19" s="605"/>
      <c r="H19" s="650"/>
    </row>
    <row r="20" spans="1:8" ht="12.75" hidden="1">
      <c r="A20" s="604"/>
      <c r="B20" s="605"/>
      <c r="C20" s="605"/>
      <c r="D20" s="605"/>
      <c r="E20" s="605"/>
      <c r="F20" s="605"/>
      <c r="G20" s="605"/>
      <c r="H20" s="616"/>
    </row>
    <row r="21" spans="1:8" ht="12.75" hidden="1">
      <c r="A21" s="604"/>
      <c r="B21" s="605" t="s">
        <v>608</v>
      </c>
      <c r="C21" s="605" t="s">
        <v>618</v>
      </c>
      <c r="D21" s="605"/>
      <c r="E21" s="605"/>
      <c r="F21" s="605"/>
      <c r="G21" s="605"/>
      <c r="H21" s="617"/>
    </row>
    <row r="22" spans="1:8" ht="12.75" hidden="1">
      <c r="A22" s="604"/>
      <c r="B22" s="605" t="s">
        <v>610</v>
      </c>
      <c r="C22" s="605" t="s">
        <v>619</v>
      </c>
      <c r="D22" s="605"/>
      <c r="E22" s="605"/>
      <c r="F22" s="605"/>
      <c r="G22" s="605"/>
      <c r="H22" s="617"/>
    </row>
    <row r="23" spans="1:8" ht="12.75" hidden="1">
      <c r="A23" s="604"/>
      <c r="B23" s="605" t="s">
        <v>612</v>
      </c>
      <c r="C23" s="605" t="s">
        <v>620</v>
      </c>
      <c r="D23" s="605"/>
      <c r="E23" s="605"/>
      <c r="F23" s="605"/>
      <c r="G23" s="605"/>
      <c r="H23" s="617"/>
    </row>
    <row r="24" spans="1:8" ht="12.75" hidden="1">
      <c r="A24" s="604"/>
      <c r="B24" s="605"/>
      <c r="C24" s="605"/>
      <c r="D24" s="605"/>
      <c r="E24" s="605"/>
      <c r="F24" s="605"/>
      <c r="G24" s="605"/>
      <c r="H24" s="616"/>
    </row>
    <row r="25" spans="1:8" ht="12.75" hidden="1">
      <c r="A25" s="609" t="s">
        <v>621</v>
      </c>
      <c r="B25" s="608" t="s">
        <v>622</v>
      </c>
      <c r="C25" s="605"/>
      <c r="D25" s="605"/>
      <c r="E25" s="605"/>
      <c r="F25" s="605"/>
      <c r="G25" s="605"/>
      <c r="H25" s="650"/>
    </row>
    <row r="26" spans="1:8" ht="5.25" customHeight="1" hidden="1">
      <c r="A26" s="604"/>
      <c r="B26" s="605"/>
      <c r="C26" s="605"/>
      <c r="D26" s="605"/>
      <c r="E26" s="605"/>
      <c r="F26" s="605"/>
      <c r="G26" s="605"/>
      <c r="H26" s="616"/>
    </row>
    <row r="27" spans="1:8" ht="21" customHeight="1" hidden="1">
      <c r="A27" s="604"/>
      <c r="B27" s="605"/>
      <c r="C27" s="1314"/>
      <c r="D27" s="1314"/>
      <c r="E27" s="1314"/>
      <c r="F27" s="1314"/>
      <c r="G27" s="1314"/>
      <c r="H27" s="616"/>
    </row>
    <row r="28" spans="1:8" ht="12.75" hidden="1">
      <c r="A28" s="604"/>
      <c r="B28" s="605"/>
      <c r="C28" s="605"/>
      <c r="D28" s="605"/>
      <c r="E28" s="605"/>
      <c r="F28" s="605"/>
      <c r="G28" s="605"/>
      <c r="H28" s="616"/>
    </row>
    <row r="29" spans="1:8" ht="12.75" hidden="1">
      <c r="A29" s="609" t="s">
        <v>623</v>
      </c>
      <c r="B29" s="605"/>
      <c r="C29" s="605"/>
      <c r="D29" s="605"/>
      <c r="E29" s="605"/>
      <c r="F29" s="605"/>
      <c r="G29" s="605"/>
      <c r="H29" s="650"/>
    </row>
    <row r="30" spans="1:8" ht="13.5" hidden="1" thickBot="1">
      <c r="A30" s="612"/>
      <c r="B30" s="613"/>
      <c r="C30" s="613"/>
      <c r="D30" s="613"/>
      <c r="E30" s="613"/>
      <c r="F30" s="613"/>
      <c r="G30" s="613"/>
      <c r="H30" s="618"/>
    </row>
    <row r="31" ht="12.75" hidden="1"/>
    <row r="32" ht="12.75" hidden="1"/>
  </sheetData>
  <sheetProtection password="CF7A" sheet="1"/>
  <mergeCells count="3">
    <mergeCell ref="A7:G7"/>
    <mergeCell ref="C27:G27"/>
    <mergeCell ref="A8:H8"/>
  </mergeCells>
  <printOptions horizontalCentered="1" verticalCentered="1"/>
  <pageMargins left="0.7480314960629921" right="0.2362204724409449" top="0.984251968503937" bottom="0.984251968503937" header="0" footer="0"/>
  <pageSetup orientation="landscape" paperSize="9" r:id="rId2"/>
  <headerFooter alignWithMargins="0">
    <oddFooter>&amp;L&amp;7Plaza de España, 1
38003 Santa Cruz de Tenerife
Teléfono: 901 501 901
www.tenerife.es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B2:H62"/>
  <sheetViews>
    <sheetView view="pageBreakPreview" zoomScale="60" zoomScalePageLayoutView="0" workbookViewId="0" topLeftCell="A66">
      <selection activeCell="L33" sqref="L33"/>
    </sheetView>
  </sheetViews>
  <sheetFormatPr defaultColWidth="11.57421875" defaultRowHeight="12.75"/>
  <cols>
    <col min="1" max="1" width="2.140625" style="133" customWidth="1"/>
    <col min="2" max="2" width="8.421875" style="133" customWidth="1"/>
    <col min="3" max="3" width="44.57421875" style="133" customWidth="1"/>
    <col min="4" max="4" width="16.7109375" style="134" customWidth="1"/>
    <col min="5" max="5" width="2.57421875" style="561" customWidth="1"/>
    <col min="6" max="6" width="13.7109375" style="556" customWidth="1"/>
    <col min="7" max="7" width="8.8515625" style="133" customWidth="1"/>
    <col min="8" max="16384" width="11.57421875" style="133" customWidth="1"/>
  </cols>
  <sheetData>
    <row r="1" ht="12.75" hidden="1"/>
    <row r="2" spans="2:5" ht="12.75" hidden="1">
      <c r="B2" s="981" t="s">
        <v>641</v>
      </c>
      <c r="C2" s="981"/>
      <c r="D2" s="981"/>
      <c r="E2" s="559"/>
    </row>
    <row r="3" spans="2:5" ht="13.5" hidden="1" thickBot="1">
      <c r="B3" s="183"/>
      <c r="C3" s="183"/>
      <c r="D3" s="183"/>
      <c r="E3" s="559"/>
    </row>
    <row r="4" spans="2:5" ht="15.75" hidden="1" thickBot="1">
      <c r="B4" s="982">
        <f>'ORGANOS DE GOBIERNO'!A9:H9</f>
        <v>0</v>
      </c>
      <c r="C4" s="983"/>
      <c r="D4" s="984"/>
      <c r="E4" s="560"/>
    </row>
    <row r="5" spans="2:3" ht="13.5" hidden="1" thickBot="1">
      <c r="B5" s="184"/>
      <c r="C5" s="184"/>
    </row>
    <row r="6" spans="2:5" ht="15.75" hidden="1" thickBot="1">
      <c r="B6" s="985" t="s">
        <v>420</v>
      </c>
      <c r="C6" s="983"/>
      <c r="D6" s="984"/>
      <c r="E6" s="560"/>
    </row>
    <row r="7" spans="2:3" ht="13.5" hidden="1" thickBot="1">
      <c r="B7" s="184"/>
      <c r="C7" s="184"/>
    </row>
    <row r="8" spans="2:5" ht="13.5" customHeight="1" hidden="1">
      <c r="B8" s="974" t="s">
        <v>694</v>
      </c>
      <c r="C8" s="975"/>
      <c r="D8" s="1017"/>
      <c r="E8" s="562"/>
    </row>
    <row r="9" spans="2:5" ht="12.75" customHeight="1" hidden="1">
      <c r="B9" s="1320"/>
      <c r="C9" s="1321"/>
      <c r="D9" s="1315"/>
      <c r="E9" s="563"/>
    </row>
    <row r="10" spans="2:5" ht="12.75" hidden="1">
      <c r="B10" s="135"/>
      <c r="C10" s="136"/>
      <c r="D10" s="137"/>
      <c r="E10" s="564"/>
    </row>
    <row r="11" spans="2:8" ht="12.75" hidden="1">
      <c r="B11" s="138" t="s">
        <v>696</v>
      </c>
      <c r="C11" s="139" t="s">
        <v>792</v>
      </c>
      <c r="D11" s="140">
        <v>0</v>
      </c>
      <c r="E11" s="565"/>
      <c r="F11" s="557"/>
      <c r="H11" s="557"/>
    </row>
    <row r="12" spans="2:8" ht="12.75" hidden="1">
      <c r="B12" s="138" t="s">
        <v>697</v>
      </c>
      <c r="C12" s="139" t="s">
        <v>793</v>
      </c>
      <c r="D12" s="140">
        <v>0</v>
      </c>
      <c r="E12" s="565"/>
      <c r="F12" s="557"/>
      <c r="H12" s="557"/>
    </row>
    <row r="13" spans="2:8" ht="12.75" hidden="1">
      <c r="B13" s="138" t="s">
        <v>698</v>
      </c>
      <c r="C13" s="139" t="s">
        <v>794</v>
      </c>
      <c r="D13" s="140">
        <f>3!D13</f>
        <v>8338525.569999999</v>
      </c>
      <c r="E13" s="565"/>
      <c r="F13" s="557"/>
      <c r="H13" s="557"/>
    </row>
    <row r="14" spans="2:8" ht="12.75" hidden="1">
      <c r="B14" s="138" t="s">
        <v>699</v>
      </c>
      <c r="C14" s="139" t="s">
        <v>795</v>
      </c>
      <c r="D14" s="140">
        <f>3!D14+'Transf. y subv.'!E60</f>
        <v>1789408.98</v>
      </c>
      <c r="E14" s="565"/>
      <c r="F14" s="557"/>
      <c r="H14" s="557"/>
    </row>
    <row r="15" spans="2:8" ht="12.75" hidden="1">
      <c r="B15" s="138" t="s">
        <v>700</v>
      </c>
      <c r="C15" s="139" t="s">
        <v>796</v>
      </c>
      <c r="D15" s="140">
        <f>3!D15</f>
        <v>1088380.6600000001</v>
      </c>
      <c r="E15" s="565"/>
      <c r="F15" s="557"/>
      <c r="H15" s="557"/>
    </row>
    <row r="16" spans="2:5" ht="12.75" hidden="1">
      <c r="B16" s="141"/>
      <c r="C16" s="142"/>
      <c r="D16" s="143"/>
      <c r="E16" s="566"/>
    </row>
    <row r="17" spans="2:5" ht="12.75" hidden="1">
      <c r="B17" s="144" t="s">
        <v>701</v>
      </c>
      <c r="C17" s="145"/>
      <c r="D17" s="146">
        <f>SUM(D11:D15)</f>
        <v>11216315.209999999</v>
      </c>
      <c r="E17" s="567"/>
    </row>
    <row r="18" spans="2:5" ht="12.75" hidden="1">
      <c r="B18" s="147"/>
      <c r="C18" s="148"/>
      <c r="D18" s="149"/>
      <c r="E18" s="566"/>
    </row>
    <row r="19" spans="2:5" ht="12.75" hidden="1">
      <c r="B19" s="141"/>
      <c r="C19" s="142"/>
      <c r="D19" s="143"/>
      <c r="E19" s="566"/>
    </row>
    <row r="20" spans="2:5" ht="12.75" hidden="1">
      <c r="B20" s="138" t="s">
        <v>702</v>
      </c>
      <c r="C20" s="139" t="s">
        <v>797</v>
      </c>
      <c r="D20" s="143">
        <f>-'Inv. NO FIN'!H27</f>
        <v>0</v>
      </c>
      <c r="E20" s="566"/>
    </row>
    <row r="21" spans="2:5" ht="12.75" hidden="1">
      <c r="B21" s="138" t="s">
        <v>703</v>
      </c>
      <c r="C21" s="139" t="s">
        <v>798</v>
      </c>
      <c r="D21" s="143">
        <f>'Transf. y subv.'!E20</f>
        <v>10132385</v>
      </c>
      <c r="E21" s="566"/>
    </row>
    <row r="22" spans="2:5" ht="12.75" hidden="1">
      <c r="B22" s="141"/>
      <c r="C22" s="142"/>
      <c r="D22" s="143"/>
      <c r="E22" s="566"/>
    </row>
    <row r="23" spans="2:5" ht="12.75" hidden="1">
      <c r="B23" s="144" t="s">
        <v>704</v>
      </c>
      <c r="C23" s="145"/>
      <c r="D23" s="146">
        <f>SUM(D20:D21)</f>
        <v>10132385</v>
      </c>
      <c r="E23" s="567"/>
    </row>
    <row r="24" spans="2:5" ht="12.75" hidden="1">
      <c r="B24" s="147"/>
      <c r="C24" s="148"/>
      <c r="D24" s="149"/>
      <c r="E24" s="566"/>
    </row>
    <row r="25" spans="2:5" ht="12.75" hidden="1">
      <c r="B25" s="141"/>
      <c r="C25" s="142"/>
      <c r="D25" s="143"/>
      <c r="E25" s="566"/>
    </row>
    <row r="26" spans="2:5" ht="12.75" hidden="1">
      <c r="B26" s="138" t="s">
        <v>705</v>
      </c>
      <c r="C26" s="139" t="s">
        <v>799</v>
      </c>
      <c r="D26" s="140">
        <f>-'Inv. FIN'!G22-'Inv. FIN'!G32-'Inv. FIN'!G44-'Inv. FIN'!G51-'Inv. FIN'!G71-'Inv. FIN'!G76</f>
        <v>3783244.45</v>
      </c>
      <c r="E26" s="565"/>
    </row>
    <row r="27" spans="2:5" ht="12.75" hidden="1">
      <c r="B27" s="138" t="s">
        <v>706</v>
      </c>
      <c r="C27" s="139" t="s">
        <v>800</v>
      </c>
      <c r="D27" s="140">
        <f>'Deuda L.P.'!K29</f>
        <v>0</v>
      </c>
      <c r="E27" s="565"/>
    </row>
    <row r="28" spans="2:5" ht="12.75" hidden="1">
      <c r="B28" s="141"/>
      <c r="C28" s="142"/>
      <c r="D28" s="143"/>
      <c r="E28" s="566"/>
    </row>
    <row r="29" spans="2:5" ht="12.75" hidden="1">
      <c r="B29" s="144" t="s">
        <v>707</v>
      </c>
      <c r="C29" s="145"/>
      <c r="D29" s="150">
        <f>SUM(D26:D27)</f>
        <v>3783244.45</v>
      </c>
      <c r="E29" s="568"/>
    </row>
    <row r="30" spans="2:5" ht="12.75" hidden="1">
      <c r="B30" s="151"/>
      <c r="C30" s="152"/>
      <c r="D30" s="153"/>
      <c r="E30" s="569"/>
    </row>
    <row r="31" spans="2:5" ht="12.75" hidden="1">
      <c r="B31" s="296"/>
      <c r="C31" s="189"/>
      <c r="D31" s="297"/>
      <c r="E31" s="564"/>
    </row>
    <row r="32" spans="2:5" ht="12.75" hidden="1">
      <c r="B32" s="154"/>
      <c r="C32" s="156" t="s">
        <v>708</v>
      </c>
      <c r="D32" s="157">
        <f>D17+D23+D29</f>
        <v>25131944.66</v>
      </c>
      <c r="E32" s="568"/>
    </row>
    <row r="33" spans="2:5" ht="13.5" hidden="1" thickBot="1">
      <c r="B33" s="164"/>
      <c r="C33" s="198"/>
      <c r="D33" s="166"/>
      <c r="E33" s="564"/>
    </row>
    <row r="34" spans="3:5" ht="12.75" hidden="1">
      <c r="C34" s="158"/>
      <c r="D34" s="133"/>
      <c r="E34" s="219"/>
    </row>
    <row r="35" ht="12.75" hidden="1"/>
    <row r="36" ht="13.5" hidden="1" thickBot="1"/>
    <row r="37" spans="2:5" ht="13.5" customHeight="1" hidden="1">
      <c r="B37" s="974" t="s">
        <v>694</v>
      </c>
      <c r="C37" s="1318"/>
      <c r="D37" s="1316"/>
      <c r="E37" s="570"/>
    </row>
    <row r="38" spans="2:5" ht="12.75" customHeight="1" hidden="1" thickBot="1">
      <c r="B38" s="976"/>
      <c r="C38" s="1319"/>
      <c r="D38" s="1317"/>
      <c r="E38" s="571"/>
    </row>
    <row r="39" spans="2:8" ht="12.75" hidden="1">
      <c r="B39" s="151"/>
      <c r="C39" s="159"/>
      <c r="D39" s="153"/>
      <c r="E39" s="569"/>
      <c r="H39" s="158"/>
    </row>
    <row r="40" spans="2:8" ht="12.75" hidden="1">
      <c r="B40" s="138" t="s">
        <v>696</v>
      </c>
      <c r="C40" s="205" t="s">
        <v>710</v>
      </c>
      <c r="D40" s="168">
        <f>3!D45</f>
        <v>5668096.17</v>
      </c>
      <c r="E40" s="555"/>
      <c r="H40" s="557"/>
    </row>
    <row r="41" spans="2:8" ht="12.75" hidden="1">
      <c r="B41" s="138" t="s">
        <v>697</v>
      </c>
      <c r="C41" s="205" t="s">
        <v>711</v>
      </c>
      <c r="D41" s="168">
        <f>3!D46</f>
        <v>9554685.079999998</v>
      </c>
      <c r="E41" s="555"/>
      <c r="H41" s="557"/>
    </row>
    <row r="42" spans="2:8" ht="12.75" hidden="1">
      <c r="B42" s="138" t="s">
        <v>698</v>
      </c>
      <c r="C42" s="205" t="s">
        <v>83</v>
      </c>
      <c r="D42" s="168">
        <f>3!D47</f>
        <v>280877.48</v>
      </c>
      <c r="E42" s="555"/>
      <c r="H42" s="557"/>
    </row>
    <row r="43" spans="2:8" ht="12.75" hidden="1">
      <c r="B43" s="138" t="s">
        <v>699</v>
      </c>
      <c r="C43" s="205" t="s">
        <v>712</v>
      </c>
      <c r="D43" s="427">
        <f>3!D48</f>
        <v>0</v>
      </c>
      <c r="E43" s="555"/>
      <c r="H43" s="557"/>
    </row>
    <row r="44" spans="2:8" ht="12.75" hidden="1">
      <c r="B44" s="151"/>
      <c r="C44" s="159"/>
      <c r="D44" s="168"/>
      <c r="E44" s="555"/>
      <c r="H44" s="557"/>
    </row>
    <row r="45" spans="2:5" ht="12.75" hidden="1">
      <c r="B45" s="144" t="s">
        <v>713</v>
      </c>
      <c r="C45" s="206"/>
      <c r="D45" s="150">
        <f>SUM(D40:D43)</f>
        <v>15503658.729999999</v>
      </c>
      <c r="E45" s="568"/>
    </row>
    <row r="46" spans="2:5" ht="12.75" hidden="1">
      <c r="B46" s="147"/>
      <c r="C46" s="207"/>
      <c r="D46" s="170"/>
      <c r="E46" s="569"/>
    </row>
    <row r="47" spans="2:5" ht="12.75" hidden="1">
      <c r="B47" s="151"/>
      <c r="C47" s="159"/>
      <c r="D47" s="153"/>
      <c r="E47" s="569"/>
    </row>
    <row r="48" spans="2:5" ht="12.75" hidden="1">
      <c r="B48" s="138" t="s">
        <v>702</v>
      </c>
      <c r="C48" s="205" t="s">
        <v>715</v>
      </c>
      <c r="D48" s="168">
        <f>'Inv. NO FIN'!C27+'Inv. NO FIN'!E27</f>
        <v>11985793.38</v>
      </c>
      <c r="E48" s="555"/>
    </row>
    <row r="49" spans="2:5" ht="12.75" hidden="1">
      <c r="B49" s="138" t="s">
        <v>703</v>
      </c>
      <c r="C49" s="205" t="s">
        <v>716</v>
      </c>
      <c r="D49" s="168">
        <v>0</v>
      </c>
      <c r="E49" s="555"/>
    </row>
    <row r="50" spans="2:5" ht="12.75" hidden="1">
      <c r="B50" s="151"/>
      <c r="C50" s="159"/>
      <c r="D50" s="153"/>
      <c r="E50" s="569"/>
    </row>
    <row r="51" spans="2:5" ht="12.75" hidden="1">
      <c r="B51" s="144" t="s">
        <v>717</v>
      </c>
      <c r="C51" s="206"/>
      <c r="D51" s="150">
        <f>SUM(D48:D49)</f>
        <v>11985793.38</v>
      </c>
      <c r="E51" s="568"/>
    </row>
    <row r="52" spans="2:5" ht="12.75" hidden="1">
      <c r="B52" s="147"/>
      <c r="C52" s="207"/>
      <c r="D52" s="170"/>
      <c r="E52" s="569"/>
    </row>
    <row r="53" spans="2:5" ht="12.75" hidden="1">
      <c r="B53" s="151"/>
      <c r="C53" s="159"/>
      <c r="D53" s="153"/>
      <c r="E53" s="569"/>
    </row>
    <row r="54" spans="2:5" ht="12.75" hidden="1">
      <c r="B54" s="138" t="s">
        <v>705</v>
      </c>
      <c r="C54" s="205" t="s">
        <v>719</v>
      </c>
      <c r="D54" s="168">
        <f>'Inv. FIN'!E71</f>
        <v>487439.18999999994</v>
      </c>
      <c r="E54" s="555"/>
    </row>
    <row r="55" spans="2:5" ht="12.75" hidden="1">
      <c r="B55" s="138" t="s">
        <v>706</v>
      </c>
      <c r="C55" s="205" t="s">
        <v>720</v>
      </c>
      <c r="D55" s="168">
        <f>-'Deuda L.P.'!L29</f>
        <v>5064548.295</v>
      </c>
      <c r="E55" s="555"/>
    </row>
    <row r="56" spans="2:5" ht="12.75" hidden="1">
      <c r="B56" s="151"/>
      <c r="C56" s="159"/>
      <c r="D56" s="153"/>
      <c r="E56" s="569"/>
    </row>
    <row r="57" spans="2:5" ht="12.75" hidden="1">
      <c r="B57" s="144" t="s">
        <v>721</v>
      </c>
      <c r="C57" s="206"/>
      <c r="D57" s="150">
        <f>SUM(D54:D55)</f>
        <v>5551987.484999999</v>
      </c>
      <c r="E57" s="568"/>
    </row>
    <row r="58" spans="2:5" ht="13.5" hidden="1" thickBot="1">
      <c r="B58" s="171"/>
      <c r="C58" s="208"/>
      <c r="D58" s="173"/>
      <c r="E58" s="568"/>
    </row>
    <row r="59" spans="2:5" ht="13.5" hidden="1" thickTop="1">
      <c r="B59" s="161"/>
      <c r="C59" s="199"/>
      <c r="D59" s="163"/>
      <c r="E59" s="564"/>
    </row>
    <row r="60" spans="2:5" ht="12.75" hidden="1">
      <c r="B60" s="154"/>
      <c r="C60" s="200" t="s">
        <v>137</v>
      </c>
      <c r="D60" s="157">
        <f>D45+D51+D57</f>
        <v>33041439.595</v>
      </c>
      <c r="E60" s="568"/>
    </row>
    <row r="61" spans="2:5" ht="13.5" hidden="1" thickBot="1">
      <c r="B61" s="164"/>
      <c r="C61" s="165"/>
      <c r="D61" s="166"/>
      <c r="E61" s="564"/>
    </row>
    <row r="62" spans="3:5" ht="12.75" hidden="1">
      <c r="C62" s="174"/>
      <c r="D62" s="133"/>
      <c r="E62" s="219"/>
    </row>
    <row r="63" ht="12.75" hidden="1"/>
    <row r="64" ht="12.75" hidden="1"/>
    <row r="65" ht="12.75" hidden="1"/>
  </sheetData>
  <sheetProtection password="CF7A" sheet="1" selectLockedCells="1" selectUnlockedCells="1"/>
  <mergeCells count="7">
    <mergeCell ref="D8:D9"/>
    <mergeCell ref="D37:D38"/>
    <mergeCell ref="B2:D2"/>
    <mergeCell ref="B4:D4"/>
    <mergeCell ref="B6:D6"/>
    <mergeCell ref="B37:C38"/>
    <mergeCell ref="B8:C9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80" r:id="rId1"/>
  <headerFooter alignWithMargins="0">
    <oddFooter>&amp;L&amp;7Plaza de España, 1
38003 Santa Cruz de Tenerife
Teléfono: 901 501 901
www.tenerife.es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B2:G93"/>
  <sheetViews>
    <sheetView showGridLines="0" view="pageBreakPreview" zoomScaleSheetLayoutView="100" zoomScalePageLayoutView="0" workbookViewId="0" topLeftCell="A108">
      <selection activeCell="L33" sqref="L33"/>
    </sheetView>
  </sheetViews>
  <sheetFormatPr defaultColWidth="11.57421875" defaultRowHeight="12.75"/>
  <cols>
    <col min="1" max="1" width="4.421875" style="133" customWidth="1"/>
    <col min="2" max="2" width="8.421875" style="133" customWidth="1"/>
    <col min="3" max="3" width="49.7109375" style="133" customWidth="1"/>
    <col min="4" max="4" width="16.7109375" style="134" customWidth="1"/>
    <col min="5" max="5" width="11.28125" style="133" customWidth="1"/>
    <col min="6" max="16384" width="11.57421875" style="133" customWidth="1"/>
  </cols>
  <sheetData>
    <row r="1" ht="19.5" customHeight="1" hidden="1"/>
    <row r="2" spans="2:6" ht="12.75" hidden="1">
      <c r="B2" s="981" t="s">
        <v>641</v>
      </c>
      <c r="C2" s="981"/>
      <c r="D2" s="981"/>
      <c r="E2" s="132"/>
      <c r="F2" s="132"/>
    </row>
    <row r="3" spans="2:6" ht="13.5" hidden="1" thickBot="1">
      <c r="B3" s="183"/>
      <c r="C3" s="183"/>
      <c r="D3" s="183"/>
      <c r="E3" s="132"/>
      <c r="F3" s="132"/>
    </row>
    <row r="4" spans="2:6" ht="13.5" hidden="1" thickBot="1">
      <c r="B4" s="1322">
        <f>'ORGANOS DE GOBIERNO'!A9:H9</f>
        <v>0</v>
      </c>
      <c r="C4" s="1323"/>
      <c r="D4" s="1324"/>
      <c r="E4" s="132"/>
      <c r="F4" s="132"/>
    </row>
    <row r="5" spans="2:6" ht="13.5" hidden="1" thickBot="1">
      <c r="B5" s="184"/>
      <c r="C5" s="184"/>
      <c r="E5" s="132"/>
      <c r="F5" s="132"/>
    </row>
    <row r="6" spans="2:4" ht="13.5" hidden="1" thickBot="1">
      <c r="B6" s="1325" t="s">
        <v>420</v>
      </c>
      <c r="C6" s="1323"/>
      <c r="D6" s="1324"/>
    </row>
    <row r="7" ht="15" customHeight="1" hidden="1" thickBot="1"/>
    <row r="8" spans="2:4" ht="12.75" hidden="1">
      <c r="B8" s="974" t="s">
        <v>694</v>
      </c>
      <c r="C8" s="975"/>
      <c r="D8" s="1326"/>
    </row>
    <row r="9" spans="2:4" ht="13.5" customHeight="1" hidden="1" thickBot="1">
      <c r="B9" s="976"/>
      <c r="C9" s="977"/>
      <c r="D9" s="1327"/>
    </row>
    <row r="10" spans="2:4" ht="12.75" customHeight="1" hidden="1">
      <c r="B10" s="151"/>
      <c r="C10" s="152"/>
      <c r="D10" s="160"/>
    </row>
    <row r="11" spans="2:7" ht="12.75" hidden="1">
      <c r="B11" s="138" t="s">
        <v>696</v>
      </c>
      <c r="C11" s="139" t="s">
        <v>792</v>
      </c>
      <c r="D11" s="428">
        <v>0</v>
      </c>
      <c r="F11" s="169"/>
      <c r="G11" s="169"/>
    </row>
    <row r="12" spans="2:7" ht="12.75" hidden="1">
      <c r="B12" s="138" t="s">
        <v>697</v>
      </c>
      <c r="C12" s="139" t="s">
        <v>793</v>
      </c>
      <c r="D12" s="428">
        <v>0</v>
      </c>
      <c r="F12" s="169"/>
      <c r="G12" s="169"/>
    </row>
    <row r="13" spans="2:7" ht="12.75" hidden="1">
      <c r="B13" s="138" t="s">
        <v>698</v>
      </c>
      <c r="C13" s="139" t="s">
        <v>794</v>
      </c>
      <c r="D13" s="428">
        <f>CPYG!D12+CPYG!D38+CPYG!D36</f>
        <v>8338525.569999999</v>
      </c>
      <c r="F13" s="169"/>
      <c r="G13" s="169"/>
    </row>
    <row r="14" spans="2:7" ht="12.75" hidden="1">
      <c r="B14" s="138" t="s">
        <v>699</v>
      </c>
      <c r="C14" s="139" t="s">
        <v>795</v>
      </c>
      <c r="D14" s="428">
        <f>CPYG!D39</f>
        <v>1789408.98</v>
      </c>
      <c r="F14" s="169"/>
      <c r="G14" s="169"/>
    </row>
    <row r="15" spans="2:7" ht="12.75" hidden="1">
      <c r="B15" s="138" t="s">
        <v>700</v>
      </c>
      <c r="C15" s="139" t="s">
        <v>796</v>
      </c>
      <c r="D15" s="428">
        <f>CPYG!D37+CPYG!D84+CPYG!D87+CPYG!D103</f>
        <v>1088380.6600000001</v>
      </c>
      <c r="F15" s="169"/>
      <c r="G15" s="169"/>
    </row>
    <row r="16" spans="2:7" ht="12.75" hidden="1">
      <c r="B16" s="141"/>
      <c r="C16" s="142"/>
      <c r="D16" s="429"/>
      <c r="F16" s="169"/>
      <c r="G16" s="169"/>
    </row>
    <row r="17" spans="2:6" ht="12.75" hidden="1">
      <c r="B17" s="144" t="s">
        <v>701</v>
      </c>
      <c r="C17" s="145"/>
      <c r="D17" s="430">
        <f>SUM(D11:D15)</f>
        <v>11216315.209999999</v>
      </c>
      <c r="F17" s="169"/>
    </row>
    <row r="18" spans="2:4" ht="12.75" hidden="1">
      <c r="B18" s="147"/>
      <c r="C18" s="148"/>
      <c r="D18" s="431"/>
    </row>
    <row r="19" spans="2:4" ht="12.75" hidden="1">
      <c r="B19" s="141"/>
      <c r="C19" s="142"/>
      <c r="D19" s="429"/>
    </row>
    <row r="20" spans="2:4" ht="12.75" hidden="1">
      <c r="B20" s="138" t="s">
        <v>702</v>
      </c>
      <c r="C20" s="139" t="s">
        <v>797</v>
      </c>
      <c r="D20" s="429"/>
    </row>
    <row r="21" spans="2:4" ht="12.75" hidden="1">
      <c r="B21" s="138" t="s">
        <v>703</v>
      </c>
      <c r="C21" s="139" t="s">
        <v>798</v>
      </c>
      <c r="D21" s="429"/>
    </row>
    <row r="22" spans="2:4" ht="12.75" hidden="1">
      <c r="B22" s="141"/>
      <c r="C22" s="142"/>
      <c r="D22" s="429"/>
    </row>
    <row r="23" spans="2:4" ht="12.75" hidden="1">
      <c r="B23" s="144" t="s">
        <v>704</v>
      </c>
      <c r="C23" s="145"/>
      <c r="D23" s="430">
        <f>+D20+D21</f>
        <v>0</v>
      </c>
    </row>
    <row r="24" spans="2:4" ht="12.75" hidden="1">
      <c r="B24" s="147"/>
      <c r="C24" s="148"/>
      <c r="D24" s="431"/>
    </row>
    <row r="25" spans="2:4" ht="12.75" hidden="1">
      <c r="B25" s="141"/>
      <c r="C25" s="142"/>
      <c r="D25" s="429"/>
    </row>
    <row r="26" spans="2:4" ht="12.75" hidden="1">
      <c r="B26" s="138" t="s">
        <v>705</v>
      </c>
      <c r="C26" s="139" t="s">
        <v>799</v>
      </c>
      <c r="D26" s="428"/>
    </row>
    <row r="27" spans="2:4" ht="12.75" hidden="1">
      <c r="B27" s="138" t="s">
        <v>706</v>
      </c>
      <c r="C27" s="139" t="s">
        <v>800</v>
      </c>
      <c r="D27" s="428"/>
    </row>
    <row r="28" spans="2:4" ht="12.75" hidden="1">
      <c r="B28" s="141"/>
      <c r="C28" s="142"/>
      <c r="D28" s="429"/>
    </row>
    <row r="29" spans="2:4" ht="13.5" hidden="1" thickBot="1">
      <c r="B29" s="204" t="s">
        <v>707</v>
      </c>
      <c r="C29" s="433"/>
      <c r="D29" s="432">
        <f>+D27+D26</f>
        <v>0</v>
      </c>
    </row>
    <row r="30" spans="2:4" ht="13.5" hidden="1" thickBot="1">
      <c r="B30" s="151"/>
      <c r="C30" s="159"/>
      <c r="D30" s="160"/>
    </row>
    <row r="31" spans="2:4" ht="12.75" hidden="1">
      <c r="B31" s="161"/>
      <c r="C31" s="162"/>
      <c r="D31" s="434"/>
    </row>
    <row r="32" spans="2:4" ht="12.75" hidden="1">
      <c r="B32" s="154"/>
      <c r="C32" s="156" t="s">
        <v>708</v>
      </c>
      <c r="D32" s="435">
        <f>+D29+D23+D17</f>
        <v>11216315.209999999</v>
      </c>
    </row>
    <row r="33" spans="2:4" ht="13.5" hidden="1" thickBot="1">
      <c r="B33" s="164"/>
      <c r="C33" s="198"/>
      <c r="D33" s="436"/>
    </row>
    <row r="34" spans="2:4" ht="12.75" hidden="1">
      <c r="B34" s="201"/>
      <c r="C34" s="439"/>
      <c r="D34" s="437"/>
    </row>
    <row r="35" spans="2:4" ht="12.75" hidden="1">
      <c r="B35" s="195"/>
      <c r="C35" s="196" t="s">
        <v>709</v>
      </c>
      <c r="D35" s="160">
        <f>CPYG!D26+CPYG!D28+CPYG!D70+CPYG!D64+CPYG!D63+CPYG!D95+CPYG!D74+CPYG!D90</f>
        <v>10273708.14</v>
      </c>
    </row>
    <row r="36" spans="2:4" ht="13.5" hidden="1" thickBot="1">
      <c r="B36" s="203"/>
      <c r="C36" s="440"/>
      <c r="D36" s="438"/>
    </row>
    <row r="37" spans="2:4" ht="12.75" hidden="1">
      <c r="B37" s="161"/>
      <c r="C37" s="162"/>
      <c r="D37" s="434"/>
    </row>
    <row r="38" spans="2:4" ht="12.75" hidden="1">
      <c r="B38" s="1320" t="s">
        <v>421</v>
      </c>
      <c r="C38" s="1321"/>
      <c r="D38" s="435">
        <f>D32+D35</f>
        <v>21490023.35</v>
      </c>
    </row>
    <row r="39" spans="2:4" ht="13.5" hidden="1" thickBot="1">
      <c r="B39" s="164"/>
      <c r="C39" s="198"/>
      <c r="D39" s="436"/>
    </row>
    <row r="40" ht="12.75" hidden="1"/>
    <row r="41" ht="13.5" hidden="1" thickBot="1"/>
    <row r="42" spans="2:4" ht="12.75" hidden="1">
      <c r="B42" s="974" t="s">
        <v>694</v>
      </c>
      <c r="C42" s="975"/>
      <c r="D42" s="1328"/>
    </row>
    <row r="43" spans="2:4" ht="13.5" customHeight="1" hidden="1" thickBot="1">
      <c r="B43" s="976"/>
      <c r="C43" s="977"/>
      <c r="D43" s="1329"/>
    </row>
    <row r="44" spans="2:4" ht="12.75" customHeight="1" hidden="1">
      <c r="B44" s="151"/>
      <c r="C44" s="152"/>
      <c r="D44" s="441"/>
    </row>
    <row r="45" spans="2:4" ht="12.75" hidden="1">
      <c r="B45" s="138" t="s">
        <v>696</v>
      </c>
      <c r="C45" s="167" t="s">
        <v>710</v>
      </c>
      <c r="D45" s="442">
        <f>-CPYG!D46+CPYG!D52</f>
        <v>5668096.17</v>
      </c>
    </row>
    <row r="46" spans="2:4" ht="12.75" hidden="1">
      <c r="B46" s="138" t="s">
        <v>697</v>
      </c>
      <c r="C46" s="167" t="s">
        <v>711</v>
      </c>
      <c r="D46" s="443">
        <f>-CPYG!D29+CPYG!D33-CPYG!D55-CPYG!D56-CPYG!D107-CPYG!D58</f>
        <v>9554685.079999998</v>
      </c>
    </row>
    <row r="47" spans="2:4" ht="12.75" hidden="1">
      <c r="B47" s="138" t="s">
        <v>698</v>
      </c>
      <c r="C47" s="167" t="s">
        <v>83</v>
      </c>
      <c r="D47" s="443">
        <f>-CPYG!D92-CPYG!D93-CPYG!D104</f>
        <v>280877.48</v>
      </c>
    </row>
    <row r="48" spans="2:4" ht="12.75" hidden="1">
      <c r="B48" s="138" t="s">
        <v>699</v>
      </c>
      <c r="C48" s="167" t="s">
        <v>712</v>
      </c>
      <c r="D48" s="443">
        <f>CPYG!D75</f>
        <v>0</v>
      </c>
    </row>
    <row r="49" spans="2:4" ht="12.75" hidden="1">
      <c r="B49" s="151"/>
      <c r="C49" s="152"/>
      <c r="D49" s="443"/>
    </row>
    <row r="50" spans="2:4" ht="12.75" hidden="1">
      <c r="B50" s="144" t="s">
        <v>713</v>
      </c>
      <c r="C50" s="145"/>
      <c r="D50" s="444">
        <f>SUM(D45:D48)</f>
        <v>15503658.729999999</v>
      </c>
    </row>
    <row r="51" spans="2:4" ht="12.75" hidden="1">
      <c r="B51" s="147"/>
      <c r="C51" s="148"/>
      <c r="D51" s="445"/>
    </row>
    <row r="52" spans="2:4" ht="12.75" hidden="1">
      <c r="B52" s="151"/>
      <c r="C52" s="152"/>
      <c r="D52" s="441"/>
    </row>
    <row r="53" spans="2:4" ht="12.75" hidden="1">
      <c r="B53" s="138" t="s">
        <v>702</v>
      </c>
      <c r="C53" s="167" t="s">
        <v>715</v>
      </c>
      <c r="D53" s="443"/>
    </row>
    <row r="54" spans="2:4" ht="12.75" hidden="1">
      <c r="B54" s="138" t="s">
        <v>703</v>
      </c>
      <c r="C54" s="167" t="s">
        <v>716</v>
      </c>
      <c r="D54" s="443"/>
    </row>
    <row r="55" spans="2:4" ht="12.75" hidden="1">
      <c r="B55" s="151"/>
      <c r="C55" s="152"/>
      <c r="D55" s="441"/>
    </row>
    <row r="56" spans="2:4" ht="12.75" hidden="1">
      <c r="B56" s="144" t="s">
        <v>717</v>
      </c>
      <c r="C56" s="145"/>
      <c r="D56" s="444">
        <f>+D54+D53</f>
        <v>0</v>
      </c>
    </row>
    <row r="57" spans="2:4" ht="12.75" hidden="1">
      <c r="B57" s="147"/>
      <c r="C57" s="148"/>
      <c r="D57" s="445"/>
    </row>
    <row r="58" spans="2:4" ht="12.75" hidden="1">
      <c r="B58" s="151"/>
      <c r="C58" s="152"/>
      <c r="D58" s="441"/>
    </row>
    <row r="59" spans="2:4" ht="12.75" hidden="1">
      <c r="B59" s="138" t="s">
        <v>705</v>
      </c>
      <c r="C59" s="167" t="s">
        <v>719</v>
      </c>
      <c r="D59" s="443"/>
    </row>
    <row r="60" spans="2:4" ht="12.75" hidden="1">
      <c r="B60" s="138" t="s">
        <v>706</v>
      </c>
      <c r="C60" s="167" t="s">
        <v>720</v>
      </c>
      <c r="D60" s="443"/>
    </row>
    <row r="61" spans="2:4" ht="12.75" hidden="1">
      <c r="B61" s="151"/>
      <c r="C61" s="152"/>
      <c r="D61" s="441"/>
    </row>
    <row r="62" spans="2:4" ht="13.5" hidden="1" thickBot="1">
      <c r="B62" s="204" t="s">
        <v>721</v>
      </c>
      <c r="C62" s="433"/>
      <c r="D62" s="432">
        <f>+D60+D59</f>
        <v>0</v>
      </c>
    </row>
    <row r="63" spans="2:4" ht="14.25" customHeight="1" hidden="1" thickBot="1">
      <c r="B63" s="151"/>
      <c r="C63" s="159"/>
      <c r="D63" s="160"/>
    </row>
    <row r="64" spans="2:4" ht="14.25" customHeight="1" hidden="1">
      <c r="B64" s="161"/>
      <c r="C64" s="162"/>
      <c r="D64" s="434"/>
    </row>
    <row r="65" spans="2:4" ht="12.75" hidden="1">
      <c r="B65" s="154"/>
      <c r="C65" s="156" t="s">
        <v>724</v>
      </c>
      <c r="D65" s="435">
        <f>+D62+D56+D50</f>
        <v>15503658.729999999</v>
      </c>
    </row>
    <row r="66" spans="2:4" ht="13.5" hidden="1" thickBot="1">
      <c r="B66" s="164"/>
      <c r="C66" s="198"/>
      <c r="D66" s="436"/>
    </row>
    <row r="67" spans="2:4" ht="12.75" hidden="1">
      <c r="B67" s="202"/>
      <c r="C67" s="450"/>
      <c r="D67" s="446"/>
    </row>
    <row r="68" spans="2:4" ht="12.75" hidden="1">
      <c r="B68" s="195"/>
      <c r="C68" s="196" t="s">
        <v>723</v>
      </c>
      <c r="D68" s="447">
        <f>-CPYG!D27-CPYG!D33-CPYG!D66-CPYG!D52-CPYG!D59-CPYG!D57-CPYG!D94-CPYG!D98-CPYG!D99</f>
        <v>3668867.59</v>
      </c>
    </row>
    <row r="69" spans="2:4" ht="14.25" customHeight="1" hidden="1" thickBot="1">
      <c r="B69" s="203"/>
      <c r="C69" s="440"/>
      <c r="D69" s="448"/>
    </row>
    <row r="70" spans="2:4" ht="14.25" customHeight="1" hidden="1">
      <c r="B70" s="154"/>
      <c r="C70" s="451"/>
      <c r="D70" s="449"/>
    </row>
    <row r="71" spans="2:4" ht="12.75" hidden="1">
      <c r="B71" s="1320" t="s">
        <v>422</v>
      </c>
      <c r="C71" s="1321"/>
      <c r="D71" s="435">
        <f>D65+D68</f>
        <v>19172526.32</v>
      </c>
    </row>
    <row r="72" spans="2:4" ht="13.5" hidden="1" thickBot="1">
      <c r="B72" s="164"/>
      <c r="C72" s="198"/>
      <c r="D72" s="436"/>
    </row>
    <row r="73" spans="2:3" ht="12.75" hidden="1">
      <c r="B73" s="158"/>
      <c r="C73" s="158"/>
    </row>
    <row r="74" spans="3:4" ht="12.75" hidden="1">
      <c r="C74" s="185" t="s">
        <v>29</v>
      </c>
      <c r="D74" s="186">
        <f>D38-D71</f>
        <v>2317497.030000001</v>
      </c>
    </row>
    <row r="75" ht="12.75" hidden="1"/>
    <row r="76" ht="12.75" hidden="1">
      <c r="D76" s="169"/>
    </row>
    <row r="77" ht="12.75" hidden="1">
      <c r="D77" s="169"/>
    </row>
    <row r="78" spans="2:4" ht="12.75" hidden="1">
      <c r="B78" s="175"/>
      <c r="C78" s="176" t="s">
        <v>791</v>
      </c>
      <c r="D78" s="177"/>
    </row>
    <row r="79" spans="3:4" ht="12.75" hidden="1">
      <c r="C79" s="178"/>
      <c r="D79" s="179"/>
    </row>
    <row r="80" spans="3:4" ht="12.75" hidden="1">
      <c r="C80" s="178"/>
      <c r="D80" s="179"/>
    </row>
    <row r="81" spans="3:4" ht="12.75" hidden="1">
      <c r="C81" s="180" t="s">
        <v>733</v>
      </c>
      <c r="D81" s="133"/>
    </row>
    <row r="82" spans="3:4" ht="12.75" hidden="1">
      <c r="C82" s="181" t="s">
        <v>30</v>
      </c>
      <c r="D82" s="133"/>
    </row>
    <row r="83" spans="3:4" ht="18" customHeight="1" hidden="1">
      <c r="C83" s="181" t="s">
        <v>31</v>
      </c>
      <c r="D83" s="133"/>
    </row>
    <row r="84" spans="3:4" ht="18" customHeight="1" hidden="1">
      <c r="C84" s="181" t="s">
        <v>24</v>
      </c>
      <c r="D84" s="133"/>
    </row>
    <row r="85" spans="3:4" ht="18" customHeight="1" hidden="1">
      <c r="C85" s="181" t="s">
        <v>32</v>
      </c>
      <c r="D85" s="133"/>
    </row>
    <row r="86" spans="3:4" ht="18" customHeight="1" hidden="1">
      <c r="C86" s="181" t="s">
        <v>25</v>
      </c>
      <c r="D86" s="133"/>
    </row>
    <row r="87" spans="3:4" ht="18" customHeight="1" hidden="1">
      <c r="C87" s="132" t="s">
        <v>26</v>
      </c>
      <c r="D87" s="133"/>
    </row>
    <row r="88" spans="3:4" ht="21" customHeight="1" hidden="1">
      <c r="C88" s="182"/>
      <c r="D88" s="133"/>
    </row>
    <row r="89" ht="12.75" hidden="1">
      <c r="D89" s="133"/>
    </row>
    <row r="90" ht="12.75" hidden="1">
      <c r="D90" s="133"/>
    </row>
    <row r="91" spans="3:4" ht="12.75" hidden="1">
      <c r="C91" s="553" t="s">
        <v>685</v>
      </c>
      <c r="D91" s="187">
        <f>SUM(D92:D93)</f>
        <v>0</v>
      </c>
    </row>
    <row r="92" spans="3:4" ht="12.75" hidden="1">
      <c r="C92" s="554" t="s">
        <v>675</v>
      </c>
      <c r="D92" s="187">
        <f>CPYG!D80</f>
        <v>0</v>
      </c>
    </row>
    <row r="93" spans="3:4" ht="12.75" customHeight="1" hidden="1">
      <c r="C93" s="554" t="s">
        <v>676</v>
      </c>
      <c r="D93" s="188"/>
    </row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</sheetData>
  <sheetProtection password="CF7A" sheet="1" formatCells="0" formatColumns="0" formatRows="0" insertColumns="0" insertRows="0" insertHyperlinks="0" deleteColumns="0" deleteRows="0" sort="0" autoFilter="0" pivotTables="0"/>
  <mergeCells count="9">
    <mergeCell ref="B2:D2"/>
    <mergeCell ref="B4:D4"/>
    <mergeCell ref="B6:D6"/>
    <mergeCell ref="B71:C71"/>
    <mergeCell ref="D8:D9"/>
    <mergeCell ref="D42:D43"/>
    <mergeCell ref="B8:C9"/>
    <mergeCell ref="B42:C43"/>
    <mergeCell ref="B38:C38"/>
  </mergeCells>
  <printOptions horizontalCentered="1" verticalCentered="1"/>
  <pageMargins left="0.27" right="0.17" top="0.44" bottom="1.47" header="0" footer="0"/>
  <pageSetup horizontalDpi="600" verticalDpi="600" orientation="portrait" paperSize="9" scale="65" r:id="rId1"/>
  <headerFooter alignWithMargins="0">
    <oddFooter>&amp;L&amp;7Plaza de España, 1
38003 Santa Cruz de Tenerife
Teléfono: 901 501 901
www.tenerife.es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view="pageBreakPreview" zoomScale="60" zoomScaleNormal="85" zoomScalePageLayoutView="0" workbookViewId="0" topLeftCell="A1">
      <selection activeCell="C4" sqref="C4"/>
    </sheetView>
  </sheetViews>
  <sheetFormatPr defaultColWidth="11.57421875" defaultRowHeight="12.75"/>
  <cols>
    <col min="1" max="1" width="58.28125" style="619" customWidth="1"/>
    <col min="2" max="2" width="18.28125" style="619" customWidth="1"/>
    <col min="3" max="3" width="19.57421875" style="619" customWidth="1"/>
    <col min="4" max="4" width="19.421875" style="619" customWidth="1"/>
    <col min="5" max="5" width="18.421875" style="619" customWidth="1"/>
    <col min="6" max="16384" width="11.57421875" style="619" customWidth="1"/>
  </cols>
  <sheetData>
    <row r="1" spans="1:5" ht="12.75">
      <c r="A1" s="652"/>
      <c r="B1" s="653" t="s">
        <v>534</v>
      </c>
      <c r="C1" s="652"/>
      <c r="D1" s="652"/>
      <c r="E1" s="652"/>
    </row>
    <row r="2" spans="1:5" ht="12.75">
      <c r="A2" s="652"/>
      <c r="B2" s="654" t="s">
        <v>535</v>
      </c>
      <c r="C2" s="652"/>
      <c r="D2" s="652"/>
      <c r="E2" s="652"/>
    </row>
    <row r="3" spans="1:5" ht="12.75">
      <c r="A3" s="652"/>
      <c r="B3" s="652"/>
      <c r="C3" s="652"/>
      <c r="D3" s="652"/>
      <c r="E3" s="652"/>
    </row>
    <row r="4" spans="1:4" ht="12.75">
      <c r="A4" s="652" t="s">
        <v>296</v>
      </c>
      <c r="B4" s="652"/>
      <c r="C4" s="655">
        <v>42339</v>
      </c>
      <c r="D4" s="652"/>
    </row>
    <row r="5" spans="1:4" ht="12.75">
      <c r="A5" s="652" t="s">
        <v>533</v>
      </c>
      <c r="B5" s="652"/>
      <c r="C5" s="656" t="s">
        <v>536</v>
      </c>
      <c r="D5" s="652"/>
    </row>
    <row r="6" ht="13.5" thickBot="1"/>
    <row r="7" spans="1:5" ht="24.75" customHeight="1">
      <c r="A7" s="1014" t="str">
        <f>'ORGANOS DE GOBIERNO'!A9:H9</f>
        <v>EMPRESA PÚBLICA: INSTITUTO TECNOLOGICO DE ENERGIAS RENOVABLES SA</v>
      </c>
      <c r="B7" s="1015"/>
      <c r="C7" s="1015"/>
      <c r="D7" s="1015"/>
      <c r="E7" s="1016"/>
    </row>
    <row r="8" spans="1:5" ht="24.75" customHeight="1">
      <c r="A8" s="620"/>
      <c r="B8" s="621"/>
      <c r="C8" s="621"/>
      <c r="D8" s="621"/>
      <c r="E8" s="622"/>
    </row>
    <row r="9" spans="1:5" ht="15" customHeight="1">
      <c r="A9" s="623" t="s">
        <v>624</v>
      </c>
      <c r="B9" s="621"/>
      <c r="C9" s="621"/>
      <c r="D9" s="621"/>
      <c r="E9" s="622"/>
    </row>
    <row r="10" spans="1:5" ht="15" customHeight="1">
      <c r="A10" s="624"/>
      <c r="B10" s="625"/>
      <c r="C10" s="621"/>
      <c r="D10" s="621"/>
      <c r="E10" s="622"/>
    </row>
    <row r="11" spans="1:5" ht="28.5" customHeight="1">
      <c r="A11" s="626" t="s">
        <v>625</v>
      </c>
      <c r="B11" s="627" t="s">
        <v>626</v>
      </c>
      <c r="C11" s="628" t="s">
        <v>627</v>
      </c>
      <c r="D11" s="628" t="s">
        <v>628</v>
      </c>
      <c r="E11" s="629" t="s">
        <v>629</v>
      </c>
    </row>
    <row r="12" spans="1:5" ht="15" customHeight="1">
      <c r="A12" s="624" t="s">
        <v>568</v>
      </c>
      <c r="B12" s="701">
        <v>0.9173</v>
      </c>
      <c r="C12" s="630">
        <v>317729</v>
      </c>
      <c r="D12" s="705">
        <v>60.1</v>
      </c>
      <c r="E12" s="631">
        <f>+C12*D12</f>
        <v>19095512.900000002</v>
      </c>
    </row>
    <row r="13" spans="1:5" ht="15" customHeight="1">
      <c r="A13" s="624" t="s">
        <v>886</v>
      </c>
      <c r="B13" s="701">
        <v>0.0463</v>
      </c>
      <c r="C13" s="702">
        <v>16057</v>
      </c>
      <c r="D13" s="704">
        <v>60.1</v>
      </c>
      <c r="E13" s="706">
        <f>+C13*D13</f>
        <v>965025.7000000001</v>
      </c>
    </row>
    <row r="14" spans="1:5" ht="15" customHeight="1">
      <c r="A14" s="624" t="s">
        <v>885</v>
      </c>
      <c r="B14" s="701">
        <v>0.0364</v>
      </c>
      <c r="C14" s="702">
        <v>12574</v>
      </c>
      <c r="D14" s="704">
        <v>60.1</v>
      </c>
      <c r="E14" s="706">
        <f>+C14*D14</f>
        <v>755697.4</v>
      </c>
    </row>
    <row r="15" spans="1:5" ht="15" customHeight="1">
      <c r="A15" s="624"/>
      <c r="B15" s="621"/>
      <c r="C15" s="632"/>
      <c r="D15" s="633"/>
      <c r="E15" s="634"/>
    </row>
    <row r="16" spans="1:5" ht="15" customHeight="1">
      <c r="A16" s="624"/>
      <c r="B16" s="703"/>
      <c r="C16" s="632"/>
      <c r="D16" s="633"/>
      <c r="E16" s="634"/>
    </row>
    <row r="17" spans="1:5" ht="15" customHeight="1">
      <c r="A17" s="635"/>
      <c r="B17" s="621"/>
      <c r="C17" s="632"/>
      <c r="D17" s="633"/>
      <c r="E17" s="634"/>
    </row>
    <row r="18" spans="1:5" ht="15" customHeight="1">
      <c r="A18" s="623" t="s">
        <v>630</v>
      </c>
      <c r="B18" s="621"/>
      <c r="C18" s="621"/>
      <c r="D18" s="633"/>
      <c r="E18" s="634"/>
    </row>
    <row r="19" spans="1:5" ht="15" customHeight="1">
      <c r="A19" s="635"/>
      <c r="B19" s="621"/>
      <c r="C19" s="621"/>
      <c r="D19" s="621"/>
      <c r="E19" s="622"/>
    </row>
    <row r="20" spans="1:5" ht="28.5" customHeight="1">
      <c r="A20" s="626" t="s">
        <v>631</v>
      </c>
      <c r="B20" s="627" t="s">
        <v>626</v>
      </c>
      <c r="C20" s="627" t="s">
        <v>627</v>
      </c>
      <c r="D20" s="627" t="s">
        <v>628</v>
      </c>
      <c r="E20" s="629" t="s">
        <v>632</v>
      </c>
    </row>
    <row r="21" spans="1:5" ht="15" customHeight="1">
      <c r="A21" s="624" t="s">
        <v>897</v>
      </c>
      <c r="B21" s="701">
        <v>0.5</v>
      </c>
      <c r="C21" s="621">
        <v>35</v>
      </c>
      <c r="D21" s="633">
        <v>6010.12</v>
      </c>
      <c r="E21" s="634"/>
    </row>
    <row r="22" spans="1:5" ht="15" customHeight="1">
      <c r="A22" s="624" t="s">
        <v>898</v>
      </c>
      <c r="B22" s="701">
        <v>0.3994</v>
      </c>
      <c r="C22" s="621">
        <v>1626810</v>
      </c>
      <c r="D22" s="633">
        <v>1</v>
      </c>
      <c r="E22" s="634"/>
    </row>
    <row r="23" spans="1:5" ht="15" customHeight="1">
      <c r="A23" s="624" t="s">
        <v>899</v>
      </c>
      <c r="B23" s="701">
        <v>0.3</v>
      </c>
      <c r="C23" s="621">
        <v>2250000</v>
      </c>
      <c r="D23" s="633">
        <v>1</v>
      </c>
      <c r="E23" s="634"/>
    </row>
    <row r="24" spans="1:5" ht="15" customHeight="1">
      <c r="A24" s="624" t="s">
        <v>900</v>
      </c>
      <c r="B24" s="701">
        <v>0.2075</v>
      </c>
      <c r="C24" s="621">
        <v>9638</v>
      </c>
      <c r="D24" s="633">
        <v>100</v>
      </c>
      <c r="E24" s="634"/>
    </row>
    <row r="25" spans="1:5" ht="15" customHeight="1">
      <c r="A25" s="624" t="s">
        <v>901</v>
      </c>
      <c r="B25" s="701">
        <v>1</v>
      </c>
      <c r="C25" s="621">
        <v>10676</v>
      </c>
      <c r="D25" s="633"/>
      <c r="E25" s="634">
        <v>3000048.4</v>
      </c>
    </row>
    <row r="26" spans="1:5" ht="15" customHeight="1">
      <c r="A26" s="624" t="s">
        <v>902</v>
      </c>
      <c r="B26" s="701">
        <v>0.3</v>
      </c>
      <c r="C26" s="621">
        <v>180</v>
      </c>
      <c r="D26" s="633">
        <v>1000</v>
      </c>
      <c r="E26" s="634">
        <v>180000</v>
      </c>
    </row>
    <row r="27" spans="1:5" ht="15" customHeight="1">
      <c r="A27" s="635" t="s">
        <v>903</v>
      </c>
      <c r="B27" s="701">
        <v>1</v>
      </c>
      <c r="C27" s="621">
        <v>602</v>
      </c>
      <c r="D27" s="633"/>
      <c r="E27" s="634"/>
    </row>
    <row r="28" spans="1:5" ht="15" customHeight="1">
      <c r="A28" s="635" t="s">
        <v>904</v>
      </c>
      <c r="B28" s="701">
        <v>0.12</v>
      </c>
      <c r="C28" s="621">
        <v>120</v>
      </c>
      <c r="D28" s="633">
        <v>60.2</v>
      </c>
      <c r="E28" s="634">
        <v>5418</v>
      </c>
    </row>
    <row r="29" spans="1:5" ht="15" customHeight="1">
      <c r="A29" s="635" t="s">
        <v>905</v>
      </c>
      <c r="B29" s="701"/>
      <c r="C29" s="621"/>
      <c r="D29" s="633"/>
      <c r="E29" s="634"/>
    </row>
    <row r="30" spans="1:5" ht="15" customHeight="1">
      <c r="A30" s="635" t="s">
        <v>906</v>
      </c>
      <c r="B30" s="701">
        <v>0.03</v>
      </c>
      <c r="C30" s="621">
        <v>266</v>
      </c>
      <c r="D30" s="633">
        <v>60.1</v>
      </c>
      <c r="E30" s="634"/>
    </row>
    <row r="31" spans="1:5" ht="15" customHeight="1">
      <c r="A31" s="624" t="s">
        <v>907</v>
      </c>
      <c r="B31" s="701"/>
      <c r="C31" s="621"/>
      <c r="D31" s="633"/>
      <c r="E31" s="622"/>
    </row>
    <row r="32" spans="1:5" ht="15" customHeight="1">
      <c r="A32" s="624"/>
      <c r="B32" s="625"/>
      <c r="C32" s="621"/>
      <c r="D32" s="633"/>
      <c r="E32" s="622"/>
    </row>
    <row r="33" spans="1:5" ht="15" customHeight="1">
      <c r="A33" s="623" t="s">
        <v>633</v>
      </c>
      <c r="B33" s="621"/>
      <c r="C33" s="621"/>
      <c r="D33" s="621"/>
      <c r="E33" s="622"/>
    </row>
    <row r="34" spans="1:5" ht="15" customHeight="1">
      <c r="A34" s="623"/>
      <c r="B34" s="621"/>
      <c r="C34" s="621"/>
      <c r="D34" s="621"/>
      <c r="E34" s="622"/>
    </row>
    <row r="35" spans="1:5" ht="29.25" customHeight="1">
      <c r="A35" s="636" t="s">
        <v>634</v>
      </c>
      <c r="B35" s="637" t="s">
        <v>635</v>
      </c>
      <c r="C35" s="638" t="s">
        <v>636</v>
      </c>
      <c r="D35" s="621"/>
      <c r="E35" s="622"/>
    </row>
    <row r="36" spans="1:5" ht="16.5" customHeight="1">
      <c r="A36" s="639" t="s">
        <v>887</v>
      </c>
      <c r="B36" s="640" t="s">
        <v>637</v>
      </c>
      <c r="C36" s="641"/>
      <c r="D36" s="621"/>
      <c r="E36" s="622"/>
    </row>
    <row r="37" spans="1:5" ht="15" customHeight="1">
      <c r="A37" s="639" t="s">
        <v>888</v>
      </c>
      <c r="B37" s="640" t="s">
        <v>639</v>
      </c>
      <c r="C37" s="641"/>
      <c r="D37" s="621"/>
      <c r="E37" s="622"/>
    </row>
    <row r="38" spans="1:5" ht="15" customHeight="1">
      <c r="A38" s="639" t="s">
        <v>889</v>
      </c>
      <c r="B38" s="640" t="s">
        <v>639</v>
      </c>
      <c r="C38" s="641"/>
      <c r="D38" s="621"/>
      <c r="E38" s="622"/>
    </row>
    <row r="39" spans="1:5" ht="15" customHeight="1">
      <c r="A39" s="639" t="s">
        <v>890</v>
      </c>
      <c r="B39" s="640" t="s">
        <v>639</v>
      </c>
      <c r="C39" s="642"/>
      <c r="D39" s="621"/>
      <c r="E39" s="622"/>
    </row>
    <row r="40" spans="1:5" ht="15" customHeight="1">
      <c r="A40" s="639" t="s">
        <v>891</v>
      </c>
      <c r="B40" s="640" t="s">
        <v>639</v>
      </c>
      <c r="C40" s="641"/>
      <c r="D40" s="621"/>
      <c r="E40" s="622"/>
    </row>
    <row r="41" spans="1:5" ht="15" customHeight="1">
      <c r="A41" s="639" t="s">
        <v>892</v>
      </c>
      <c r="B41" s="640" t="s">
        <v>639</v>
      </c>
      <c r="C41" s="641"/>
      <c r="D41" s="621"/>
      <c r="E41" s="622"/>
    </row>
    <row r="42" spans="1:5" ht="15" customHeight="1">
      <c r="A42" s="639" t="s">
        <v>893</v>
      </c>
      <c r="B42" s="640" t="s">
        <v>639</v>
      </c>
      <c r="C42" s="641"/>
      <c r="D42" s="621"/>
      <c r="E42" s="622"/>
    </row>
    <row r="43" spans="1:5" ht="15" customHeight="1">
      <c r="A43" s="639" t="s">
        <v>894</v>
      </c>
      <c r="B43" s="640" t="s">
        <v>639</v>
      </c>
      <c r="C43" s="641"/>
      <c r="D43" s="621"/>
      <c r="E43" s="622"/>
    </row>
    <row r="44" spans="1:5" ht="15" customHeight="1">
      <c r="A44" s="639" t="s">
        <v>895</v>
      </c>
      <c r="B44" s="640" t="s">
        <v>639</v>
      </c>
      <c r="C44" s="643"/>
      <c r="D44" s="621"/>
      <c r="E44" s="622"/>
    </row>
    <row r="45" spans="1:5" ht="15" customHeight="1">
      <c r="A45" s="639" t="s">
        <v>896</v>
      </c>
      <c r="B45" s="640" t="s">
        <v>638</v>
      </c>
      <c r="C45" s="621"/>
      <c r="D45" s="621"/>
      <c r="E45" s="622"/>
    </row>
    <row r="46" spans="1:5" ht="15" customHeight="1">
      <c r="A46" s="635"/>
      <c r="B46" s="621"/>
      <c r="C46" s="621"/>
      <c r="D46" s="621"/>
      <c r="E46" s="622"/>
    </row>
    <row r="47" spans="1:5" ht="15" customHeight="1">
      <c r="A47" s="644" t="s">
        <v>640</v>
      </c>
      <c r="B47" s="645"/>
      <c r="C47" s="645"/>
      <c r="D47" s="621"/>
      <c r="E47" s="622"/>
    </row>
    <row r="48" spans="1:5" ht="15" customHeight="1">
      <c r="A48" s="635"/>
      <c r="B48" s="621"/>
      <c r="C48" s="621"/>
      <c r="D48" s="621"/>
      <c r="E48" s="622"/>
    </row>
    <row r="49" spans="1:5" ht="15" customHeight="1">
      <c r="A49" s="636" t="s">
        <v>634</v>
      </c>
      <c r="B49" s="640"/>
      <c r="C49" s="621"/>
      <c r="D49" s="621"/>
      <c r="E49" s="622"/>
    </row>
    <row r="50" spans="1:5" ht="15" customHeight="1">
      <c r="A50" s="635"/>
      <c r="B50" s="621"/>
      <c r="C50" s="621"/>
      <c r="D50" s="621"/>
      <c r="E50" s="622"/>
    </row>
    <row r="51" spans="1:5" ht="13.5" customHeight="1">
      <c r="A51" s="635"/>
      <c r="B51" s="621"/>
      <c r="C51" s="621"/>
      <c r="D51" s="621"/>
      <c r="E51" s="622"/>
    </row>
    <row r="52" spans="1:5" ht="13.5" customHeight="1" thickBot="1">
      <c r="A52" s="646"/>
      <c r="B52" s="647"/>
      <c r="C52" s="647"/>
      <c r="D52" s="647"/>
      <c r="E52" s="648"/>
    </row>
    <row r="53" ht="13.5" customHeight="1"/>
    <row r="54" ht="13.5" customHeight="1"/>
    <row r="55" ht="13.5" customHeight="1"/>
  </sheetData>
  <sheetProtection/>
  <mergeCells count="1">
    <mergeCell ref="A7:E7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92"/>
  <sheetViews>
    <sheetView view="pageBreakPreview" zoomScale="60" zoomScalePageLayoutView="0" workbookViewId="0" topLeftCell="A1">
      <selection activeCell="D4" sqref="D4"/>
    </sheetView>
  </sheetViews>
  <sheetFormatPr defaultColWidth="11.57421875" defaultRowHeight="12.75"/>
  <cols>
    <col min="1" max="1" width="2.140625" style="133" customWidth="1"/>
    <col min="2" max="2" width="8.421875" style="133" customWidth="1"/>
    <col min="3" max="3" width="44.57421875" style="133" customWidth="1"/>
    <col min="4" max="4" width="16.7109375" style="134" customWidth="1"/>
    <col min="5" max="5" width="13.7109375" style="133" customWidth="1"/>
    <col min="6" max="16384" width="11.57421875" style="133" customWidth="1"/>
  </cols>
  <sheetData>
    <row r="1" ht="12.75">
      <c r="C1" s="653" t="s">
        <v>534</v>
      </c>
    </row>
    <row r="2" ht="12.75">
      <c r="C2" s="654" t="s">
        <v>535</v>
      </c>
    </row>
    <row r="4" spans="2:4" ht="12.75">
      <c r="B4" s="652" t="s">
        <v>296</v>
      </c>
      <c r="D4" s="655">
        <v>42339</v>
      </c>
    </row>
    <row r="5" spans="2:4" ht="12.75">
      <c r="B5" s="652" t="s">
        <v>533</v>
      </c>
      <c r="D5" s="656" t="s">
        <v>536</v>
      </c>
    </row>
    <row r="7" spans="2:4" ht="12.75">
      <c r="B7" s="981" t="s">
        <v>641</v>
      </c>
      <c r="C7" s="981"/>
      <c r="D7" s="981"/>
    </row>
    <row r="8" spans="2:4" ht="13.5" thickBot="1">
      <c r="B8" s="183"/>
      <c r="C8" s="183"/>
      <c r="D8" s="183"/>
    </row>
    <row r="9" spans="2:4" ht="15.75" thickBot="1">
      <c r="B9" s="982" t="s">
        <v>5</v>
      </c>
      <c r="C9" s="983"/>
      <c r="D9" s="984"/>
    </row>
    <row r="10" spans="2:3" ht="13.5" thickBot="1">
      <c r="B10" s="184"/>
      <c r="C10" s="184"/>
    </row>
    <row r="11" spans="2:4" ht="15.75" thickBot="1">
      <c r="B11" s="985" t="s">
        <v>420</v>
      </c>
      <c r="C11" s="983"/>
      <c r="D11" s="984"/>
    </row>
    <row r="12" spans="2:3" ht="13.5" thickBot="1">
      <c r="B12" s="184"/>
      <c r="C12" s="184"/>
    </row>
    <row r="13" spans="2:4" ht="13.5" customHeight="1">
      <c r="B13" s="974" t="s">
        <v>694</v>
      </c>
      <c r="C13" s="975"/>
      <c r="D13" s="1017"/>
    </row>
    <row r="14" spans="2:4" ht="12.75" customHeight="1" thickBot="1">
      <c r="B14" s="976"/>
      <c r="C14" s="977"/>
      <c r="D14" s="1018"/>
    </row>
    <row r="15" spans="2:4" ht="12.75">
      <c r="B15" s="151"/>
      <c r="C15" s="152"/>
      <c r="D15" s="197"/>
    </row>
    <row r="16" spans="2:4" ht="12.75">
      <c r="B16" s="138" t="s">
        <v>696</v>
      </c>
      <c r="C16" s="139" t="s">
        <v>792</v>
      </c>
      <c r="D16" s="140">
        <v>0</v>
      </c>
    </row>
    <row r="17" spans="2:4" ht="12.75">
      <c r="B17" s="138" t="s">
        <v>697</v>
      </c>
      <c r="C17" s="139" t="s">
        <v>793</v>
      </c>
      <c r="D17" s="140">
        <v>0</v>
      </c>
    </row>
    <row r="18" spans="2:4" ht="12.75">
      <c r="B18" s="138" t="s">
        <v>698</v>
      </c>
      <c r="C18" s="139" t="s">
        <v>794</v>
      </c>
      <c r="D18" s="140">
        <f>3!D13</f>
        <v>8338525.569999999</v>
      </c>
    </row>
    <row r="19" spans="2:4" ht="12.75">
      <c r="B19" s="138" t="s">
        <v>699</v>
      </c>
      <c r="C19" s="139" t="s">
        <v>795</v>
      </c>
      <c r="D19" s="140">
        <f>3!D14+'Transf. y subv.'!E60</f>
        <v>1789408.98</v>
      </c>
    </row>
    <row r="20" spans="2:4" ht="12.75">
      <c r="B20" s="138" t="s">
        <v>700</v>
      </c>
      <c r="C20" s="139" t="s">
        <v>796</v>
      </c>
      <c r="D20" s="140">
        <f>3!D15</f>
        <v>1088380.6600000001</v>
      </c>
    </row>
    <row r="21" spans="2:4" ht="12.75">
      <c r="B21" s="141"/>
      <c r="C21" s="142"/>
      <c r="D21" s="143"/>
    </row>
    <row r="22" spans="2:4" ht="12.75">
      <c r="B22" s="144" t="s">
        <v>701</v>
      </c>
      <c r="C22" s="145"/>
      <c r="D22" s="146">
        <f>SUM(D16:D20)</f>
        <v>11216315.209999999</v>
      </c>
    </row>
    <row r="23" spans="2:4" ht="12.75">
      <c r="B23" s="147"/>
      <c r="C23" s="148"/>
      <c r="D23" s="149"/>
    </row>
    <row r="24" spans="2:4" ht="12.75">
      <c r="B24" s="141"/>
      <c r="C24" s="142"/>
      <c r="D24" s="143"/>
    </row>
    <row r="25" spans="2:4" ht="12.75">
      <c r="B25" s="138" t="s">
        <v>702</v>
      </c>
      <c r="C25" s="139" t="s">
        <v>797</v>
      </c>
      <c r="D25" s="143">
        <f>-'Inv. NO FIN'!H27</f>
        <v>0</v>
      </c>
    </row>
    <row r="26" spans="2:4" ht="12.75">
      <c r="B26" s="138" t="s">
        <v>703</v>
      </c>
      <c r="C26" s="139" t="s">
        <v>798</v>
      </c>
      <c r="D26" s="143">
        <f>'Transf. y subv.'!E20</f>
        <v>10132385</v>
      </c>
    </row>
    <row r="27" spans="2:4" ht="12.75">
      <c r="B27" s="141"/>
      <c r="C27" s="142"/>
      <c r="D27" s="143"/>
    </row>
    <row r="28" spans="2:4" ht="12.75">
      <c r="B28" s="144" t="s">
        <v>704</v>
      </c>
      <c r="C28" s="145"/>
      <c r="D28" s="146">
        <f>SUM(D25:D26)</f>
        <v>10132385</v>
      </c>
    </row>
    <row r="29" spans="2:4" ht="12.75">
      <c r="B29" s="147"/>
      <c r="C29" s="148"/>
      <c r="D29" s="149"/>
    </row>
    <row r="30" spans="2:4" ht="12.75">
      <c r="B30" s="141"/>
      <c r="C30" s="142"/>
      <c r="D30" s="143"/>
    </row>
    <row r="31" spans="2:4" ht="12.75">
      <c r="B31" s="138" t="s">
        <v>705</v>
      </c>
      <c r="C31" s="139" t="s">
        <v>799</v>
      </c>
      <c r="D31" s="140">
        <f>-'Inv. FIN'!G22-'Inv. FIN'!G32-'Inv. FIN'!G44-'Inv. FIN'!G51-'Inv. FIN'!G71-'Inv. FIN'!G76</f>
        <v>3783244.45</v>
      </c>
    </row>
    <row r="32" spans="2:4" ht="12.75">
      <c r="B32" s="138" t="s">
        <v>706</v>
      </c>
      <c r="C32" s="139" t="s">
        <v>800</v>
      </c>
      <c r="D32" s="140">
        <f>'Deuda L.P.'!K29</f>
        <v>0</v>
      </c>
    </row>
    <row r="33" spans="2:4" ht="12.75">
      <c r="B33" s="141"/>
      <c r="C33" s="142"/>
      <c r="D33" s="143"/>
    </row>
    <row r="34" spans="2:4" ht="12.75">
      <c r="B34" s="144" t="s">
        <v>707</v>
      </c>
      <c r="C34" s="145"/>
      <c r="D34" s="150">
        <f>SUM(D31:D32)</f>
        <v>3783244.45</v>
      </c>
    </row>
    <row r="35" spans="2:4" ht="13.5" thickBot="1">
      <c r="B35" s="151"/>
      <c r="C35" s="152"/>
      <c r="D35" s="153"/>
    </row>
    <row r="36" spans="2:4" ht="12.75">
      <c r="B36" s="161"/>
      <c r="C36" s="162"/>
      <c r="D36" s="163"/>
    </row>
    <row r="37" spans="2:7" ht="12.75">
      <c r="B37" s="154"/>
      <c r="C37" s="156" t="s">
        <v>708</v>
      </c>
      <c r="D37" s="157">
        <f>D22+D28+D34</f>
        <v>25131944.66</v>
      </c>
      <c r="G37" s="558"/>
    </row>
    <row r="38" spans="2:4" ht="13.5" thickBot="1">
      <c r="B38" s="164"/>
      <c r="C38" s="198"/>
      <c r="D38" s="166"/>
    </row>
    <row r="39" spans="2:4" ht="24" customHeight="1" thickBot="1">
      <c r="B39" s="195"/>
      <c r="C39" s="196" t="s">
        <v>161</v>
      </c>
      <c r="D39" s="197">
        <f>3!D35</f>
        <v>10273708.14</v>
      </c>
    </row>
    <row r="40" spans="2:4" ht="12.75">
      <c r="B40" s="161"/>
      <c r="C40" s="162"/>
      <c r="D40" s="163"/>
    </row>
    <row r="41" spans="2:4" ht="12.75">
      <c r="B41" s="154"/>
      <c r="C41" s="156" t="s">
        <v>708</v>
      </c>
      <c r="D41" s="157">
        <f>D37+D39</f>
        <v>35405652.8</v>
      </c>
    </row>
    <row r="42" spans="2:4" ht="13.5" thickBot="1">
      <c r="B42" s="164"/>
      <c r="C42" s="198"/>
      <c r="D42" s="166"/>
    </row>
    <row r="43" ht="13.5" thickBot="1"/>
    <row r="44" spans="2:4" ht="13.5" customHeight="1">
      <c r="B44" s="974" t="s">
        <v>694</v>
      </c>
      <c r="C44" s="975"/>
      <c r="D44" s="986"/>
    </row>
    <row r="45" spans="2:4" ht="12.75" customHeight="1" thickBot="1">
      <c r="B45" s="976"/>
      <c r="C45" s="977"/>
      <c r="D45" s="980"/>
    </row>
    <row r="46" spans="2:4" ht="12.75">
      <c r="B46" s="151"/>
      <c r="C46" s="152"/>
      <c r="D46" s="153"/>
    </row>
    <row r="47" spans="2:4" ht="12.75">
      <c r="B47" s="138" t="s">
        <v>696</v>
      </c>
      <c r="C47" s="167" t="s">
        <v>710</v>
      </c>
      <c r="D47" s="168">
        <f>3!D45</f>
        <v>5668096.17</v>
      </c>
    </row>
    <row r="48" spans="2:4" ht="12.75">
      <c r="B48" s="138" t="s">
        <v>697</v>
      </c>
      <c r="C48" s="167" t="s">
        <v>711</v>
      </c>
      <c r="D48" s="168">
        <f>3!D46</f>
        <v>9554685.079999998</v>
      </c>
    </row>
    <row r="49" spans="2:4" ht="12.75">
      <c r="B49" s="138" t="s">
        <v>698</v>
      </c>
      <c r="C49" s="167" t="s">
        <v>83</v>
      </c>
      <c r="D49" s="168">
        <f>3!D47</f>
        <v>280877.48</v>
      </c>
    </row>
    <row r="50" spans="2:4" ht="12.75">
      <c r="B50" s="138" t="s">
        <v>699</v>
      </c>
      <c r="C50" s="167" t="s">
        <v>712</v>
      </c>
      <c r="D50" s="168">
        <v>0</v>
      </c>
    </row>
    <row r="51" spans="2:4" ht="12.75">
      <c r="B51" s="151"/>
      <c r="C51" s="152"/>
      <c r="D51" s="168"/>
    </row>
    <row r="52" spans="2:4" ht="12.75">
      <c r="B52" s="144" t="s">
        <v>713</v>
      </c>
      <c r="C52" s="145"/>
      <c r="D52" s="150">
        <f>SUM(D47:D50)</f>
        <v>15503658.729999999</v>
      </c>
    </row>
    <row r="53" spans="2:4" ht="12.75">
      <c r="B53" s="147"/>
      <c r="C53" s="148"/>
      <c r="D53" s="170"/>
    </row>
    <row r="54" spans="2:4" ht="12.75">
      <c r="B54" s="151"/>
      <c r="C54" s="152"/>
      <c r="D54" s="153"/>
    </row>
    <row r="55" spans="2:4" ht="12.75">
      <c r="B55" s="138" t="s">
        <v>702</v>
      </c>
      <c r="C55" s="167" t="s">
        <v>715</v>
      </c>
      <c r="D55" s="168">
        <f>'Inv. NO FIN'!C27+'Inv. NO FIN'!E27</f>
        <v>11985793.38</v>
      </c>
    </row>
    <row r="56" spans="2:4" ht="12.75">
      <c r="B56" s="138" t="s">
        <v>703</v>
      </c>
      <c r="C56" s="167" t="s">
        <v>716</v>
      </c>
      <c r="D56" s="168">
        <v>0</v>
      </c>
    </row>
    <row r="57" spans="2:4" ht="12.75">
      <c r="B57" s="151"/>
      <c r="C57" s="152"/>
      <c r="D57" s="153"/>
    </row>
    <row r="58" spans="2:4" ht="12.75">
      <c r="B58" s="144" t="s">
        <v>717</v>
      </c>
      <c r="C58" s="145"/>
      <c r="D58" s="150">
        <f>SUM(D55:D56)</f>
        <v>11985793.38</v>
      </c>
    </row>
    <row r="59" spans="2:4" ht="12.75">
      <c r="B59" s="147"/>
      <c r="C59" s="148"/>
      <c r="D59" s="170"/>
    </row>
    <row r="60" spans="2:4" ht="12.75">
      <c r="B60" s="151"/>
      <c r="C60" s="152"/>
      <c r="D60" s="153"/>
    </row>
    <row r="61" spans="2:4" ht="12.75">
      <c r="B61" s="138" t="s">
        <v>705</v>
      </c>
      <c r="C61" s="167" t="s">
        <v>719</v>
      </c>
      <c r="D61" s="168">
        <f>'Inv. FIN'!E22+'Inv. FIN'!E32+'Inv. FIN'!E44+'Inv. FIN'!E51+'Inv. FIN'!E58+'Inv. FIN'!E71+'Inv. FIN'!E76</f>
        <v>487439.18999999994</v>
      </c>
    </row>
    <row r="62" spans="2:4" ht="12.75">
      <c r="B62" s="138" t="s">
        <v>706</v>
      </c>
      <c r="C62" s="167" t="s">
        <v>720</v>
      </c>
      <c r="D62" s="168">
        <f>-'Deuda L.P.'!L29</f>
        <v>5064548.295</v>
      </c>
    </row>
    <row r="63" spans="2:4" ht="12.75">
      <c r="B63" s="151"/>
      <c r="C63" s="152"/>
      <c r="D63" s="153"/>
    </row>
    <row r="64" spans="2:4" ht="12.75">
      <c r="B64" s="144" t="s">
        <v>721</v>
      </c>
      <c r="C64" s="145"/>
      <c r="D64" s="150">
        <f>SUM(D61:D62)</f>
        <v>5551987.484999999</v>
      </c>
    </row>
    <row r="65" spans="2:4" ht="13.5" thickBot="1">
      <c r="B65" s="171"/>
      <c r="C65" s="172"/>
      <c r="D65" s="173"/>
    </row>
    <row r="66" spans="2:4" ht="13.5" thickTop="1">
      <c r="B66" s="161"/>
      <c r="C66" s="162"/>
      <c r="D66" s="163"/>
    </row>
    <row r="67" spans="2:7" ht="12.75">
      <c r="B67" s="154"/>
      <c r="C67" s="156" t="s">
        <v>137</v>
      </c>
      <c r="D67" s="157">
        <f>D52+D58+D64</f>
        <v>33041439.595</v>
      </c>
      <c r="G67" s="558"/>
    </row>
    <row r="68" spans="2:4" ht="13.5" thickBot="1">
      <c r="B68" s="190"/>
      <c r="C68" s="191"/>
      <c r="D68" s="155"/>
    </row>
    <row r="69" spans="2:4" ht="22.5" customHeight="1" thickBot="1">
      <c r="B69" s="192"/>
      <c r="C69" s="193" t="s">
        <v>162</v>
      </c>
      <c r="D69" s="194">
        <f>3!D68</f>
        <v>3668867.59</v>
      </c>
    </row>
    <row r="70" spans="2:4" ht="12.75">
      <c r="B70" s="161"/>
      <c r="C70" s="162"/>
      <c r="D70" s="163"/>
    </row>
    <row r="71" spans="2:4" ht="12.75">
      <c r="B71" s="154"/>
      <c r="C71" s="156" t="s">
        <v>137</v>
      </c>
      <c r="D71" s="157">
        <f>D67+D69</f>
        <v>36710307.185</v>
      </c>
    </row>
    <row r="72" spans="2:4" ht="13.5" thickBot="1">
      <c r="B72" s="164"/>
      <c r="C72" s="165"/>
      <c r="D72" s="166"/>
    </row>
    <row r="74" s="925" customFormat="1" ht="12.75" hidden="1">
      <c r="D74" s="926"/>
    </row>
    <row r="75" spans="2:5" s="925" customFormat="1" ht="17.25" customHeight="1" hidden="1">
      <c r="B75" s="925" t="s">
        <v>165</v>
      </c>
      <c r="C75" s="927" t="s">
        <v>29</v>
      </c>
      <c r="D75" s="928">
        <f>D41-D71</f>
        <v>-1304654.3850000054</v>
      </c>
      <c r="E75" s="925" t="s">
        <v>169</v>
      </c>
    </row>
    <row r="76" s="925" customFormat="1" ht="12.75" hidden="1">
      <c r="D76" s="926"/>
    </row>
    <row r="77" spans="2:5" s="925" customFormat="1" ht="17.25" customHeight="1" hidden="1">
      <c r="B77" s="925" t="s">
        <v>166</v>
      </c>
      <c r="C77" s="925" t="s">
        <v>164</v>
      </c>
      <c r="D77" s="926">
        <f>D79+D84+D85+D86+D87</f>
        <v>1304654.3812319697</v>
      </c>
      <c r="E77" s="925" t="s">
        <v>525</v>
      </c>
    </row>
    <row r="78" s="925" customFormat="1" ht="12.75" hidden="1">
      <c r="D78" s="926"/>
    </row>
    <row r="79" spans="3:4" s="925" customFormat="1" ht="19.5" customHeight="1" hidden="1">
      <c r="C79" s="925" t="s">
        <v>163</v>
      </c>
      <c r="D79" s="926">
        <f>SUM(D80:D83)</f>
        <v>1804871.2699999996</v>
      </c>
    </row>
    <row r="80" spans="3:4" s="925" customFormat="1" ht="21.75" customHeight="1" hidden="1">
      <c r="C80" s="929" t="s">
        <v>527</v>
      </c>
      <c r="D80" s="930">
        <f>-'Inv. NO FIN'!D27</f>
        <v>0</v>
      </c>
    </row>
    <row r="81" spans="3:4" s="925" customFormat="1" ht="18.75" customHeight="1" hidden="1">
      <c r="C81" s="929" t="s">
        <v>683</v>
      </c>
      <c r="D81" s="930">
        <f>-'Inv. NO FIN'!F27</f>
        <v>3415297.59</v>
      </c>
    </row>
    <row r="82" spans="3:4" s="925" customFormat="1" ht="21" customHeight="1" hidden="1">
      <c r="C82" s="929" t="s">
        <v>410</v>
      </c>
      <c r="D82" s="930">
        <f>-'Inv. NO FIN'!G27</f>
        <v>0</v>
      </c>
    </row>
    <row r="83" spans="3:4" s="925" customFormat="1" ht="25.5" hidden="1">
      <c r="C83" s="929" t="s">
        <v>412</v>
      </c>
      <c r="D83" s="930">
        <f>-(ACTIVO!D26-ACTIVO!C26)-'Inv. NO FIN'!I24</f>
        <v>-1610426.3200000003</v>
      </c>
    </row>
    <row r="84" spans="3:4" s="925" customFormat="1" ht="19.5" customHeight="1" hidden="1">
      <c r="C84" s="931" t="s">
        <v>167</v>
      </c>
      <c r="D84" s="930">
        <f>-'Inv. FIN'!H22-'Inv. FIN'!H32-'Inv. FIN'!H44-'Inv. FIN'!H51</f>
        <v>0</v>
      </c>
    </row>
    <row r="85" spans="3:4" s="925" customFormat="1" ht="30" customHeight="1" hidden="1">
      <c r="C85" s="932" t="s">
        <v>168</v>
      </c>
      <c r="D85" s="930">
        <f>-ACTIVO!D28+ACTIVO!C28+ACTIVO!D42-ACTIVO!C42+ACTIVO!D43-ACTIVO!C43+0.02</f>
        <v>1306679.7462319662</v>
      </c>
    </row>
    <row r="86" spans="3:5" s="925" customFormat="1" ht="19.5" customHeight="1" hidden="1">
      <c r="C86" s="925" t="s">
        <v>526</v>
      </c>
      <c r="D86" s="926">
        <f>'Transf. y subv.'!E21+'Transf. y subv.'!E22+'Transf. y subv.'!E23+PASIVO!D13-PASIVO!C13</f>
        <v>880041.8900000006</v>
      </c>
      <c r="E86" s="933" t="s">
        <v>171</v>
      </c>
    </row>
    <row r="87" spans="3:4" s="925" customFormat="1" ht="19.5" customHeight="1" hidden="1">
      <c r="C87" s="934" t="s">
        <v>352</v>
      </c>
      <c r="D87" s="926">
        <f>PASIVO!D48-PASIVO!C48+PASIVO!D33-PASIVO!C33+D62</f>
        <v>-2686938.5249999966</v>
      </c>
    </row>
    <row r="88" s="925" customFormat="1" ht="12.75" hidden="1">
      <c r="D88" s="926"/>
    </row>
    <row r="89" spans="3:4" s="925" customFormat="1" ht="12.75" hidden="1">
      <c r="C89" s="925" t="s">
        <v>170</v>
      </c>
      <c r="D89" s="926">
        <f>D75+D77</f>
        <v>-0.003768035676330328</v>
      </c>
    </row>
    <row r="90" s="925" customFormat="1" ht="12.75" hidden="1">
      <c r="D90" s="926"/>
    </row>
    <row r="91" s="925" customFormat="1" ht="12.75" hidden="1">
      <c r="D91" s="926"/>
    </row>
    <row r="92" s="925" customFormat="1" ht="12.75" hidden="1">
      <c r="D92" s="926"/>
    </row>
  </sheetData>
  <sheetProtection formatCells="0" formatColumns="0" formatRows="0" insertColumns="0" insertRows="0" insertHyperlinks="0" deleteColumns="0" deleteRows="0" sort="0" autoFilter="0" pivotTables="0"/>
  <mergeCells count="7">
    <mergeCell ref="D13:D14"/>
    <mergeCell ref="D44:D45"/>
    <mergeCell ref="B7:D7"/>
    <mergeCell ref="B9:D9"/>
    <mergeCell ref="B11:D11"/>
    <mergeCell ref="B44:C45"/>
    <mergeCell ref="B13:C14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60" r:id="rId2"/>
  <headerFooter alignWithMargins="0">
    <oddFooter>&amp;L&amp;7Plaza de España, 1
38003 Santa Cruz de Tenerife
Teléfono: 901 501 901
www.tenerife.es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2"/>
  <sheetViews>
    <sheetView showGridLines="0" view="pageBreakPreview" zoomScaleNormal="85" zoomScaleSheetLayoutView="100" zoomScalePageLayoutView="0" workbookViewId="0" topLeftCell="A1">
      <selection activeCell="B4" sqref="B4"/>
    </sheetView>
  </sheetViews>
  <sheetFormatPr defaultColWidth="11.57421875" defaultRowHeight="12.75"/>
  <cols>
    <col min="1" max="1" width="73.57421875" style="345" customWidth="1"/>
    <col min="2" max="2" width="19.8515625" style="345" customWidth="1"/>
    <col min="3" max="3" width="19.28125" style="345" customWidth="1"/>
    <col min="4" max="4" width="20.7109375" style="345" customWidth="1"/>
    <col min="5" max="5" width="1.57421875" style="345" customWidth="1"/>
    <col min="6" max="6" width="14.57421875" style="344" hidden="1" customWidth="1"/>
    <col min="7" max="7" width="15.28125" style="344" hidden="1" customWidth="1"/>
    <col min="8" max="16384" width="11.57421875" style="345" customWidth="1"/>
  </cols>
  <sheetData>
    <row r="1" ht="12.75">
      <c r="B1" s="653" t="s">
        <v>534</v>
      </c>
    </row>
    <row r="2" ht="12.75">
      <c r="B2" s="654" t="s">
        <v>535</v>
      </c>
    </row>
    <row r="4" spans="1:2" ht="12.75">
      <c r="A4" s="652" t="s">
        <v>296</v>
      </c>
      <c r="B4" s="655">
        <v>42339</v>
      </c>
    </row>
    <row r="5" spans="1:2" ht="12.75">
      <c r="A5" s="652" t="s">
        <v>533</v>
      </c>
      <c r="B5" s="656" t="s">
        <v>536</v>
      </c>
    </row>
    <row r="6" ht="13.5" thickBot="1"/>
    <row r="7" spans="1:6" ht="49.5" customHeight="1">
      <c r="A7" s="971" t="s">
        <v>77</v>
      </c>
      <c r="B7" s="972"/>
      <c r="C7" s="973"/>
      <c r="D7" s="749">
        <v>2016</v>
      </c>
      <c r="E7" s="342"/>
      <c r="F7" s="343"/>
    </row>
    <row r="8" spans="1:6" ht="25.5" customHeight="1">
      <c r="A8" s="968" t="s">
        <v>883</v>
      </c>
      <c r="B8" s="969"/>
      <c r="C8" s="970"/>
      <c r="D8" s="750" t="s">
        <v>682</v>
      </c>
      <c r="E8" s="346"/>
      <c r="F8" s="347"/>
    </row>
    <row r="9" spans="1:6" ht="25.5" customHeight="1">
      <c r="A9" s="978" t="s">
        <v>538</v>
      </c>
      <c r="B9" s="979"/>
      <c r="C9" s="979"/>
      <c r="D9" s="967"/>
      <c r="E9" s="348"/>
      <c r="F9" s="349"/>
    </row>
    <row r="10" spans="1:7" ht="31.5" customHeight="1">
      <c r="A10" s="751" t="s">
        <v>88</v>
      </c>
      <c r="B10" s="350" t="s">
        <v>642</v>
      </c>
      <c r="C10" s="351" t="s">
        <v>644</v>
      </c>
      <c r="D10" s="710" t="s">
        <v>643</v>
      </c>
      <c r="E10" s="352"/>
      <c r="F10" s="353" t="s">
        <v>27</v>
      </c>
      <c r="G10" s="353" t="s">
        <v>28</v>
      </c>
    </row>
    <row r="11" spans="1:5" s="355" customFormat="1" ht="19.5" customHeight="1">
      <c r="A11" s="752" t="s">
        <v>124</v>
      </c>
      <c r="B11" s="753"/>
      <c r="C11" s="753"/>
      <c r="D11" s="754"/>
      <c r="E11" s="354"/>
    </row>
    <row r="12" spans="1:7" s="355" customFormat="1" ht="19.5" customHeight="1">
      <c r="A12" s="711" t="s">
        <v>828</v>
      </c>
      <c r="B12" s="455">
        <f>B13+B19</f>
        <v>9616753.16</v>
      </c>
      <c r="C12" s="455">
        <f>C13+C19</f>
        <v>8745681.129999999</v>
      </c>
      <c r="D12" s="712">
        <f>D13+D19</f>
        <v>8338525.569999999</v>
      </c>
      <c r="E12" s="356"/>
      <c r="F12" s="357">
        <f>+C12-B12</f>
        <v>-871072.0300000012</v>
      </c>
      <c r="G12" s="358">
        <f>+D12-C12</f>
        <v>-407155.5599999996</v>
      </c>
    </row>
    <row r="13" spans="1:7" s="355" customFormat="1" ht="19.5" customHeight="1">
      <c r="A13" s="713" t="s">
        <v>89</v>
      </c>
      <c r="B13" s="456">
        <f>B14+B18</f>
        <v>832207.41</v>
      </c>
      <c r="C13" s="456">
        <f>C14+C18</f>
        <v>762162.38</v>
      </c>
      <c r="D13" s="714">
        <f>D14+D18</f>
        <v>814420.39</v>
      </c>
      <c r="E13" s="359"/>
      <c r="F13" s="360"/>
      <c r="G13" s="361"/>
    </row>
    <row r="14" spans="1:7" s="355" customFormat="1" ht="19.5" customHeight="1">
      <c r="A14" s="713" t="s">
        <v>125</v>
      </c>
      <c r="B14" s="456">
        <f>SUM(B15:B17)</f>
        <v>406121.76000000024</v>
      </c>
      <c r="C14" s="456">
        <f>SUM(C15:C17)</f>
        <v>347558.0816571307</v>
      </c>
      <c r="D14" s="714">
        <f>SUM(D15:D17)</f>
        <v>366489.18</v>
      </c>
      <c r="E14" s="359"/>
      <c r="F14" s="360"/>
      <c r="G14" s="361"/>
    </row>
    <row r="15" spans="1:7" s="355" customFormat="1" ht="19.5" customHeight="1">
      <c r="A15" s="713" t="s">
        <v>829</v>
      </c>
      <c r="B15" s="453">
        <v>1498.87</v>
      </c>
      <c r="C15" s="453">
        <v>5359.2</v>
      </c>
      <c r="D15" s="715">
        <v>5000</v>
      </c>
      <c r="E15" s="359"/>
      <c r="F15" s="360"/>
      <c r="G15" s="361"/>
    </row>
    <row r="16" spans="1:7" s="355" customFormat="1" ht="19.5" customHeight="1">
      <c r="A16" s="713" t="s">
        <v>831</v>
      </c>
      <c r="B16" s="453"/>
      <c r="C16" s="453"/>
      <c r="D16" s="715"/>
      <c r="E16" s="359"/>
      <c r="F16" s="360"/>
      <c r="G16" s="361"/>
    </row>
    <row r="17" spans="1:8" s="355" customFormat="1" ht="19.5" customHeight="1">
      <c r="A17" s="713" t="s">
        <v>832</v>
      </c>
      <c r="B17" s="453">
        <v>404622.89000000025</v>
      </c>
      <c r="C17" s="456">
        <v>342198.88165713067</v>
      </c>
      <c r="D17" s="715">
        <v>361489.18</v>
      </c>
      <c r="E17" s="359"/>
      <c r="F17" s="360"/>
      <c r="G17" s="361"/>
      <c r="H17" s="355" t="s">
        <v>830</v>
      </c>
    </row>
    <row r="18" spans="1:7" s="355" customFormat="1" ht="19.5" customHeight="1">
      <c r="A18" s="713" t="s">
        <v>127</v>
      </c>
      <c r="B18" s="453">
        <v>426085.6499999998</v>
      </c>
      <c r="C18" s="453">
        <v>414604.2983428693</v>
      </c>
      <c r="D18" s="715">
        <v>447931.21</v>
      </c>
      <c r="E18" s="359"/>
      <c r="F18" s="360"/>
      <c r="G18" s="361"/>
    </row>
    <row r="19" spans="1:7" s="355" customFormat="1" ht="19.5" customHeight="1">
      <c r="A19" s="713" t="s">
        <v>833</v>
      </c>
      <c r="B19" s="709">
        <f>B20+B24</f>
        <v>8784545.75</v>
      </c>
      <c r="C19" s="456">
        <f>C20+C24</f>
        <v>7983518.749999999</v>
      </c>
      <c r="D19" s="714">
        <f>D20+D24</f>
        <v>7524105.18</v>
      </c>
      <c r="E19" s="359"/>
      <c r="F19" s="360">
        <f aca="true" t="shared" si="0" ref="F19:F24">+C19-B19</f>
        <v>-801027.0000000009</v>
      </c>
      <c r="G19" s="361">
        <f aca="true" t="shared" si="1" ref="G19:G24">-D19-C19</f>
        <v>-15507623.93</v>
      </c>
    </row>
    <row r="20" spans="1:7" s="355" customFormat="1" ht="19.5" customHeight="1">
      <c r="A20" s="713" t="s">
        <v>128</v>
      </c>
      <c r="B20" s="456">
        <f>SUM(B21:B23)</f>
        <v>4156608.434778505</v>
      </c>
      <c r="C20" s="456">
        <f>SUM(C21:C23)</f>
        <v>2435787.0411180994</v>
      </c>
      <c r="D20" s="714">
        <f>SUM(D21:D23)</f>
        <v>2471073.6</v>
      </c>
      <c r="E20" s="362"/>
      <c r="F20" s="360">
        <f t="shared" si="0"/>
        <v>-1720821.3936604057</v>
      </c>
      <c r="G20" s="361">
        <f t="shared" si="1"/>
        <v>-4906860.6411181</v>
      </c>
    </row>
    <row r="21" spans="1:7" s="355" customFormat="1" ht="19.5" customHeight="1">
      <c r="A21" s="713" t="s">
        <v>834</v>
      </c>
      <c r="B21" s="453">
        <f>1501773.98+14718.99+115809.318+28181.972+2409190.1+62423.9159</f>
        <v>4132098.2759000002</v>
      </c>
      <c r="C21" s="453">
        <f>870000+15081.6075+15000+8000+1131650.26+23240+340916.32</f>
        <v>2403888.1875</v>
      </c>
      <c r="D21" s="715">
        <f>2346406.1+(879609.9-870000)+5000</f>
        <v>2361016</v>
      </c>
      <c r="E21" s="362"/>
      <c r="F21" s="360">
        <f t="shared" si="0"/>
        <v>-1728210.0884000002</v>
      </c>
      <c r="G21" s="361">
        <f t="shared" si="1"/>
        <v>-4764904.1875</v>
      </c>
    </row>
    <row r="22" spans="1:7" s="355" customFormat="1" ht="19.5" customHeight="1">
      <c r="A22" s="713" t="s">
        <v>835</v>
      </c>
      <c r="B22" s="453">
        <v>16134.663551401869</v>
      </c>
      <c r="C22" s="453">
        <f>11803.6262+9963.83801</f>
        <v>21767.46421</v>
      </c>
      <c r="D22" s="715">
        <v>18136.45</v>
      </c>
      <c r="E22" s="362"/>
      <c r="F22" s="360">
        <f t="shared" si="0"/>
        <v>5632.800658598129</v>
      </c>
      <c r="G22" s="361">
        <f t="shared" si="1"/>
        <v>-39903.91421</v>
      </c>
    </row>
    <row r="23" spans="1:7" s="355" customFormat="1" ht="19.5" customHeight="1">
      <c r="A23" s="713" t="s">
        <v>836</v>
      </c>
      <c r="B23" s="453">
        <v>8375.495327102803</v>
      </c>
      <c r="C23" s="456">
        <v>10131.389408099687</v>
      </c>
      <c r="D23" s="715">
        <v>91921.15</v>
      </c>
      <c r="E23" s="362"/>
      <c r="F23" s="360">
        <f t="shared" si="0"/>
        <v>1755.8940809968844</v>
      </c>
      <c r="G23" s="361">
        <f t="shared" si="1"/>
        <v>-102052.53940809968</v>
      </c>
    </row>
    <row r="24" spans="1:7" s="355" customFormat="1" ht="19.5" customHeight="1">
      <c r="A24" s="713" t="s">
        <v>129</v>
      </c>
      <c r="B24" s="453">
        <v>4627937.315221495</v>
      </c>
      <c r="C24" s="453">
        <f>5888648.0288819-340916.32</f>
        <v>5547731.7088819</v>
      </c>
      <c r="D24" s="715">
        <f>5058031.58-5000</f>
        <v>5053031.58</v>
      </c>
      <c r="E24" s="362"/>
      <c r="F24" s="360">
        <f t="shared" si="0"/>
        <v>919794.3936604047</v>
      </c>
      <c r="G24" s="361">
        <f t="shared" si="1"/>
        <v>-10600763.2888819</v>
      </c>
    </row>
    <row r="25" spans="1:7" s="355" customFormat="1" ht="27.75" customHeight="1">
      <c r="A25" s="716" t="s">
        <v>390</v>
      </c>
      <c r="B25" s="455">
        <f>SUM(B26:B27)</f>
        <v>-10185</v>
      </c>
      <c r="C25" s="455">
        <f>SUM(C26:C27)</f>
        <v>-4515</v>
      </c>
      <c r="D25" s="712">
        <f>SUM(D26:D27)</f>
        <v>-252270</v>
      </c>
      <c r="E25" s="363"/>
      <c r="F25" s="364"/>
      <c r="G25" s="361"/>
    </row>
    <row r="26" spans="1:7" s="355" customFormat="1" ht="18" customHeight="1">
      <c r="A26" s="713" t="s">
        <v>677</v>
      </c>
      <c r="B26" s="453"/>
      <c r="C26" s="452"/>
      <c r="D26" s="717"/>
      <c r="E26" s="363"/>
      <c r="F26" s="364"/>
      <c r="G26" s="361"/>
    </row>
    <row r="27" spans="1:7" s="355" customFormat="1" ht="18" customHeight="1">
      <c r="A27" s="713" t="s">
        <v>678</v>
      </c>
      <c r="B27" s="453">
        <v>-10185</v>
      </c>
      <c r="C27" s="453">
        <v>-4515</v>
      </c>
      <c r="D27" s="453">
        <v>-252270</v>
      </c>
      <c r="E27" s="363"/>
      <c r="F27" s="364"/>
      <c r="G27" s="361"/>
    </row>
    <row r="28" spans="1:7" s="355" customFormat="1" ht="25.5" customHeight="1">
      <c r="A28" s="716" t="s">
        <v>837</v>
      </c>
      <c r="B28" s="452">
        <v>202328.75</v>
      </c>
      <c r="C28" s="452">
        <v>224718.1</v>
      </c>
      <c r="D28" s="717">
        <v>9869037.25</v>
      </c>
      <c r="E28" s="363"/>
      <c r="F28" s="364"/>
      <c r="G28" s="361"/>
    </row>
    <row r="29" spans="1:7" s="355" customFormat="1" ht="19.5" customHeight="1">
      <c r="A29" s="718" t="s">
        <v>838</v>
      </c>
      <c r="B29" s="455">
        <f>SUM(B30:B33)</f>
        <v>-708712.7999999999</v>
      </c>
      <c r="C29" s="455">
        <f>SUM(C30:C33)</f>
        <v>-600250.46</v>
      </c>
      <c r="D29" s="712">
        <f>SUM(D30:D33)</f>
        <v>-8967462.79</v>
      </c>
      <c r="E29" s="363"/>
      <c r="F29" s="357">
        <f>+C29-B29</f>
        <v>108462.33999999997</v>
      </c>
      <c r="G29" s="358">
        <f>+D29-C29</f>
        <v>-8367212.329999999</v>
      </c>
    </row>
    <row r="30" spans="1:7" s="355" customFormat="1" ht="19.5" customHeight="1">
      <c r="A30" s="713" t="s">
        <v>839</v>
      </c>
      <c r="B30" s="453">
        <v>-577.82</v>
      </c>
      <c r="C30" s="453"/>
      <c r="D30" s="715"/>
      <c r="E30" s="362"/>
      <c r="F30" s="365"/>
      <c r="G30" s="361"/>
    </row>
    <row r="31" spans="1:7" s="355" customFormat="1" ht="19.5" customHeight="1">
      <c r="A31" s="713" t="s">
        <v>840</v>
      </c>
      <c r="B31" s="453">
        <v>-90013.28</v>
      </c>
      <c r="C31" s="453">
        <v>-45506.46</v>
      </c>
      <c r="D31" s="715">
        <v>-8518377.76</v>
      </c>
      <c r="E31" s="362"/>
      <c r="F31" s="365"/>
      <c r="G31" s="361"/>
    </row>
    <row r="32" spans="1:7" s="355" customFormat="1" ht="19.5" customHeight="1">
      <c r="A32" s="713" t="s">
        <v>841</v>
      </c>
      <c r="B32" s="453">
        <v>-618121.7</v>
      </c>
      <c r="C32" s="453">
        <v>-554744</v>
      </c>
      <c r="D32" s="715">
        <v>-449085.03</v>
      </c>
      <c r="E32" s="362"/>
      <c r="F32" s="360">
        <f>+C32-B32</f>
        <v>63377.69999999995</v>
      </c>
      <c r="G32" s="361">
        <f>-D32-C32</f>
        <v>1003829.03</v>
      </c>
    </row>
    <row r="33" spans="1:7" s="355" customFormat="1" ht="19.5" customHeight="1">
      <c r="A33" s="713" t="s">
        <v>842</v>
      </c>
      <c r="B33" s="453"/>
      <c r="C33" s="452"/>
      <c r="D33" s="715"/>
      <c r="E33" s="362"/>
      <c r="F33" s="365"/>
      <c r="G33" s="361"/>
    </row>
    <row r="34" spans="1:7" s="355" customFormat="1" ht="19.5" customHeight="1">
      <c r="A34" s="716" t="s">
        <v>843</v>
      </c>
      <c r="B34" s="455">
        <f>B35+B39</f>
        <v>258391.21</v>
      </c>
      <c r="C34" s="455">
        <f>C35+C39</f>
        <v>719696.4700000001</v>
      </c>
      <c r="D34" s="712">
        <f>D35+D39</f>
        <v>1789408.98</v>
      </c>
      <c r="E34" s="356"/>
      <c r="F34" s="357">
        <f>+C34-B34</f>
        <v>461305.2600000001</v>
      </c>
      <c r="G34" s="358">
        <f>+D34-C34</f>
        <v>1069712.5099999998</v>
      </c>
    </row>
    <row r="35" spans="1:7" s="355" customFormat="1" ht="19.5" customHeight="1">
      <c r="A35" s="713" t="s">
        <v>844</v>
      </c>
      <c r="B35" s="456">
        <f>SUM(B36:B38)</f>
        <v>15145.99</v>
      </c>
      <c r="C35" s="456">
        <f>SUM(C36:C38)</f>
        <v>16619.81</v>
      </c>
      <c r="D35" s="714">
        <f>SUM(D36:D38)</f>
        <v>0</v>
      </c>
      <c r="E35" s="359"/>
      <c r="F35" s="360"/>
      <c r="G35" s="361"/>
    </row>
    <row r="36" spans="1:7" s="355" customFormat="1" ht="19.5" customHeight="1">
      <c r="A36" s="713" t="s">
        <v>679</v>
      </c>
      <c r="B36" s="453"/>
      <c r="C36" s="453"/>
      <c r="D36" s="715"/>
      <c r="E36" s="359"/>
      <c r="F36" s="360"/>
      <c r="G36" s="361"/>
    </row>
    <row r="37" spans="1:7" s="355" customFormat="1" ht="19.5" customHeight="1">
      <c r="A37" s="713" t="s">
        <v>680</v>
      </c>
      <c r="B37" s="453"/>
      <c r="C37" s="453"/>
      <c r="D37" s="715"/>
      <c r="E37" s="359"/>
      <c r="F37" s="360"/>
      <c r="G37" s="361"/>
    </row>
    <row r="38" spans="1:7" s="355" customFormat="1" ht="19.5" customHeight="1">
      <c r="A38" s="713" t="s">
        <v>681</v>
      </c>
      <c r="B38" s="453">
        <v>15145.99</v>
      </c>
      <c r="C38" s="453">
        <v>16619.81</v>
      </c>
      <c r="D38" s="715"/>
      <c r="E38" s="359"/>
      <c r="F38" s="360"/>
      <c r="G38" s="361"/>
    </row>
    <row r="39" spans="1:7" s="355" customFormat="1" ht="19.5" customHeight="1">
      <c r="A39" s="713" t="s">
        <v>845</v>
      </c>
      <c r="B39" s="456">
        <f>SUM(B40:B45)</f>
        <v>243245.22</v>
      </c>
      <c r="C39" s="456">
        <f>SUM(C40:C45)</f>
        <v>703076.66</v>
      </c>
      <c r="D39" s="714">
        <f>SUM(D40:D45)</f>
        <v>1789408.98</v>
      </c>
      <c r="E39" s="359"/>
      <c r="F39" s="360">
        <f>+C39-B39</f>
        <v>459831.44000000006</v>
      </c>
      <c r="G39" s="361">
        <f>-D39-C39</f>
        <v>-2492485.64</v>
      </c>
    </row>
    <row r="40" spans="1:7" s="355" customFormat="1" ht="19.5" customHeight="1">
      <c r="A40" s="713" t="s">
        <v>846</v>
      </c>
      <c r="B40" s="453">
        <v>137728.65</v>
      </c>
      <c r="C40" s="453">
        <v>9884.41</v>
      </c>
      <c r="D40" s="715">
        <v>154698.56</v>
      </c>
      <c r="E40" s="359"/>
      <c r="F40" s="360"/>
      <c r="G40" s="361"/>
    </row>
    <row r="41" spans="1:7" s="355" customFormat="1" ht="19.5" customHeight="1">
      <c r="A41" s="713" t="s">
        <v>391</v>
      </c>
      <c r="B41" s="453">
        <v>28100</v>
      </c>
      <c r="C41" s="453"/>
      <c r="D41" s="715"/>
      <c r="E41" s="362"/>
      <c r="F41" s="360">
        <f>+C41-B41</f>
        <v>-28100</v>
      </c>
      <c r="G41" s="361">
        <f>-D41-C41</f>
        <v>0</v>
      </c>
    </row>
    <row r="42" spans="1:7" s="355" customFormat="1" ht="19.5" customHeight="1">
      <c r="A42" s="713" t="s">
        <v>392</v>
      </c>
      <c r="B42" s="453"/>
      <c r="C42" s="453"/>
      <c r="D42" s="715"/>
      <c r="E42" s="362"/>
      <c r="F42" s="365"/>
      <c r="G42" s="361"/>
    </row>
    <row r="43" spans="1:7" s="355" customFormat="1" ht="19.5" customHeight="1">
      <c r="A43" s="713" t="s">
        <v>847</v>
      </c>
      <c r="B43" s="453"/>
      <c r="C43" s="453">
        <v>554440</v>
      </c>
      <c r="D43" s="715">
        <f>1045990-183443+500000+17486.33+7561.64</f>
        <v>1387594.97</v>
      </c>
      <c r="E43" s="362"/>
      <c r="F43" s="365"/>
      <c r="G43" s="361"/>
    </row>
    <row r="44" spans="1:7" s="355" customFormat="1" ht="19.5" customHeight="1">
      <c r="A44" s="713" t="s">
        <v>848</v>
      </c>
      <c r="B44" s="453">
        <v>77416.57</v>
      </c>
      <c r="C44" s="453">
        <f>135002.25+3750</f>
        <v>138752.25</v>
      </c>
      <c r="D44" s="715">
        <f>245365.45+1750</f>
        <v>247115.45</v>
      </c>
      <c r="E44" s="362"/>
      <c r="F44" s="360">
        <f>+C44-B44</f>
        <v>61335.67999999999</v>
      </c>
      <c r="G44" s="361">
        <f>-D44-C44</f>
        <v>-385867.7</v>
      </c>
    </row>
    <row r="45" spans="1:7" s="355" customFormat="1" ht="19.5" customHeight="1">
      <c r="A45" s="713" t="s">
        <v>849</v>
      </c>
      <c r="B45" s="453"/>
      <c r="C45" s="452"/>
      <c r="D45" s="715"/>
      <c r="E45" s="362"/>
      <c r="F45" s="365"/>
      <c r="G45" s="361"/>
    </row>
    <row r="46" spans="1:7" s="355" customFormat="1" ht="19.5" customHeight="1">
      <c r="A46" s="716" t="s">
        <v>850</v>
      </c>
      <c r="B46" s="455">
        <f>SUM(B47:B52)</f>
        <v>-4110524.34</v>
      </c>
      <c r="C46" s="455">
        <f>SUM(C47:C52)</f>
        <v>-4503929.48</v>
      </c>
      <c r="D46" s="712">
        <f>SUM(D47:D52)</f>
        <v>-5668096.17</v>
      </c>
      <c r="E46" s="363"/>
      <c r="F46" s="357">
        <f>+C46-B46</f>
        <v>-393405.1400000006</v>
      </c>
      <c r="G46" s="358">
        <f>+D46-C46</f>
        <v>-1164166.6899999995</v>
      </c>
    </row>
    <row r="47" spans="1:7" s="355" customFormat="1" ht="19.5" customHeight="1">
      <c r="A47" s="713" t="s">
        <v>851</v>
      </c>
      <c r="B47" s="453">
        <v>-3055386.21</v>
      </c>
      <c r="C47" s="453">
        <v>-3410118.1</v>
      </c>
      <c r="D47" s="715">
        <v>-4401964.74</v>
      </c>
      <c r="E47" s="362"/>
      <c r="F47" s="360">
        <f>+C47-B47</f>
        <v>-354731.89000000013</v>
      </c>
      <c r="G47" s="361">
        <f>-D47-C47</f>
        <v>7812082.84</v>
      </c>
    </row>
    <row r="48" spans="1:7" s="355" customFormat="1" ht="19.5" customHeight="1">
      <c r="A48" s="713" t="s">
        <v>393</v>
      </c>
      <c r="B48" s="453"/>
      <c r="C48" s="453"/>
      <c r="D48" s="715"/>
      <c r="E48" s="362"/>
      <c r="F48" s="360">
        <f>+C48-B48</f>
        <v>0</v>
      </c>
      <c r="G48" s="361">
        <f>-D48-C48</f>
        <v>0</v>
      </c>
    </row>
    <row r="49" spans="1:7" s="355" customFormat="1" ht="19.5" customHeight="1">
      <c r="A49" s="713" t="s">
        <v>394</v>
      </c>
      <c r="B49" s="453">
        <v>-1055138.13</v>
      </c>
      <c r="C49" s="453">
        <v>-1093811.38</v>
      </c>
      <c r="D49" s="715">
        <v>-1040011.43</v>
      </c>
      <c r="E49" s="362"/>
      <c r="F49" s="360">
        <f>+C49-B49</f>
        <v>-38673.25</v>
      </c>
      <c r="G49" s="361">
        <f>-D49-C49</f>
        <v>2133822.81</v>
      </c>
    </row>
    <row r="50" spans="1:7" s="355" customFormat="1" ht="19.5" customHeight="1">
      <c r="A50" s="713" t="s">
        <v>395</v>
      </c>
      <c r="B50" s="453"/>
      <c r="C50" s="453"/>
      <c r="D50" s="715"/>
      <c r="E50" s="362"/>
      <c r="F50" s="360">
        <f>+C50-B50</f>
        <v>0</v>
      </c>
      <c r="G50" s="361">
        <f>-D50-C50</f>
        <v>0</v>
      </c>
    </row>
    <row r="51" spans="1:7" s="355" customFormat="1" ht="19.5" customHeight="1">
      <c r="A51" s="713" t="s">
        <v>396</v>
      </c>
      <c r="B51" s="453"/>
      <c r="C51" s="453"/>
      <c r="D51" s="715">
        <v>-226120</v>
      </c>
      <c r="E51" s="362"/>
      <c r="F51" s="365"/>
      <c r="G51" s="361"/>
    </row>
    <row r="52" spans="1:7" s="355" customFormat="1" ht="19.5" customHeight="1">
      <c r="A52" s="713" t="s">
        <v>397</v>
      </c>
      <c r="B52" s="453"/>
      <c r="C52" s="452"/>
      <c r="D52" s="715"/>
      <c r="E52" s="362"/>
      <c r="F52" s="365"/>
      <c r="G52" s="366"/>
    </row>
    <row r="53" spans="1:7" s="355" customFormat="1" ht="19.5" customHeight="1" hidden="1">
      <c r="A53" s="713" t="s">
        <v>325</v>
      </c>
      <c r="B53" s="453"/>
      <c r="C53" s="452"/>
      <c r="D53" s="715"/>
      <c r="E53" s="362"/>
      <c r="F53" s="365"/>
      <c r="G53" s="366"/>
    </row>
    <row r="54" spans="1:7" s="355" customFormat="1" ht="19.5" customHeight="1">
      <c r="A54" s="711" t="s">
        <v>852</v>
      </c>
      <c r="B54" s="455">
        <f>+B55+B56+B57+B58</f>
        <v>-5093171.52</v>
      </c>
      <c r="C54" s="455">
        <f>+C55+C56+C57+C58</f>
        <v>-2702794.06</v>
      </c>
      <c r="D54" s="712">
        <f>+D55+D56+D57+D58</f>
        <v>-2854639.43</v>
      </c>
      <c r="E54" s="363"/>
      <c r="F54" s="357">
        <f>+C54-B54</f>
        <v>2390377.4599999995</v>
      </c>
      <c r="G54" s="358">
        <f>+D54-C54</f>
        <v>-151845.3700000001</v>
      </c>
    </row>
    <row r="55" spans="1:7" s="355" customFormat="1" ht="19.5" customHeight="1">
      <c r="A55" s="713" t="s">
        <v>398</v>
      </c>
      <c r="B55" s="453">
        <v>-3095084.69</v>
      </c>
      <c r="C55" s="453">
        <v>-2546198.5</v>
      </c>
      <c r="D55" s="715">
        <f>-2632630-60000</f>
        <v>-2692630</v>
      </c>
      <c r="E55" s="362"/>
      <c r="F55" s="360">
        <f>+C55-B55</f>
        <v>548886.19</v>
      </c>
      <c r="G55" s="361">
        <f>-D55-C55</f>
        <v>5238828.5</v>
      </c>
    </row>
    <row r="56" spans="1:7" s="355" customFormat="1" ht="19.5" customHeight="1">
      <c r="A56" s="713" t="s">
        <v>399</v>
      </c>
      <c r="B56" s="453">
        <v>-2071907.98</v>
      </c>
      <c r="C56" s="453">
        <v>-156595.56</v>
      </c>
      <c r="D56" s="715">
        <v>-162009.43</v>
      </c>
      <c r="E56" s="362"/>
      <c r="F56" s="360">
        <f>+C56-B56</f>
        <v>1915312.42</v>
      </c>
      <c r="G56" s="361">
        <f>-D56-C56</f>
        <v>318604.99</v>
      </c>
    </row>
    <row r="57" spans="1:7" s="355" customFormat="1" ht="19.5" customHeight="1">
      <c r="A57" s="713" t="s">
        <v>853</v>
      </c>
      <c r="B57" s="453">
        <v>73821.15</v>
      </c>
      <c r="C57" s="453"/>
      <c r="D57" s="715"/>
      <c r="E57" s="359"/>
      <c r="F57" s="360">
        <f>+C57-B57</f>
        <v>-73821.15</v>
      </c>
      <c r="G57" s="361">
        <f>-D57-C57</f>
        <v>0</v>
      </c>
    </row>
    <row r="58" spans="1:7" s="355" customFormat="1" ht="19.5" customHeight="1">
      <c r="A58" s="713" t="s">
        <v>854</v>
      </c>
      <c r="B58" s="452"/>
      <c r="C58" s="452"/>
      <c r="D58" s="717"/>
      <c r="E58" s="367"/>
      <c r="F58" s="368"/>
      <c r="G58" s="361"/>
    </row>
    <row r="59" spans="1:7" s="355" customFormat="1" ht="19.5" customHeight="1">
      <c r="A59" s="711" t="s">
        <v>855</v>
      </c>
      <c r="B59" s="455">
        <f>SUM(B60:B62)</f>
        <v>-3532938.4899999998</v>
      </c>
      <c r="C59" s="455">
        <f>SUM(C60:C62)</f>
        <v>-3491223.89</v>
      </c>
      <c r="D59" s="712">
        <f>SUM(D60:D62)</f>
        <v>-3415297.59</v>
      </c>
      <c r="E59" s="363"/>
      <c r="F59" s="357">
        <f>+C59-B59</f>
        <v>41714.59999999963</v>
      </c>
      <c r="G59" s="358">
        <f>+D59-C59</f>
        <v>75926.30000000028</v>
      </c>
    </row>
    <row r="60" spans="1:7" s="355" customFormat="1" ht="19.5" customHeight="1">
      <c r="A60" s="713" t="s">
        <v>592</v>
      </c>
      <c r="B60" s="453">
        <v>-69135.76</v>
      </c>
      <c r="C60" s="453">
        <v>-66789.1</v>
      </c>
      <c r="D60" s="715">
        <v>-61748.81</v>
      </c>
      <c r="E60" s="363"/>
      <c r="F60" s="357"/>
      <c r="G60" s="358"/>
    </row>
    <row r="61" spans="1:7" s="355" customFormat="1" ht="19.5" customHeight="1">
      <c r="A61" s="713" t="s">
        <v>593</v>
      </c>
      <c r="B61" s="453">
        <v>-3463802.73</v>
      </c>
      <c r="C61" s="453">
        <v>-3424434.79</v>
      </c>
      <c r="D61" s="715">
        <v>-3353548.78</v>
      </c>
      <c r="E61" s="363"/>
      <c r="F61" s="357"/>
      <c r="G61" s="358"/>
    </row>
    <row r="62" spans="1:7" s="355" customFormat="1" ht="19.5" customHeight="1">
      <c r="A62" s="713" t="s">
        <v>594</v>
      </c>
      <c r="B62" s="452"/>
      <c r="C62" s="452"/>
      <c r="D62" s="717"/>
      <c r="E62" s="363"/>
      <c r="F62" s="357"/>
      <c r="G62" s="358"/>
    </row>
    <row r="63" spans="1:7" s="355" customFormat="1" ht="25.5" customHeight="1">
      <c r="A63" s="716" t="s">
        <v>856</v>
      </c>
      <c r="B63" s="452">
        <v>429214.75</v>
      </c>
      <c r="C63" s="452">
        <v>413686.05</v>
      </c>
      <c r="D63" s="717">
        <v>404670.89</v>
      </c>
      <c r="E63" s="363"/>
      <c r="F63" s="357">
        <f>+C63-B63</f>
        <v>-15528.700000000012</v>
      </c>
      <c r="G63" s="358">
        <f>+D63-C63</f>
        <v>-9015.159999999974</v>
      </c>
    </row>
    <row r="64" spans="1:7" s="355" customFormat="1" ht="24.75" customHeight="1">
      <c r="A64" s="716" t="s">
        <v>857</v>
      </c>
      <c r="B64" s="452">
        <v>1730634.47</v>
      </c>
      <c r="C64" s="452"/>
      <c r="D64" s="717"/>
      <c r="E64" s="356"/>
      <c r="F64" s="357"/>
      <c r="G64" s="361"/>
    </row>
    <row r="65" spans="1:7" s="355" customFormat="1" ht="28.5" customHeight="1">
      <c r="A65" s="716" t="s">
        <v>858</v>
      </c>
      <c r="B65" s="455">
        <f>B66+B70</f>
        <v>0</v>
      </c>
      <c r="C65" s="455">
        <f>C66+C70</f>
        <v>0</v>
      </c>
      <c r="D65" s="712">
        <f>D66+D70</f>
        <v>0</v>
      </c>
      <c r="E65" s="363"/>
      <c r="F65" s="357">
        <f>+C65-B65</f>
        <v>0</v>
      </c>
      <c r="G65" s="358">
        <f>+D65-C65</f>
        <v>0</v>
      </c>
    </row>
    <row r="66" spans="1:7" s="355" customFormat="1" ht="19.5" customHeight="1">
      <c r="A66" s="713" t="s">
        <v>73</v>
      </c>
      <c r="B66" s="456">
        <f>SUM(B67:B69)</f>
        <v>0</v>
      </c>
      <c r="C66" s="456">
        <f>SUM(C67:C69)</f>
        <v>0</v>
      </c>
      <c r="D66" s="714">
        <f>SUM(D67:D69)</f>
        <v>0</v>
      </c>
      <c r="E66" s="359"/>
      <c r="F66" s="360"/>
      <c r="G66" s="361"/>
    </row>
    <row r="67" spans="1:7" s="355" customFormat="1" ht="19.5" customHeight="1">
      <c r="A67" s="713" t="s">
        <v>595</v>
      </c>
      <c r="B67" s="453"/>
      <c r="C67" s="452"/>
      <c r="D67" s="715"/>
      <c r="E67" s="359"/>
      <c r="F67" s="360"/>
      <c r="G67" s="361"/>
    </row>
    <row r="68" spans="1:7" s="355" customFormat="1" ht="19.5" customHeight="1">
      <c r="A68" s="713" t="s">
        <v>596</v>
      </c>
      <c r="B68" s="453"/>
      <c r="C68" s="452"/>
      <c r="D68" s="715"/>
      <c r="E68" s="359"/>
      <c r="F68" s="360"/>
      <c r="G68" s="361"/>
    </row>
    <row r="69" spans="1:7" s="355" customFormat="1" ht="19.5" customHeight="1">
      <c r="A69" s="713" t="s">
        <v>597</v>
      </c>
      <c r="B69" s="453"/>
      <c r="C69" s="452"/>
      <c r="D69" s="715"/>
      <c r="E69" s="359"/>
      <c r="F69" s="360"/>
      <c r="G69" s="361"/>
    </row>
    <row r="70" spans="1:7" s="355" customFormat="1" ht="19.5" customHeight="1">
      <c r="A70" s="713" t="s">
        <v>400</v>
      </c>
      <c r="B70" s="456">
        <f>SUM(B71:B73)</f>
        <v>0</v>
      </c>
      <c r="C70" s="456">
        <f>SUM(C71:C73)</f>
        <v>0</v>
      </c>
      <c r="D70" s="714">
        <f>SUM(D71:D73)</f>
        <v>0</v>
      </c>
      <c r="E70" s="362"/>
      <c r="F70" s="360">
        <f>+C70-B70</f>
        <v>0</v>
      </c>
      <c r="G70" s="361">
        <f>-D70-C70</f>
        <v>0</v>
      </c>
    </row>
    <row r="71" spans="1:7" s="355" customFormat="1" ht="19.5" customHeight="1">
      <c r="A71" s="713" t="s">
        <v>595</v>
      </c>
      <c r="B71" s="453"/>
      <c r="C71" s="453"/>
      <c r="D71" s="715"/>
      <c r="E71" s="362"/>
      <c r="F71" s="360"/>
      <c r="G71" s="361"/>
    </row>
    <row r="72" spans="1:7" s="355" customFormat="1" ht="19.5" customHeight="1">
      <c r="A72" s="713" t="s">
        <v>596</v>
      </c>
      <c r="B72" s="453"/>
      <c r="C72" s="453"/>
      <c r="D72" s="715"/>
      <c r="E72" s="362"/>
      <c r="F72" s="360"/>
      <c r="G72" s="361"/>
    </row>
    <row r="73" spans="1:7" s="355" customFormat="1" ht="19.5" customHeight="1">
      <c r="A73" s="713" t="s">
        <v>597</v>
      </c>
      <c r="B73" s="453"/>
      <c r="C73" s="453"/>
      <c r="D73" s="715"/>
      <c r="E73" s="362"/>
      <c r="F73" s="360"/>
      <c r="G73" s="361"/>
    </row>
    <row r="74" spans="1:7" s="355" customFormat="1" ht="27" customHeight="1">
      <c r="A74" s="716" t="s">
        <v>326</v>
      </c>
      <c r="B74" s="453"/>
      <c r="C74" s="453"/>
      <c r="D74" s="715"/>
      <c r="E74" s="362"/>
      <c r="F74" s="360"/>
      <c r="G74" s="361"/>
    </row>
    <row r="75" spans="1:7" s="355" customFormat="1" ht="27" customHeight="1">
      <c r="A75" s="716" t="s">
        <v>173</v>
      </c>
      <c r="B75" s="455">
        <f>SUM(B76:B78)</f>
        <v>0</v>
      </c>
      <c r="C75" s="455">
        <f>SUM(C76:C78)</f>
        <v>0</v>
      </c>
      <c r="D75" s="712">
        <f>SUM(D76:D78)</f>
        <v>0</v>
      </c>
      <c r="E75" s="362"/>
      <c r="F75" s="360"/>
      <c r="G75" s="361"/>
    </row>
    <row r="76" spans="1:7" s="355" customFormat="1" ht="19.5" customHeight="1">
      <c r="A76" s="713" t="s">
        <v>174</v>
      </c>
      <c r="B76" s="453"/>
      <c r="C76" s="453"/>
      <c r="D76" s="715"/>
      <c r="E76" s="362"/>
      <c r="F76" s="360"/>
      <c r="G76" s="361"/>
    </row>
    <row r="77" spans="1:7" s="355" customFormat="1" ht="19.5" customHeight="1">
      <c r="A77" s="713" t="s">
        <v>175</v>
      </c>
      <c r="B77" s="453"/>
      <c r="C77" s="453"/>
      <c r="D77" s="715"/>
      <c r="E77" s="362"/>
      <c r="F77" s="360"/>
      <c r="G77" s="361"/>
    </row>
    <row r="78" spans="1:7" s="355" customFormat="1" ht="19.5" customHeight="1">
      <c r="A78" s="713" t="s">
        <v>176</v>
      </c>
      <c r="B78" s="453"/>
      <c r="C78" s="453"/>
      <c r="D78" s="715"/>
      <c r="E78" s="362"/>
      <c r="F78" s="360"/>
      <c r="G78" s="361"/>
    </row>
    <row r="79" spans="1:7" s="355" customFormat="1" ht="29.25" customHeight="1">
      <c r="A79" s="716" t="s">
        <v>172</v>
      </c>
      <c r="B79" s="455">
        <f>SUM(B80:B81)</f>
        <v>4072.87</v>
      </c>
      <c r="C79" s="455">
        <f>SUM(C80:C81)</f>
        <v>-18846.29</v>
      </c>
      <c r="D79" s="712">
        <f>SUM(D80:D81)</f>
        <v>0</v>
      </c>
      <c r="E79" s="362"/>
      <c r="F79" s="360">
        <f>+C79-B79</f>
        <v>-22919.16</v>
      </c>
      <c r="G79" s="361">
        <f>-D79-C79</f>
        <v>18846.29</v>
      </c>
    </row>
    <row r="80" spans="1:7" s="355" customFormat="1" ht="21.75" customHeight="1">
      <c r="A80" s="713" t="s">
        <v>675</v>
      </c>
      <c r="B80" s="452"/>
      <c r="C80" s="452">
        <v>-18846.29</v>
      </c>
      <c r="D80" s="717"/>
      <c r="E80" s="362"/>
      <c r="F80" s="360"/>
      <c r="G80" s="361"/>
    </row>
    <row r="81" spans="1:7" s="355" customFormat="1" ht="21" customHeight="1">
      <c r="A81" s="713" t="s">
        <v>676</v>
      </c>
      <c r="B81" s="452">
        <v>4072.87</v>
      </c>
      <c r="C81" s="452"/>
      <c r="D81" s="717"/>
      <c r="E81" s="362"/>
      <c r="F81" s="360"/>
      <c r="G81" s="361"/>
    </row>
    <row r="82" spans="1:7" s="355" customFormat="1" ht="33" customHeight="1">
      <c r="A82" s="716" t="s">
        <v>177</v>
      </c>
      <c r="B82" s="455">
        <f>B12+B25+B28+B29+B34+B46+B54+B59+B63+B64+B65+B79+B74+B75</f>
        <v>-1214136.9399999988</v>
      </c>
      <c r="C82" s="455">
        <f>C12+C25+C28+C29+C34+C46+C54+C59+C63+C64+C65+C79+C74+C75</f>
        <v>-1217777.4300000023</v>
      </c>
      <c r="D82" s="712">
        <f>D12+D25+D28+D29+D34+D46+D54+D59+D63+D64+D65+D79+D74+D75</f>
        <v>-756123.2899999983</v>
      </c>
      <c r="E82" s="356"/>
      <c r="F82" s="357">
        <f>+C82-B82</f>
        <v>-3640.490000003483</v>
      </c>
      <c r="G82" s="358">
        <f>+D82-C82</f>
        <v>461654.140000004</v>
      </c>
    </row>
    <row r="83" spans="1:7" s="355" customFormat="1" ht="27.75" customHeight="1">
      <c r="A83" s="716" t="s">
        <v>178</v>
      </c>
      <c r="B83" s="455">
        <f>SUM(B84+B87+B90)</f>
        <v>1815902.08</v>
      </c>
      <c r="C83" s="455">
        <f>SUM(C84+C87+C90)</f>
        <v>2518196.47</v>
      </c>
      <c r="D83" s="712">
        <f>SUM(D84+D87+D90)</f>
        <v>1088380.6600000001</v>
      </c>
      <c r="E83" s="356"/>
      <c r="F83" s="357">
        <f>+C83-B83</f>
        <v>702294.3900000001</v>
      </c>
      <c r="G83" s="358">
        <f>+D83-C83</f>
        <v>-1429815.81</v>
      </c>
    </row>
    <row r="84" spans="1:7" s="355" customFormat="1" ht="19.5" customHeight="1">
      <c r="A84" s="713" t="s">
        <v>859</v>
      </c>
      <c r="B84" s="456">
        <f>SUM(B85:B86)</f>
        <v>262967.23</v>
      </c>
      <c r="C84" s="456">
        <f>SUM(C85:C86)</f>
        <v>1847406.6</v>
      </c>
      <c r="D84" s="714">
        <f>SUM(D85:D86)</f>
        <v>485520</v>
      </c>
      <c r="E84" s="362"/>
      <c r="F84" s="365"/>
      <c r="G84" s="361"/>
    </row>
    <row r="85" spans="1:7" s="355" customFormat="1" ht="19.5" customHeight="1">
      <c r="A85" s="713" t="s">
        <v>860</v>
      </c>
      <c r="B85" s="453">
        <v>159191.73</v>
      </c>
      <c r="C85" s="452"/>
      <c r="D85" s="715">
        <v>485520</v>
      </c>
      <c r="E85" s="362"/>
      <c r="F85" s="365"/>
      <c r="G85" s="361"/>
    </row>
    <row r="86" spans="1:7" s="355" customFormat="1" ht="19.5" customHeight="1">
      <c r="A86" s="713" t="s">
        <v>861</v>
      </c>
      <c r="B86" s="453">
        <v>103775.5</v>
      </c>
      <c r="C86" s="453">
        <v>1847406.6</v>
      </c>
      <c r="D86" s="715"/>
      <c r="E86" s="362"/>
      <c r="F86" s="365"/>
      <c r="G86" s="361"/>
    </row>
    <row r="87" spans="1:7" s="355" customFormat="1" ht="19.5" customHeight="1">
      <c r="A87" s="713" t="s">
        <v>401</v>
      </c>
      <c r="B87" s="456">
        <f>SUM(B88:B89)</f>
        <v>1552934.85</v>
      </c>
      <c r="C87" s="456">
        <f>SUM(C88:C89)</f>
        <v>670789.87</v>
      </c>
      <c r="D87" s="714">
        <f>SUM(D88:D89)</f>
        <v>602860.66</v>
      </c>
      <c r="E87" s="362"/>
      <c r="F87" s="360">
        <f>+C87-B87</f>
        <v>-882144.9800000001</v>
      </c>
      <c r="G87" s="361">
        <f>-D87-C87</f>
        <v>-1273650.53</v>
      </c>
    </row>
    <row r="88" spans="1:7" s="355" customFormat="1" ht="19.5" customHeight="1">
      <c r="A88" s="713" t="s">
        <v>862</v>
      </c>
      <c r="B88" s="453">
        <v>1531255.56</v>
      </c>
      <c r="C88" s="453">
        <v>667961.34</v>
      </c>
      <c r="D88" s="715">
        <v>600032.01</v>
      </c>
      <c r="E88" s="362"/>
      <c r="F88" s="365"/>
      <c r="G88" s="361"/>
    </row>
    <row r="89" spans="1:7" s="355" customFormat="1" ht="19.5" customHeight="1">
      <c r="A89" s="713" t="s">
        <v>863</v>
      </c>
      <c r="B89" s="453">
        <v>21679.29</v>
      </c>
      <c r="C89" s="453">
        <v>2828.53</v>
      </c>
      <c r="D89" s="715">
        <v>2828.65</v>
      </c>
      <c r="E89" s="369"/>
      <c r="F89" s="360">
        <f>+C89-B89</f>
        <v>-18850.760000000002</v>
      </c>
      <c r="G89" s="361">
        <f>-D89-C89</f>
        <v>-5657.18</v>
      </c>
    </row>
    <row r="90" spans="1:7" s="355" customFormat="1" ht="19.5" customHeight="1">
      <c r="A90" s="713" t="s">
        <v>327</v>
      </c>
      <c r="B90" s="453"/>
      <c r="C90" s="453"/>
      <c r="D90" s="715"/>
      <c r="E90" s="369"/>
      <c r="F90" s="360"/>
      <c r="G90" s="361"/>
    </row>
    <row r="91" spans="1:7" s="355" customFormat="1" ht="19.5" customHeight="1">
      <c r="A91" s="716" t="s">
        <v>179</v>
      </c>
      <c r="B91" s="455">
        <f>SUM(B92:B94)</f>
        <v>-514081.81</v>
      </c>
      <c r="C91" s="455">
        <f>SUM(C92:C94)</f>
        <v>-544066.89</v>
      </c>
      <c r="D91" s="712">
        <f>D92+D93+D94</f>
        <v>-282177.48</v>
      </c>
      <c r="E91" s="363"/>
      <c r="F91" s="357">
        <f>+C91-B91</f>
        <v>-29985.080000000016</v>
      </c>
      <c r="G91" s="358">
        <f>+D91-C91</f>
        <v>261889.41000000003</v>
      </c>
    </row>
    <row r="92" spans="1:7" s="355" customFormat="1" ht="19.5" customHeight="1">
      <c r="A92" s="713" t="s">
        <v>864</v>
      </c>
      <c r="B92" s="453"/>
      <c r="C92" s="452"/>
      <c r="D92" s="715"/>
      <c r="E92" s="362"/>
      <c r="F92" s="365"/>
      <c r="G92" s="361"/>
    </row>
    <row r="93" spans="1:7" s="355" customFormat="1" ht="19.5" customHeight="1">
      <c r="A93" s="713" t="s">
        <v>402</v>
      </c>
      <c r="B93" s="453">
        <v>-514081.81</v>
      </c>
      <c r="C93" s="453">
        <v>-542866.89</v>
      </c>
      <c r="D93" s="715">
        <v>-280877.48</v>
      </c>
      <c r="E93" s="369"/>
      <c r="F93" s="370"/>
      <c r="G93" s="361"/>
    </row>
    <row r="94" spans="1:7" s="355" customFormat="1" ht="19.5" customHeight="1">
      <c r="A94" s="713" t="s">
        <v>403</v>
      </c>
      <c r="B94" s="452"/>
      <c r="C94" s="453">
        <v>-1200</v>
      </c>
      <c r="D94" s="715">
        <v>-1300</v>
      </c>
      <c r="E94" s="371"/>
      <c r="F94" s="372"/>
      <c r="G94" s="361"/>
    </row>
    <row r="95" spans="1:7" s="355" customFormat="1" ht="24.75" customHeight="1">
      <c r="A95" s="716" t="s">
        <v>180</v>
      </c>
      <c r="B95" s="455">
        <f>B96+B97</f>
        <v>0</v>
      </c>
      <c r="C95" s="455">
        <f>C96+C97</f>
        <v>0</v>
      </c>
      <c r="D95" s="712">
        <f>D96+D97</f>
        <v>0</v>
      </c>
      <c r="E95" s="363"/>
      <c r="F95" s="357">
        <f>+C95-B95</f>
        <v>0</v>
      </c>
      <c r="G95" s="358">
        <f>+D95-C95</f>
        <v>0</v>
      </c>
    </row>
    <row r="96" spans="1:7" s="355" customFormat="1" ht="19.5" customHeight="1">
      <c r="A96" s="713" t="s">
        <v>865</v>
      </c>
      <c r="B96" s="452"/>
      <c r="C96" s="452"/>
      <c r="D96" s="717"/>
      <c r="E96" s="371"/>
      <c r="F96" s="372"/>
      <c r="G96" s="361"/>
    </row>
    <row r="97" spans="1:7" s="355" customFormat="1" ht="28.5" customHeight="1">
      <c r="A97" s="719" t="s">
        <v>404</v>
      </c>
      <c r="B97" s="452"/>
      <c r="C97" s="452"/>
      <c r="D97" s="717"/>
      <c r="E97" s="371"/>
      <c r="F97" s="372"/>
      <c r="G97" s="361"/>
    </row>
    <row r="98" spans="1:7" s="355" customFormat="1" ht="21.75" customHeight="1">
      <c r="A98" s="716" t="s">
        <v>181</v>
      </c>
      <c r="B98" s="452">
        <v>921.36</v>
      </c>
      <c r="C98" s="452">
        <v>-84.66</v>
      </c>
      <c r="D98" s="717"/>
      <c r="E98" s="363"/>
      <c r="F98" s="364"/>
      <c r="G98" s="361"/>
    </row>
    <row r="99" spans="1:7" s="355" customFormat="1" ht="28.5" customHeight="1">
      <c r="A99" s="716" t="s">
        <v>182</v>
      </c>
      <c r="B99" s="455">
        <f>SUM(B100:B101)</f>
        <v>0</v>
      </c>
      <c r="C99" s="455">
        <f>SUM(C100:C101)</f>
        <v>0</v>
      </c>
      <c r="D99" s="712">
        <f>SUM(D100:D101)</f>
        <v>0</v>
      </c>
      <c r="E99" s="356"/>
      <c r="F99" s="357"/>
      <c r="G99" s="361"/>
    </row>
    <row r="100" spans="1:7" s="355" customFormat="1" ht="20.25" customHeight="1">
      <c r="A100" s="713" t="s">
        <v>866</v>
      </c>
      <c r="B100" s="452"/>
      <c r="C100" s="452"/>
      <c r="D100" s="717"/>
      <c r="E100" s="367"/>
      <c r="F100" s="368"/>
      <c r="G100" s="361"/>
    </row>
    <row r="101" spans="1:7" s="355" customFormat="1" ht="17.25" customHeight="1">
      <c r="A101" s="719" t="s">
        <v>867</v>
      </c>
      <c r="B101" s="452"/>
      <c r="C101" s="452"/>
      <c r="D101" s="717"/>
      <c r="E101" s="367"/>
      <c r="F101" s="368"/>
      <c r="G101" s="361"/>
    </row>
    <row r="102" spans="1:7" s="355" customFormat="1" ht="17.25" customHeight="1">
      <c r="A102" s="716" t="s">
        <v>185</v>
      </c>
      <c r="B102" s="455">
        <f>SUM(B103:B104)</f>
        <v>0</v>
      </c>
      <c r="C102" s="455">
        <f>SUM(C103:C104)</f>
        <v>0</v>
      </c>
      <c r="D102" s="712">
        <f>SUM(D103:D104)</f>
        <v>0</v>
      </c>
      <c r="E102" s="367"/>
      <c r="F102" s="368"/>
      <c r="G102" s="361"/>
    </row>
    <row r="103" spans="1:7" s="355" customFormat="1" ht="17.25" customHeight="1">
      <c r="A103" s="716" t="s">
        <v>328</v>
      </c>
      <c r="B103" s="452"/>
      <c r="C103" s="452"/>
      <c r="D103" s="717"/>
      <c r="E103" s="367"/>
      <c r="F103" s="368"/>
      <c r="G103" s="361"/>
    </row>
    <row r="104" spans="1:7" s="355" customFormat="1" ht="17.25" customHeight="1">
      <c r="A104" s="716" t="s">
        <v>329</v>
      </c>
      <c r="B104" s="452"/>
      <c r="C104" s="452"/>
      <c r="D104" s="717"/>
      <c r="E104" s="367"/>
      <c r="F104" s="368"/>
      <c r="G104" s="361"/>
    </row>
    <row r="105" spans="1:7" s="355" customFormat="1" ht="19.5" customHeight="1">
      <c r="A105" s="711" t="s">
        <v>363</v>
      </c>
      <c r="B105" s="455">
        <f>B83+B91+B95+B98+B99+B102</f>
        <v>1302741.6300000001</v>
      </c>
      <c r="C105" s="455">
        <f>C83+C91+C95+C98+C99+C102</f>
        <v>1974044.9200000002</v>
      </c>
      <c r="D105" s="712">
        <f>D83+D91+D95+D98+D99+D102</f>
        <v>806203.1800000002</v>
      </c>
      <c r="E105" s="356"/>
      <c r="F105" s="357">
        <f aca="true" t="shared" si="2" ref="F105:G111">+C105-B105</f>
        <v>671303.29</v>
      </c>
      <c r="G105" s="358">
        <f t="shared" si="2"/>
        <v>-1167841.74</v>
      </c>
    </row>
    <row r="106" spans="1:7" s="355" customFormat="1" ht="19.5" customHeight="1">
      <c r="A106" s="711" t="s">
        <v>405</v>
      </c>
      <c r="B106" s="455">
        <f>B105+B82</f>
        <v>88604.69000000134</v>
      </c>
      <c r="C106" s="457">
        <f>C105+C82</f>
        <v>756267.4899999979</v>
      </c>
      <c r="D106" s="720">
        <f>D105+D82</f>
        <v>50079.89000000188</v>
      </c>
      <c r="E106" s="373"/>
      <c r="F106" s="357">
        <f t="shared" si="2"/>
        <v>667662.7999999966</v>
      </c>
      <c r="G106" s="358">
        <f t="shared" si="2"/>
        <v>-706187.599999996</v>
      </c>
    </row>
    <row r="107" spans="1:7" s="355" customFormat="1" ht="21.75" customHeight="1">
      <c r="A107" s="716" t="s">
        <v>183</v>
      </c>
      <c r="B107" s="454">
        <v>201780.58</v>
      </c>
      <c r="C107" s="454">
        <v>344125.09</v>
      </c>
      <c r="D107" s="721">
        <v>2267417.14</v>
      </c>
      <c r="E107" s="374"/>
      <c r="F107" s="357">
        <f t="shared" si="2"/>
        <v>142344.51000000004</v>
      </c>
      <c r="G107" s="358">
        <f t="shared" si="2"/>
        <v>1923292.05</v>
      </c>
    </row>
    <row r="108" spans="1:7" s="355" customFormat="1" ht="31.5" customHeight="1">
      <c r="A108" s="716" t="s">
        <v>868</v>
      </c>
      <c r="B108" s="455">
        <f>B106+B107</f>
        <v>290385.2700000013</v>
      </c>
      <c r="C108" s="455">
        <f>C106+C107</f>
        <v>1100392.579999998</v>
      </c>
      <c r="D108" s="712">
        <f>D106+D107</f>
        <v>2317497.030000002</v>
      </c>
      <c r="E108" s="356"/>
      <c r="F108" s="357">
        <f t="shared" si="2"/>
        <v>810007.3099999967</v>
      </c>
      <c r="G108" s="358">
        <f t="shared" si="2"/>
        <v>1217104.4500000041</v>
      </c>
    </row>
    <row r="109" spans="1:7" s="355" customFormat="1" ht="19.5" customHeight="1">
      <c r="A109" s="711" t="s">
        <v>406</v>
      </c>
      <c r="B109" s="452"/>
      <c r="C109" s="452"/>
      <c r="D109" s="717"/>
      <c r="E109" s="367"/>
      <c r="F109" s="357">
        <f t="shared" si="2"/>
        <v>0</v>
      </c>
      <c r="G109" s="358">
        <f t="shared" si="2"/>
        <v>0</v>
      </c>
    </row>
    <row r="110" spans="1:7" s="355" customFormat="1" ht="29.25" customHeight="1">
      <c r="A110" s="716" t="s">
        <v>184</v>
      </c>
      <c r="B110" s="452"/>
      <c r="C110" s="452"/>
      <c r="D110" s="717"/>
      <c r="E110" s="367"/>
      <c r="F110" s="357">
        <f t="shared" si="2"/>
        <v>0</v>
      </c>
      <c r="G110" s="358">
        <f t="shared" si="2"/>
        <v>0</v>
      </c>
    </row>
    <row r="111" spans="1:7" s="355" customFormat="1" ht="39.75" customHeight="1" thickBot="1">
      <c r="A111" s="755" t="s">
        <v>869</v>
      </c>
      <c r="B111" s="722">
        <f>B108+B110</f>
        <v>290385.2700000013</v>
      </c>
      <c r="C111" s="722">
        <f>C108+C110</f>
        <v>1100392.579999998</v>
      </c>
      <c r="D111" s="723">
        <f>D108+D109+D110</f>
        <v>2317497.030000002</v>
      </c>
      <c r="E111" s="371"/>
      <c r="F111" s="357">
        <f t="shared" si="2"/>
        <v>810007.3099999967</v>
      </c>
      <c r="G111" s="358">
        <f t="shared" si="2"/>
        <v>1217104.4500000041</v>
      </c>
    </row>
    <row r="112" spans="2:7" ht="19.5" customHeight="1">
      <c r="B112" s="375"/>
      <c r="C112" s="375"/>
      <c r="D112" s="375"/>
      <c r="E112" s="375"/>
      <c r="F112" s="376"/>
      <c r="G112" s="377"/>
    </row>
    <row r="113" spans="1:6" ht="19.5" customHeight="1" hidden="1">
      <c r="A113" s="378" t="s">
        <v>566</v>
      </c>
      <c r="B113" s="379"/>
      <c r="C113" s="379"/>
      <c r="D113" s="379"/>
      <c r="E113" s="379"/>
      <c r="F113" s="380"/>
    </row>
    <row r="114" spans="1:6" ht="19.5" customHeight="1" hidden="1">
      <c r="A114" s="345" t="s">
        <v>870</v>
      </c>
      <c r="B114" s="375"/>
      <c r="C114" s="375"/>
      <c r="D114" s="375"/>
      <c r="E114" s="375"/>
      <c r="F114" s="376"/>
    </row>
    <row r="115" spans="2:6" ht="19.5" customHeight="1" hidden="1">
      <c r="B115" s="375"/>
      <c r="C115" s="375"/>
      <c r="D115" s="375"/>
      <c r="E115" s="375"/>
      <c r="F115" s="376"/>
    </row>
    <row r="116" spans="2:6" ht="19.5" customHeight="1" hidden="1">
      <c r="B116" s="375"/>
      <c r="C116" s="375"/>
      <c r="D116" s="375"/>
      <c r="E116" s="375"/>
      <c r="F116" s="376"/>
    </row>
    <row r="117" spans="2:6" ht="19.5" customHeight="1" hidden="1">
      <c r="B117" s="375"/>
      <c r="C117" s="375"/>
      <c r="D117" s="375"/>
      <c r="E117" s="375"/>
      <c r="F117" s="376"/>
    </row>
    <row r="118" spans="2:6" ht="19.5" customHeight="1" hidden="1">
      <c r="B118" s="375"/>
      <c r="C118" s="375"/>
      <c r="D118" s="375"/>
      <c r="E118" s="375"/>
      <c r="F118" s="376"/>
    </row>
    <row r="119" spans="2:6" ht="19.5" customHeight="1" hidden="1">
      <c r="B119" s="381">
        <f>+PASIVO!B25</f>
        <v>290385.2700000013</v>
      </c>
      <c r="C119" s="381">
        <f>+PASIVO!C25</f>
        <v>1100392.579999998</v>
      </c>
      <c r="D119" s="381">
        <f>+PASIVO!D25</f>
        <v>2317497.030000002</v>
      </c>
      <c r="E119" s="381"/>
      <c r="F119" s="382"/>
    </row>
    <row r="120" spans="2:6" ht="19.5" customHeight="1" hidden="1">
      <c r="B120" s="383">
        <f>B111-B119</f>
        <v>0</v>
      </c>
      <c r="C120" s="383">
        <f>C111-C119</f>
        <v>0</v>
      </c>
      <c r="D120" s="383">
        <f>D111-D119</f>
        <v>0</v>
      </c>
      <c r="E120" s="383"/>
      <c r="F120" s="384"/>
    </row>
    <row r="121" spans="2:7" s="385" customFormat="1" ht="19.5" customHeight="1" hidden="1">
      <c r="B121" s="386"/>
      <c r="C121" s="386"/>
      <c r="D121" s="386"/>
      <c r="E121" s="386"/>
      <c r="F121" s="387"/>
      <c r="G121" s="388"/>
    </row>
    <row r="122" spans="1:6" ht="19.5" customHeight="1" hidden="1">
      <c r="A122" s="345" t="s">
        <v>7</v>
      </c>
      <c r="B122" s="383">
        <f>+PASIVO!B24</f>
        <v>0</v>
      </c>
      <c r="C122" s="383">
        <f>+PASIVO!C24-PASIVO!B24</f>
        <v>0</v>
      </c>
      <c r="D122" s="383">
        <f>+PASIVO!D24-PASIVO!C24</f>
        <v>0</v>
      </c>
      <c r="E122" s="383"/>
      <c r="F122" s="384"/>
    </row>
    <row r="123" spans="1:6" ht="19.5" customHeight="1" hidden="1">
      <c r="A123" s="345" t="s">
        <v>8</v>
      </c>
      <c r="B123" s="383">
        <f>+B111</f>
        <v>290385.2700000013</v>
      </c>
      <c r="C123" s="383">
        <f>+C111</f>
        <v>1100392.579999998</v>
      </c>
      <c r="D123" s="383">
        <f>+D111</f>
        <v>2317497.030000002</v>
      </c>
      <c r="E123" s="383"/>
      <c r="F123" s="384"/>
    </row>
    <row r="124" spans="1:6" ht="19.5" customHeight="1" hidden="1">
      <c r="A124" s="345" t="s">
        <v>9</v>
      </c>
      <c r="B124" s="381">
        <f>SUM(B122:B123)</f>
        <v>290385.2700000013</v>
      </c>
      <c r="C124" s="381">
        <f>SUM(C122:C123)</f>
        <v>1100392.579999998</v>
      </c>
      <c r="D124" s="381">
        <f>SUM(D122:D123)</f>
        <v>2317497.030000002</v>
      </c>
      <c r="E124" s="381"/>
      <c r="F124" s="382"/>
    </row>
    <row r="125" spans="1:6" ht="19.5" customHeight="1" hidden="1">
      <c r="A125" s="389" t="s">
        <v>39</v>
      </c>
      <c r="B125" s="383">
        <f>+PASIVO!B24+B111</f>
        <v>290385.2700000013</v>
      </c>
      <c r="C125" s="383">
        <f>+PASIVO!C24+C111-PASIVO!B24</f>
        <v>1100392.579999998</v>
      </c>
      <c r="D125" s="383">
        <f>+PASIVO!D24+D111-PASIVO!C24</f>
        <v>2317497.030000002</v>
      </c>
      <c r="E125" s="383"/>
      <c r="F125" s="384"/>
    </row>
    <row r="126" spans="1:6" ht="19.5" customHeight="1" hidden="1">
      <c r="A126" s="345" t="s">
        <v>40</v>
      </c>
      <c r="B126" s="375">
        <v>29502.85</v>
      </c>
      <c r="C126" s="375">
        <v>0</v>
      </c>
      <c r="D126" s="375">
        <v>0</v>
      </c>
      <c r="E126" s="375"/>
      <c r="F126" s="376"/>
    </row>
    <row r="127" spans="1:6" ht="19.5" customHeight="1" hidden="1">
      <c r="A127" s="345" t="s">
        <v>34</v>
      </c>
      <c r="B127" s="390">
        <f>+B125-B126</f>
        <v>260882.4200000013</v>
      </c>
      <c r="C127" s="383">
        <f>+C125-C126</f>
        <v>1100392.579999998</v>
      </c>
      <c r="D127" s="390">
        <f>+D125-D126</f>
        <v>2317497.030000002</v>
      </c>
      <c r="E127" s="390"/>
      <c r="F127" s="391"/>
    </row>
    <row r="128" spans="2:6" ht="19.5" customHeight="1" hidden="1">
      <c r="B128" s="375"/>
      <c r="C128" s="375"/>
      <c r="D128" s="375"/>
      <c r="E128" s="375"/>
      <c r="F128" s="376"/>
    </row>
    <row r="129" spans="2:6" ht="19.5" customHeight="1" hidden="1">
      <c r="B129" s="375"/>
      <c r="C129" s="375"/>
      <c r="D129" s="375"/>
      <c r="E129" s="375"/>
      <c r="F129" s="376"/>
    </row>
    <row r="130" spans="2:6" ht="19.5" customHeight="1" hidden="1">
      <c r="B130" s="375"/>
      <c r="C130" s="375"/>
      <c r="D130" s="375"/>
      <c r="E130" s="375"/>
      <c r="F130" s="376"/>
    </row>
    <row r="131" spans="2:6" ht="19.5" customHeight="1" hidden="1">
      <c r="B131" s="375"/>
      <c r="C131" s="375"/>
      <c r="D131" s="375"/>
      <c r="E131" s="375"/>
      <c r="F131" s="376"/>
    </row>
    <row r="132" spans="2:6" ht="19.5" customHeight="1" hidden="1">
      <c r="B132" s="375"/>
      <c r="C132" s="375"/>
      <c r="D132" s="375"/>
      <c r="E132" s="375"/>
      <c r="F132" s="376"/>
    </row>
    <row r="133" spans="2:6" ht="19.5" customHeight="1" hidden="1">
      <c r="B133" s="375"/>
      <c r="C133" s="375"/>
      <c r="D133" s="375"/>
      <c r="E133" s="375"/>
      <c r="F133" s="376"/>
    </row>
    <row r="134" spans="2:6" ht="19.5" customHeight="1">
      <c r="B134" s="375"/>
      <c r="C134" s="375"/>
      <c r="D134" s="375"/>
      <c r="E134" s="375"/>
      <c r="F134" s="376"/>
    </row>
    <row r="135" spans="2:6" ht="19.5" customHeight="1">
      <c r="B135" s="375"/>
      <c r="C135" s="375"/>
      <c r="D135" s="375"/>
      <c r="E135" s="375"/>
      <c r="F135" s="376"/>
    </row>
    <row r="136" spans="2:6" ht="19.5" customHeight="1">
      <c r="B136" s="375"/>
      <c r="C136" s="375"/>
      <c r="D136" s="375"/>
      <c r="E136" s="375"/>
      <c r="F136" s="376"/>
    </row>
    <row r="137" spans="2:6" ht="19.5" customHeight="1">
      <c r="B137" s="375"/>
      <c r="C137" s="375"/>
      <c r="D137" s="375"/>
      <c r="E137" s="375"/>
      <c r="F137" s="376"/>
    </row>
    <row r="138" spans="2:6" ht="19.5" customHeight="1">
      <c r="B138" s="375"/>
      <c r="C138" s="375"/>
      <c r="D138" s="375"/>
      <c r="E138" s="375"/>
      <c r="F138" s="376"/>
    </row>
    <row r="139" spans="2:6" ht="19.5" customHeight="1">
      <c r="B139" s="375"/>
      <c r="C139" s="375"/>
      <c r="D139" s="375"/>
      <c r="E139" s="375"/>
      <c r="F139" s="376"/>
    </row>
    <row r="140" spans="2:6" ht="19.5" customHeight="1">
      <c r="B140" s="375"/>
      <c r="C140" s="375"/>
      <c r="D140" s="375"/>
      <c r="E140" s="375"/>
      <c r="F140" s="376"/>
    </row>
    <row r="141" spans="2:6" ht="19.5" customHeight="1">
      <c r="B141" s="375"/>
      <c r="C141" s="375"/>
      <c r="D141" s="375"/>
      <c r="E141" s="375"/>
      <c r="F141" s="376"/>
    </row>
    <row r="142" spans="2:6" ht="19.5" customHeight="1">
      <c r="B142" s="375"/>
      <c r="C142" s="375"/>
      <c r="D142" s="375"/>
      <c r="E142" s="375"/>
      <c r="F142" s="376"/>
    </row>
    <row r="143" spans="2:6" ht="19.5" customHeight="1">
      <c r="B143" s="375"/>
      <c r="C143" s="375"/>
      <c r="D143" s="375"/>
      <c r="E143" s="375"/>
      <c r="F143" s="376"/>
    </row>
    <row r="144" spans="2:6" ht="19.5" customHeight="1">
      <c r="B144" s="375"/>
      <c r="C144" s="375"/>
      <c r="D144" s="375"/>
      <c r="E144" s="375"/>
      <c r="F144" s="376"/>
    </row>
    <row r="145" spans="2:6" ht="19.5" customHeight="1">
      <c r="B145" s="375"/>
      <c r="C145" s="375"/>
      <c r="D145" s="375"/>
      <c r="E145" s="375"/>
      <c r="F145" s="376"/>
    </row>
    <row r="146" spans="2:6" ht="19.5" customHeight="1">
      <c r="B146" s="375"/>
      <c r="C146" s="375"/>
      <c r="D146" s="375"/>
      <c r="E146" s="375"/>
      <c r="F146" s="376"/>
    </row>
    <row r="147" spans="2:6" ht="19.5" customHeight="1">
      <c r="B147" s="375"/>
      <c r="C147" s="375"/>
      <c r="D147" s="375"/>
      <c r="E147" s="375"/>
      <c r="F147" s="376"/>
    </row>
    <row r="148" spans="2:6" ht="19.5" customHeight="1">
      <c r="B148" s="375"/>
      <c r="C148" s="375"/>
      <c r="D148" s="375"/>
      <c r="E148" s="375"/>
      <c r="F148" s="376"/>
    </row>
    <row r="149" spans="2:6" ht="19.5" customHeight="1">
      <c r="B149" s="375"/>
      <c r="C149" s="375"/>
      <c r="D149" s="375"/>
      <c r="E149" s="375"/>
      <c r="F149" s="376"/>
    </row>
    <row r="150" spans="2:6" ht="19.5" customHeight="1">
      <c r="B150" s="375"/>
      <c r="C150" s="375"/>
      <c r="D150" s="375"/>
      <c r="E150" s="375"/>
      <c r="F150" s="376"/>
    </row>
    <row r="151" spans="2:6" ht="19.5" customHeight="1">
      <c r="B151" s="375"/>
      <c r="C151" s="375"/>
      <c r="D151" s="375"/>
      <c r="E151" s="375"/>
      <c r="F151" s="376"/>
    </row>
    <row r="152" spans="2:6" ht="19.5" customHeight="1">
      <c r="B152" s="375"/>
      <c r="C152" s="375"/>
      <c r="D152" s="375"/>
      <c r="E152" s="375"/>
      <c r="F152" s="376"/>
    </row>
    <row r="153" spans="2:6" ht="19.5" customHeight="1">
      <c r="B153" s="375"/>
      <c r="C153" s="375"/>
      <c r="D153" s="375"/>
      <c r="E153" s="375"/>
      <c r="F153" s="376"/>
    </row>
    <row r="154" spans="2:6" ht="19.5" customHeight="1">
      <c r="B154" s="375"/>
      <c r="C154" s="375"/>
      <c r="D154" s="375"/>
      <c r="E154" s="375"/>
      <c r="F154" s="376"/>
    </row>
    <row r="155" spans="2:6" ht="19.5" customHeight="1">
      <c r="B155" s="375"/>
      <c r="C155" s="375"/>
      <c r="D155" s="375"/>
      <c r="E155" s="375"/>
      <c r="F155" s="376"/>
    </row>
    <row r="156" spans="2:6" ht="19.5" customHeight="1">
      <c r="B156" s="375"/>
      <c r="C156" s="375"/>
      <c r="D156" s="375"/>
      <c r="E156" s="375"/>
      <c r="F156" s="376"/>
    </row>
    <row r="157" spans="2:6" ht="19.5" customHeight="1">
      <c r="B157" s="375"/>
      <c r="C157" s="375"/>
      <c r="D157" s="375"/>
      <c r="E157" s="375"/>
      <c r="F157" s="376"/>
    </row>
    <row r="158" spans="2:6" ht="19.5" customHeight="1">
      <c r="B158" s="375"/>
      <c r="C158" s="375"/>
      <c r="D158" s="375"/>
      <c r="E158" s="375"/>
      <c r="F158" s="376"/>
    </row>
    <row r="159" spans="2:6" ht="19.5" customHeight="1">
      <c r="B159" s="375"/>
      <c r="C159" s="375"/>
      <c r="D159" s="375"/>
      <c r="E159" s="375"/>
      <c r="F159" s="376"/>
    </row>
    <row r="160" spans="2:6" ht="19.5" customHeight="1">
      <c r="B160" s="375"/>
      <c r="C160" s="375"/>
      <c r="D160" s="375"/>
      <c r="E160" s="375"/>
      <c r="F160" s="376"/>
    </row>
    <row r="161" spans="2:6" ht="19.5" customHeight="1">
      <c r="B161" s="375"/>
      <c r="C161" s="375"/>
      <c r="D161" s="375"/>
      <c r="E161" s="375"/>
      <c r="F161" s="376"/>
    </row>
    <row r="162" spans="2:6" ht="19.5" customHeight="1">
      <c r="B162" s="375"/>
      <c r="C162" s="375"/>
      <c r="D162" s="375"/>
      <c r="E162" s="375"/>
      <c r="F162" s="376"/>
    </row>
    <row r="163" spans="2:6" ht="19.5" customHeight="1">
      <c r="B163" s="375"/>
      <c r="C163" s="375"/>
      <c r="D163" s="375"/>
      <c r="E163" s="375"/>
      <c r="F163" s="376"/>
    </row>
    <row r="164" spans="2:6" ht="19.5" customHeight="1">
      <c r="B164" s="375"/>
      <c r="C164" s="375"/>
      <c r="D164" s="375"/>
      <c r="E164" s="375"/>
      <c r="F164" s="376"/>
    </row>
    <row r="165" spans="2:6" ht="19.5" customHeight="1">
      <c r="B165" s="375"/>
      <c r="C165" s="375"/>
      <c r="D165" s="375"/>
      <c r="E165" s="375"/>
      <c r="F165" s="376"/>
    </row>
    <row r="166" spans="2:6" ht="19.5" customHeight="1">
      <c r="B166" s="375"/>
      <c r="C166" s="375"/>
      <c r="D166" s="375"/>
      <c r="E166" s="375"/>
      <c r="F166" s="376"/>
    </row>
    <row r="167" spans="2:6" ht="19.5" customHeight="1">
      <c r="B167" s="375"/>
      <c r="C167" s="375"/>
      <c r="D167" s="375"/>
      <c r="E167" s="375"/>
      <c r="F167" s="376"/>
    </row>
    <row r="168" spans="2:6" ht="19.5" customHeight="1">
      <c r="B168" s="375"/>
      <c r="C168" s="375"/>
      <c r="D168" s="375"/>
      <c r="E168" s="375"/>
      <c r="F168" s="376"/>
    </row>
    <row r="169" spans="2:6" ht="19.5" customHeight="1">
      <c r="B169" s="375"/>
      <c r="C169" s="375"/>
      <c r="D169" s="375"/>
      <c r="E169" s="375"/>
      <c r="F169" s="376"/>
    </row>
    <row r="170" spans="2:6" ht="19.5" customHeight="1">
      <c r="B170" s="375"/>
      <c r="C170" s="375"/>
      <c r="D170" s="375"/>
      <c r="E170" s="375"/>
      <c r="F170" s="376"/>
    </row>
    <row r="171" spans="2:6" ht="19.5" customHeight="1">
      <c r="B171" s="375"/>
      <c r="C171" s="375"/>
      <c r="D171" s="375"/>
      <c r="E171" s="375"/>
      <c r="F171" s="376"/>
    </row>
    <row r="172" spans="2:6" ht="19.5" customHeight="1">
      <c r="B172" s="375"/>
      <c r="C172" s="375"/>
      <c r="D172" s="375"/>
      <c r="E172" s="375"/>
      <c r="F172" s="376"/>
    </row>
    <row r="173" spans="2:6" ht="19.5" customHeight="1">
      <c r="B173" s="375"/>
      <c r="C173" s="375"/>
      <c r="D173" s="375"/>
      <c r="E173" s="375"/>
      <c r="F173" s="376"/>
    </row>
    <row r="174" spans="2:6" ht="19.5" customHeight="1">
      <c r="B174" s="375"/>
      <c r="C174" s="375"/>
      <c r="D174" s="375"/>
      <c r="E174" s="375"/>
      <c r="F174" s="376"/>
    </row>
    <row r="175" spans="2:6" ht="19.5" customHeight="1">
      <c r="B175" s="375"/>
      <c r="C175" s="375"/>
      <c r="D175" s="375"/>
      <c r="E175" s="375"/>
      <c r="F175" s="376"/>
    </row>
    <row r="176" spans="2:6" ht="19.5" customHeight="1">
      <c r="B176" s="375"/>
      <c r="C176" s="375"/>
      <c r="D176" s="375"/>
      <c r="E176" s="375"/>
      <c r="F176" s="376"/>
    </row>
    <row r="177" spans="2:6" ht="19.5" customHeight="1">
      <c r="B177" s="375"/>
      <c r="C177" s="375"/>
      <c r="D177" s="375"/>
      <c r="E177" s="375"/>
      <c r="F177" s="376"/>
    </row>
    <row r="178" spans="2:6" ht="19.5" customHeight="1">
      <c r="B178" s="375"/>
      <c r="C178" s="375"/>
      <c r="D178" s="375"/>
      <c r="E178" s="375"/>
      <c r="F178" s="376"/>
    </row>
    <row r="179" spans="2:6" ht="19.5" customHeight="1">
      <c r="B179" s="375"/>
      <c r="C179" s="375"/>
      <c r="D179" s="375"/>
      <c r="E179" s="375"/>
      <c r="F179" s="376"/>
    </row>
    <row r="180" spans="2:6" ht="19.5" customHeight="1">
      <c r="B180" s="375"/>
      <c r="C180" s="375"/>
      <c r="D180" s="375"/>
      <c r="E180" s="375"/>
      <c r="F180" s="376"/>
    </row>
    <row r="181" spans="2:6" ht="19.5" customHeight="1">
      <c r="B181" s="375"/>
      <c r="C181" s="375"/>
      <c r="D181" s="375"/>
      <c r="E181" s="375"/>
      <c r="F181" s="376"/>
    </row>
    <row r="182" spans="2:6" ht="19.5" customHeight="1">
      <c r="B182" s="375"/>
      <c r="C182" s="375"/>
      <c r="D182" s="375"/>
      <c r="E182" s="375"/>
      <c r="F182" s="376"/>
    </row>
    <row r="183" spans="2:6" ht="19.5" customHeight="1">
      <c r="B183" s="375"/>
      <c r="C183" s="375"/>
      <c r="D183" s="375"/>
      <c r="E183" s="375"/>
      <c r="F183" s="376"/>
    </row>
    <row r="184" spans="2:6" ht="19.5" customHeight="1">
      <c r="B184" s="375"/>
      <c r="C184" s="375"/>
      <c r="D184" s="375"/>
      <c r="E184" s="375"/>
      <c r="F184" s="376"/>
    </row>
    <row r="185" spans="2:6" ht="19.5" customHeight="1">
      <c r="B185" s="375"/>
      <c r="C185" s="375"/>
      <c r="D185" s="375"/>
      <c r="E185" s="375"/>
      <c r="F185" s="376"/>
    </row>
    <row r="186" spans="2:6" ht="19.5" customHeight="1">
      <c r="B186" s="375"/>
      <c r="C186" s="375"/>
      <c r="D186" s="375"/>
      <c r="E186" s="375"/>
      <c r="F186" s="376"/>
    </row>
    <row r="187" spans="2:6" ht="19.5" customHeight="1">
      <c r="B187" s="375"/>
      <c r="C187" s="375"/>
      <c r="D187" s="375"/>
      <c r="E187" s="375"/>
      <c r="F187" s="376"/>
    </row>
    <row r="188" spans="2:6" ht="19.5" customHeight="1">
      <c r="B188" s="375"/>
      <c r="C188" s="375"/>
      <c r="D188" s="375"/>
      <c r="E188" s="375"/>
      <c r="F188" s="376"/>
    </row>
    <row r="189" spans="2:6" ht="19.5" customHeight="1">
      <c r="B189" s="375"/>
      <c r="C189" s="375"/>
      <c r="D189" s="375"/>
      <c r="E189" s="375"/>
      <c r="F189" s="376"/>
    </row>
    <row r="190" spans="2:6" ht="19.5" customHeight="1">
      <c r="B190" s="375"/>
      <c r="C190" s="375"/>
      <c r="D190" s="375"/>
      <c r="E190" s="375"/>
      <c r="F190" s="376"/>
    </row>
    <row r="191" spans="2:6" ht="19.5" customHeight="1">
      <c r="B191" s="375"/>
      <c r="C191" s="375"/>
      <c r="D191" s="375"/>
      <c r="E191" s="375"/>
      <c r="F191" s="376"/>
    </row>
    <row r="192" spans="2:6" ht="19.5" customHeight="1">
      <c r="B192" s="375"/>
      <c r="C192" s="375"/>
      <c r="D192" s="375"/>
      <c r="E192" s="375"/>
      <c r="F192" s="376"/>
    </row>
    <row r="193" spans="2:6" ht="19.5" customHeight="1">
      <c r="B193" s="375"/>
      <c r="C193" s="375"/>
      <c r="D193" s="375"/>
      <c r="E193" s="375"/>
      <c r="F193" s="376"/>
    </row>
    <row r="194" spans="2:6" ht="19.5" customHeight="1">
      <c r="B194" s="375"/>
      <c r="C194" s="375"/>
      <c r="D194" s="375"/>
      <c r="E194" s="375"/>
      <c r="F194" s="376"/>
    </row>
    <row r="195" spans="2:6" ht="19.5" customHeight="1">
      <c r="B195" s="375"/>
      <c r="C195" s="375"/>
      <c r="D195" s="375"/>
      <c r="E195" s="375"/>
      <c r="F195" s="376"/>
    </row>
    <row r="196" spans="2:6" ht="19.5" customHeight="1">
      <c r="B196" s="375"/>
      <c r="C196" s="375"/>
      <c r="D196" s="375"/>
      <c r="E196" s="375"/>
      <c r="F196" s="376"/>
    </row>
    <row r="197" spans="2:6" ht="19.5" customHeight="1">
      <c r="B197" s="375"/>
      <c r="C197" s="375"/>
      <c r="D197" s="375"/>
      <c r="E197" s="375"/>
      <c r="F197" s="376"/>
    </row>
    <row r="198" spans="2:6" ht="19.5" customHeight="1">
      <c r="B198" s="375"/>
      <c r="C198" s="375"/>
      <c r="D198" s="375"/>
      <c r="E198" s="375"/>
      <c r="F198" s="376"/>
    </row>
    <row r="199" spans="2:6" ht="19.5" customHeight="1">
      <c r="B199" s="375"/>
      <c r="C199" s="375"/>
      <c r="D199" s="375"/>
      <c r="E199" s="375"/>
      <c r="F199" s="376"/>
    </row>
    <row r="200" spans="2:6" ht="19.5" customHeight="1">
      <c r="B200" s="375"/>
      <c r="C200" s="375"/>
      <c r="D200" s="375"/>
      <c r="E200" s="375"/>
      <c r="F200" s="376"/>
    </row>
    <row r="201" spans="2:6" ht="19.5" customHeight="1">
      <c r="B201" s="375"/>
      <c r="C201" s="375"/>
      <c r="D201" s="375"/>
      <c r="E201" s="375"/>
      <c r="F201" s="376"/>
    </row>
    <row r="202" spans="2:6" ht="19.5" customHeight="1">
      <c r="B202" s="375"/>
      <c r="C202" s="375"/>
      <c r="D202" s="375"/>
      <c r="E202" s="375"/>
      <c r="F202" s="376"/>
    </row>
    <row r="203" spans="2:6" ht="19.5" customHeight="1">
      <c r="B203" s="375"/>
      <c r="C203" s="375"/>
      <c r="D203" s="375"/>
      <c r="E203" s="375"/>
      <c r="F203" s="376"/>
    </row>
    <row r="204" spans="2:6" ht="19.5" customHeight="1">
      <c r="B204" s="375"/>
      <c r="C204" s="375"/>
      <c r="D204" s="375"/>
      <c r="E204" s="375"/>
      <c r="F204" s="376"/>
    </row>
    <row r="205" spans="2:6" ht="19.5" customHeight="1">
      <c r="B205" s="375"/>
      <c r="C205" s="375"/>
      <c r="D205" s="375"/>
      <c r="E205" s="375"/>
      <c r="F205" s="376"/>
    </row>
    <row r="206" spans="2:6" ht="19.5" customHeight="1">
      <c r="B206" s="375"/>
      <c r="C206" s="375"/>
      <c r="D206" s="375"/>
      <c r="E206" s="375"/>
      <c r="F206" s="376"/>
    </row>
    <row r="207" spans="2:6" ht="19.5" customHeight="1">
      <c r="B207" s="375"/>
      <c r="C207" s="375"/>
      <c r="D207" s="375"/>
      <c r="E207" s="375"/>
      <c r="F207" s="376"/>
    </row>
    <row r="208" spans="2:6" ht="19.5" customHeight="1">
      <c r="B208" s="375"/>
      <c r="C208" s="375"/>
      <c r="D208" s="375"/>
      <c r="E208" s="375"/>
      <c r="F208" s="376"/>
    </row>
    <row r="209" spans="2:6" ht="19.5" customHeight="1">
      <c r="B209" s="375"/>
      <c r="C209" s="375"/>
      <c r="D209" s="375"/>
      <c r="E209" s="375"/>
      <c r="F209" s="376"/>
    </row>
    <row r="210" spans="2:6" ht="19.5" customHeight="1">
      <c r="B210" s="375"/>
      <c r="C210" s="375"/>
      <c r="D210" s="375"/>
      <c r="E210" s="375"/>
      <c r="F210" s="376"/>
    </row>
    <row r="211" spans="2:6" ht="19.5" customHeight="1">
      <c r="B211" s="375"/>
      <c r="C211" s="375"/>
      <c r="D211" s="375"/>
      <c r="E211" s="375"/>
      <c r="F211" s="376"/>
    </row>
    <row r="212" spans="2:6" ht="19.5" customHeight="1">
      <c r="B212" s="375"/>
      <c r="C212" s="375"/>
      <c r="D212" s="375"/>
      <c r="E212" s="375"/>
      <c r="F212" s="376"/>
    </row>
    <row r="213" spans="2:6" ht="19.5" customHeight="1">
      <c r="B213" s="375"/>
      <c r="C213" s="375"/>
      <c r="D213" s="375"/>
      <c r="E213" s="375"/>
      <c r="F213" s="376"/>
    </row>
    <row r="214" spans="2:6" ht="19.5" customHeight="1">
      <c r="B214" s="375"/>
      <c r="C214" s="375"/>
      <c r="D214" s="375"/>
      <c r="E214" s="375"/>
      <c r="F214" s="376"/>
    </row>
    <row r="215" spans="2:6" ht="19.5" customHeight="1">
      <c r="B215" s="375"/>
      <c r="C215" s="375"/>
      <c r="D215" s="375"/>
      <c r="E215" s="375"/>
      <c r="F215" s="376"/>
    </row>
    <row r="216" spans="2:6" ht="19.5" customHeight="1">
      <c r="B216" s="375"/>
      <c r="C216" s="375"/>
      <c r="D216" s="375"/>
      <c r="E216" s="375"/>
      <c r="F216" s="376"/>
    </row>
    <row r="217" spans="2:6" ht="19.5" customHeight="1">
      <c r="B217" s="375"/>
      <c r="C217" s="375"/>
      <c r="D217" s="375"/>
      <c r="E217" s="375"/>
      <c r="F217" s="376"/>
    </row>
    <row r="218" spans="2:6" ht="19.5" customHeight="1">
      <c r="B218" s="375"/>
      <c r="C218" s="375"/>
      <c r="D218" s="375"/>
      <c r="E218" s="375"/>
      <c r="F218" s="376"/>
    </row>
    <row r="219" spans="2:6" ht="19.5" customHeight="1">
      <c r="B219" s="375"/>
      <c r="C219" s="375"/>
      <c r="D219" s="375"/>
      <c r="E219" s="375"/>
      <c r="F219" s="376"/>
    </row>
    <row r="220" spans="2:6" ht="19.5" customHeight="1">
      <c r="B220" s="375"/>
      <c r="C220" s="375"/>
      <c r="D220" s="375"/>
      <c r="E220" s="375"/>
      <c r="F220" s="376"/>
    </row>
    <row r="221" spans="2:6" ht="19.5" customHeight="1">
      <c r="B221" s="375"/>
      <c r="C221" s="375"/>
      <c r="D221" s="375"/>
      <c r="E221" s="375"/>
      <c r="F221" s="376"/>
    </row>
    <row r="222" spans="2:6" ht="19.5" customHeight="1">
      <c r="B222" s="375"/>
      <c r="C222" s="375"/>
      <c r="D222" s="375"/>
      <c r="E222" s="375"/>
      <c r="F222" s="376"/>
    </row>
    <row r="223" spans="2:6" ht="19.5" customHeight="1">
      <c r="B223" s="375"/>
      <c r="C223" s="375"/>
      <c r="D223" s="375"/>
      <c r="E223" s="375"/>
      <c r="F223" s="376"/>
    </row>
    <row r="224" spans="2:6" ht="19.5" customHeight="1">
      <c r="B224" s="375"/>
      <c r="C224" s="375"/>
      <c r="D224" s="375"/>
      <c r="E224" s="375"/>
      <c r="F224" s="376"/>
    </row>
    <row r="225" spans="2:6" ht="19.5" customHeight="1">
      <c r="B225" s="375"/>
      <c r="C225" s="375"/>
      <c r="D225" s="375"/>
      <c r="E225" s="375"/>
      <c r="F225" s="376"/>
    </row>
    <row r="226" spans="2:6" ht="19.5" customHeight="1">
      <c r="B226" s="375"/>
      <c r="C226" s="375"/>
      <c r="D226" s="375"/>
      <c r="E226" s="375"/>
      <c r="F226" s="376"/>
    </row>
    <row r="227" spans="2:6" ht="19.5" customHeight="1">
      <c r="B227" s="375"/>
      <c r="C227" s="375"/>
      <c r="D227" s="375"/>
      <c r="E227" s="375"/>
      <c r="F227" s="376"/>
    </row>
    <row r="228" spans="2:6" ht="19.5" customHeight="1">
      <c r="B228" s="375"/>
      <c r="C228" s="375"/>
      <c r="D228" s="375"/>
      <c r="E228" s="375"/>
      <c r="F228" s="376"/>
    </row>
    <row r="229" spans="2:6" ht="19.5" customHeight="1">
      <c r="B229" s="375"/>
      <c r="C229" s="375"/>
      <c r="D229" s="375"/>
      <c r="E229" s="375"/>
      <c r="F229" s="376"/>
    </row>
    <row r="230" spans="2:6" ht="19.5" customHeight="1">
      <c r="B230" s="375"/>
      <c r="C230" s="375"/>
      <c r="D230" s="375"/>
      <c r="E230" s="375"/>
      <c r="F230" s="376"/>
    </row>
    <row r="231" spans="2:6" ht="19.5" customHeight="1">
      <c r="B231" s="375"/>
      <c r="C231" s="375"/>
      <c r="D231" s="375"/>
      <c r="E231" s="375"/>
      <c r="F231" s="376"/>
    </row>
    <row r="232" spans="2:6" ht="19.5" customHeight="1">
      <c r="B232" s="375"/>
      <c r="C232" s="375"/>
      <c r="D232" s="375"/>
      <c r="E232" s="375"/>
      <c r="F232" s="376"/>
    </row>
    <row r="233" spans="2:6" ht="19.5" customHeight="1">
      <c r="B233" s="375"/>
      <c r="C233" s="375"/>
      <c r="D233" s="375"/>
      <c r="E233" s="375"/>
      <c r="F233" s="376"/>
    </row>
    <row r="234" spans="2:6" ht="19.5" customHeight="1">
      <c r="B234" s="375"/>
      <c r="C234" s="375"/>
      <c r="D234" s="375"/>
      <c r="E234" s="375"/>
      <c r="F234" s="376"/>
    </row>
    <row r="235" spans="2:6" ht="19.5" customHeight="1">
      <c r="B235" s="375"/>
      <c r="C235" s="375"/>
      <c r="D235" s="375"/>
      <c r="E235" s="375"/>
      <c r="F235" s="376"/>
    </row>
    <row r="236" spans="2:6" ht="19.5" customHeight="1">
      <c r="B236" s="375"/>
      <c r="C236" s="375"/>
      <c r="D236" s="375"/>
      <c r="E236" s="375"/>
      <c r="F236" s="376"/>
    </row>
    <row r="237" spans="2:6" ht="19.5" customHeight="1">
      <c r="B237" s="375"/>
      <c r="C237" s="375"/>
      <c r="D237" s="375"/>
      <c r="E237" s="375"/>
      <c r="F237" s="376"/>
    </row>
    <row r="238" spans="2:6" ht="19.5" customHeight="1">
      <c r="B238" s="375"/>
      <c r="C238" s="375"/>
      <c r="D238" s="375"/>
      <c r="E238" s="375"/>
      <c r="F238" s="376"/>
    </row>
    <row r="239" spans="2:6" ht="19.5" customHeight="1">
      <c r="B239" s="375"/>
      <c r="C239" s="375"/>
      <c r="D239" s="375"/>
      <c r="E239" s="375"/>
      <c r="F239" s="376"/>
    </row>
    <row r="240" spans="2:6" ht="19.5" customHeight="1">
      <c r="B240" s="375"/>
      <c r="C240" s="375"/>
      <c r="D240" s="375"/>
      <c r="E240" s="375"/>
      <c r="F240" s="376"/>
    </row>
    <row r="241" spans="2:6" ht="19.5" customHeight="1">
      <c r="B241" s="375"/>
      <c r="C241" s="375"/>
      <c r="D241" s="375"/>
      <c r="E241" s="375"/>
      <c r="F241" s="376"/>
    </row>
    <row r="242" spans="2:6" ht="19.5" customHeight="1">
      <c r="B242" s="375"/>
      <c r="C242" s="375"/>
      <c r="D242" s="375"/>
      <c r="E242" s="375"/>
      <c r="F242" s="376"/>
    </row>
    <row r="243" spans="2:6" ht="19.5" customHeight="1">
      <c r="B243" s="375"/>
      <c r="C243" s="375"/>
      <c r="D243" s="375"/>
      <c r="E243" s="375"/>
      <c r="F243" s="376"/>
    </row>
    <row r="244" spans="2:6" ht="19.5" customHeight="1">
      <c r="B244" s="375"/>
      <c r="C244" s="375"/>
      <c r="D244" s="375"/>
      <c r="E244" s="375"/>
      <c r="F244" s="376"/>
    </row>
    <row r="245" spans="2:6" ht="19.5" customHeight="1">
      <c r="B245" s="375"/>
      <c r="C245" s="375"/>
      <c r="D245" s="375"/>
      <c r="E245" s="375"/>
      <c r="F245" s="376"/>
    </row>
    <row r="246" spans="2:6" ht="19.5" customHeight="1">
      <c r="B246" s="375"/>
      <c r="C246" s="375"/>
      <c r="D246" s="375"/>
      <c r="E246" s="375"/>
      <c r="F246" s="376"/>
    </row>
    <row r="247" spans="2:6" ht="19.5" customHeight="1">
      <c r="B247" s="375"/>
      <c r="C247" s="375"/>
      <c r="D247" s="375"/>
      <c r="E247" s="375"/>
      <c r="F247" s="376"/>
    </row>
    <row r="248" spans="2:6" ht="19.5" customHeight="1">
      <c r="B248" s="375"/>
      <c r="C248" s="375"/>
      <c r="D248" s="375"/>
      <c r="E248" s="375"/>
      <c r="F248" s="376"/>
    </row>
    <row r="249" spans="2:6" ht="19.5" customHeight="1">
      <c r="B249" s="375"/>
      <c r="C249" s="375"/>
      <c r="D249" s="375"/>
      <c r="E249" s="375"/>
      <c r="F249" s="376"/>
    </row>
    <row r="250" spans="2:6" ht="19.5" customHeight="1">
      <c r="B250" s="375"/>
      <c r="C250" s="375"/>
      <c r="D250" s="375"/>
      <c r="E250" s="375"/>
      <c r="F250" s="376"/>
    </row>
    <row r="251" spans="2:6" ht="19.5" customHeight="1">
      <c r="B251" s="375"/>
      <c r="C251" s="375"/>
      <c r="D251" s="375"/>
      <c r="E251" s="375"/>
      <c r="F251" s="376"/>
    </row>
    <row r="252" spans="2:6" ht="19.5" customHeight="1">
      <c r="B252" s="375"/>
      <c r="C252" s="375"/>
      <c r="D252" s="375"/>
      <c r="E252" s="375"/>
      <c r="F252" s="376"/>
    </row>
    <row r="253" spans="2:6" ht="19.5" customHeight="1">
      <c r="B253" s="375"/>
      <c r="C253" s="375"/>
      <c r="D253" s="375"/>
      <c r="E253" s="375"/>
      <c r="F253" s="376"/>
    </row>
    <row r="254" spans="2:6" ht="19.5" customHeight="1">
      <c r="B254" s="375"/>
      <c r="C254" s="375"/>
      <c r="D254" s="375"/>
      <c r="E254" s="375"/>
      <c r="F254" s="376"/>
    </row>
    <row r="255" spans="2:6" ht="19.5" customHeight="1">
      <c r="B255" s="375"/>
      <c r="C255" s="375"/>
      <c r="D255" s="375"/>
      <c r="E255" s="375"/>
      <c r="F255" s="376"/>
    </row>
    <row r="256" spans="2:6" ht="19.5" customHeight="1">
      <c r="B256" s="375"/>
      <c r="C256" s="375"/>
      <c r="D256" s="375"/>
      <c r="E256" s="375"/>
      <c r="F256" s="376"/>
    </row>
    <row r="257" spans="2:6" ht="19.5" customHeight="1">
      <c r="B257" s="375"/>
      <c r="C257" s="375"/>
      <c r="D257" s="375"/>
      <c r="E257" s="375"/>
      <c r="F257" s="376"/>
    </row>
    <row r="258" spans="2:6" ht="19.5" customHeight="1">
      <c r="B258" s="375"/>
      <c r="C258" s="375"/>
      <c r="D258" s="375"/>
      <c r="E258" s="375"/>
      <c r="F258" s="376"/>
    </row>
    <row r="259" spans="2:6" ht="19.5" customHeight="1">
      <c r="B259" s="375"/>
      <c r="C259" s="375"/>
      <c r="D259" s="375"/>
      <c r="E259" s="375"/>
      <c r="F259" s="376"/>
    </row>
    <row r="260" spans="2:6" ht="19.5" customHeight="1">
      <c r="B260" s="375"/>
      <c r="C260" s="375"/>
      <c r="D260" s="375"/>
      <c r="E260" s="375"/>
      <c r="F260" s="376"/>
    </row>
    <row r="261" spans="2:6" ht="19.5" customHeight="1">
      <c r="B261" s="375"/>
      <c r="C261" s="375"/>
      <c r="D261" s="375"/>
      <c r="E261" s="375"/>
      <c r="F261" s="376"/>
    </row>
    <row r="262" spans="2:6" ht="19.5" customHeight="1">
      <c r="B262" s="375"/>
      <c r="C262" s="375"/>
      <c r="D262" s="375"/>
      <c r="E262" s="375"/>
      <c r="F262" s="376"/>
    </row>
    <row r="263" spans="2:6" ht="19.5" customHeight="1">
      <c r="B263" s="375"/>
      <c r="C263" s="375"/>
      <c r="D263" s="375"/>
      <c r="E263" s="375"/>
      <c r="F263" s="376"/>
    </row>
    <row r="264" spans="2:6" ht="19.5" customHeight="1">
      <c r="B264" s="375"/>
      <c r="C264" s="375"/>
      <c r="D264" s="375"/>
      <c r="E264" s="375"/>
      <c r="F264" s="376"/>
    </row>
    <row r="265" spans="2:6" ht="19.5" customHeight="1">
      <c r="B265" s="375"/>
      <c r="C265" s="375"/>
      <c r="D265" s="375"/>
      <c r="E265" s="375"/>
      <c r="F265" s="376"/>
    </row>
    <row r="266" spans="2:6" ht="19.5" customHeight="1">
      <c r="B266" s="375"/>
      <c r="C266" s="375"/>
      <c r="D266" s="375"/>
      <c r="E266" s="375"/>
      <c r="F266" s="376"/>
    </row>
    <row r="267" spans="2:6" ht="19.5" customHeight="1">
      <c r="B267" s="375"/>
      <c r="C267" s="375"/>
      <c r="D267" s="375"/>
      <c r="E267" s="375"/>
      <c r="F267" s="376"/>
    </row>
    <row r="268" spans="2:6" ht="19.5" customHeight="1">
      <c r="B268" s="375"/>
      <c r="C268" s="375"/>
      <c r="D268" s="375"/>
      <c r="E268" s="375"/>
      <c r="F268" s="376"/>
    </row>
    <row r="269" spans="2:6" ht="19.5" customHeight="1">
      <c r="B269" s="375"/>
      <c r="C269" s="375"/>
      <c r="D269" s="375"/>
      <c r="E269" s="375"/>
      <c r="F269" s="376"/>
    </row>
    <row r="270" spans="2:6" ht="19.5" customHeight="1">
      <c r="B270" s="375"/>
      <c r="C270" s="375"/>
      <c r="D270" s="375"/>
      <c r="E270" s="375"/>
      <c r="F270" s="376"/>
    </row>
    <row r="271" spans="2:6" ht="19.5" customHeight="1">
      <c r="B271" s="375"/>
      <c r="C271" s="375"/>
      <c r="D271" s="375"/>
      <c r="E271" s="375"/>
      <c r="F271" s="376"/>
    </row>
    <row r="272" spans="2:6" ht="19.5" customHeight="1">
      <c r="B272" s="375"/>
      <c r="C272" s="375"/>
      <c r="D272" s="375"/>
      <c r="E272" s="375"/>
      <c r="F272" s="376"/>
    </row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9:D9"/>
    <mergeCell ref="A8:C8"/>
    <mergeCell ref="A7:C7"/>
  </mergeCells>
  <conditionalFormatting sqref="B46:E46">
    <cfRule type="cellIs" priority="1" dxfId="0" operator="notEqual" stopIfTrue="1">
      <formula>-#REF!</formula>
    </cfRule>
  </conditionalFormatting>
  <dataValidations count="3">
    <dataValidation allowBlank="1" showInputMessage="1" showErrorMessage="1" error="LOS DATOS DEBEN COINCIDIR CON LA CIFRA DE AMORTIZACIONES FICHA EP-4 INV" sqref="B59:E62"/>
    <dataValidation allowBlank="1" showInputMessage="1" showErrorMessage="1" promptTitle="FICHA EP-9" prompt="ESTE DATO DEBE COINCIDIR CON LA FICHA EP-9" sqref="B46:E46"/>
    <dataValidation allowBlank="1" showInputMessage="1" showErrorMessage="1" promptTitle="DIVIDENDOS" prompt="COMPROBAR QUE LOS INGRESOS POR REPARTO POR DIVIDENDOS COINCIDEN CON LA HOJA EP-4 INV ACT NO FIN" sqref="B35:F38"/>
  </dataValidations>
  <printOptions horizontalCentered="1" verticalCentered="1"/>
  <pageMargins left="0.19" right="0.16" top="0.19" bottom="0.22" header="0" footer="0"/>
  <pageSetup horizontalDpi="600" verticalDpi="600" orientation="portrait" paperSize="9" scale="35" r:id="rId2"/>
  <headerFooter alignWithMargins="0">
    <oddFooter>&amp;L&amp;7Plaza de España, 1
38003 Santa Cruz de Tenerife
Teléfono: 901 501 901
www.tenerife.es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52"/>
  <sheetViews>
    <sheetView showGridLines="0" view="pageBreakPreview" zoomScaleSheetLayoutView="100" zoomScalePageLayoutView="0" workbookViewId="0" topLeftCell="A1">
      <selection activeCell="B4" sqref="B4"/>
    </sheetView>
  </sheetViews>
  <sheetFormatPr defaultColWidth="10.7109375" defaultRowHeight="12.75"/>
  <cols>
    <col min="1" max="1" width="53.140625" style="418" bestFit="1" customWidth="1"/>
    <col min="2" max="2" width="17.421875" style="418" customWidth="1"/>
    <col min="3" max="3" width="19.8515625" style="418" customWidth="1"/>
    <col min="4" max="4" width="17.8515625" style="419" customWidth="1"/>
    <col min="5" max="5" width="1.7109375" style="420" customWidth="1"/>
    <col min="6" max="12" width="0" style="418" hidden="1" customWidth="1"/>
    <col min="13" max="13" width="10.7109375" style="418" customWidth="1"/>
    <col min="14" max="14" width="12.7109375" style="418" hidden="1" customWidth="1"/>
    <col min="15" max="15" width="12.8515625" style="418" hidden="1" customWidth="1"/>
    <col min="16" max="16" width="12.57421875" style="418" hidden="1" customWidth="1"/>
    <col min="17" max="17" width="0" style="418" hidden="1" customWidth="1"/>
    <col min="18" max="16384" width="10.7109375" style="418" customWidth="1"/>
  </cols>
  <sheetData>
    <row r="1" spans="1:3" ht="12.75">
      <c r="A1" s="345"/>
      <c r="B1" s="653" t="s">
        <v>534</v>
      </c>
      <c r="C1" s="345"/>
    </row>
    <row r="2" spans="1:3" ht="12.75">
      <c r="A2" s="345"/>
      <c r="B2" s="654" t="s">
        <v>535</v>
      </c>
      <c r="C2" s="345"/>
    </row>
    <row r="3" spans="1:3" ht="12.75">
      <c r="A3" s="345"/>
      <c r="B3" s="345"/>
      <c r="C3" s="345"/>
    </row>
    <row r="4" spans="1:3" ht="12.75">
      <c r="A4" s="652" t="s">
        <v>296</v>
      </c>
      <c r="B4" s="655">
        <v>42339</v>
      </c>
      <c r="C4" s="345"/>
    </row>
    <row r="5" spans="1:3" ht="12.75">
      <c r="A5" s="652" t="s">
        <v>533</v>
      </c>
      <c r="B5" s="656" t="s">
        <v>536</v>
      </c>
      <c r="C5" s="345"/>
    </row>
    <row r="7" spans="1:5" s="392" customFormat="1" ht="49.5" customHeight="1">
      <c r="A7" s="966" t="s">
        <v>77</v>
      </c>
      <c r="B7" s="966"/>
      <c r="C7" s="966"/>
      <c r="D7" s="746">
        <f>CPYG!D7</f>
        <v>2016</v>
      </c>
      <c r="E7" s="342"/>
    </row>
    <row r="8" spans="1:5" s="392" customFormat="1" ht="37.5" customHeight="1">
      <c r="A8" s="965" t="str">
        <f>CPYG!A8</f>
        <v>EMPRESA PÚBLICA: INSTITUTO TECNOLOGICO DE ENERGIAS RENOVABLES SA</v>
      </c>
      <c r="B8" s="964"/>
      <c r="C8" s="1019"/>
      <c r="D8" s="747" t="s">
        <v>78</v>
      </c>
      <c r="E8" s="346"/>
    </row>
    <row r="9" spans="1:5" s="392" customFormat="1" ht="24.75" customHeight="1">
      <c r="A9" s="1020" t="s">
        <v>537</v>
      </c>
      <c r="B9" s="1020"/>
      <c r="C9" s="1020"/>
      <c r="D9" s="1020"/>
      <c r="E9" s="393"/>
    </row>
    <row r="10" spans="1:5" s="392" customFormat="1" ht="40.5" customHeight="1">
      <c r="A10" s="394" t="s">
        <v>78</v>
      </c>
      <c r="B10" s="394" t="s">
        <v>642</v>
      </c>
      <c r="C10" s="395" t="s">
        <v>644</v>
      </c>
      <c r="D10" s="395" t="s">
        <v>645</v>
      </c>
      <c r="E10" s="396"/>
    </row>
    <row r="11" spans="1:16" s="392" customFormat="1" ht="19.5" customHeight="1">
      <c r="A11" s="397" t="s">
        <v>216</v>
      </c>
      <c r="B11" s="458">
        <f>B12+B17+B21+B24+B25+B26+B27</f>
        <v>88275819.02</v>
      </c>
      <c r="C11" s="458">
        <f>C12+C17+C21+C24+C25+C26+C27</f>
        <v>87438756.2</v>
      </c>
      <c r="D11" s="458">
        <f>D12+D17+D21+D24+D25+D26+D27</f>
        <v>96615833.10000001</v>
      </c>
      <c r="E11" s="398"/>
      <c r="N11" s="401">
        <f>B11-B24-B25-B26</f>
        <v>69355013.66</v>
      </c>
      <c r="O11" s="401">
        <f>C11-C24-C25-C26</f>
        <v>66456227.650000006</v>
      </c>
      <c r="P11" s="401">
        <f>D11-D24-D25-D26</f>
        <v>74369732.62</v>
      </c>
    </row>
    <row r="12" spans="1:5" s="392" customFormat="1" ht="19.5" customHeight="1">
      <c r="A12" s="397" t="s">
        <v>108</v>
      </c>
      <c r="B12" s="458">
        <f>SUM(B13:B16)</f>
        <v>6587123.24</v>
      </c>
      <c r="C12" s="458">
        <f>SUM(C13:C16)</f>
        <v>6520477.840000001</v>
      </c>
      <c r="D12" s="458">
        <f>SUM(D13:D16)</f>
        <v>6458729.029999999</v>
      </c>
      <c r="E12" s="399"/>
    </row>
    <row r="13" spans="1:5" s="392" customFormat="1" ht="19.5" customHeight="1">
      <c r="A13" s="400" t="s">
        <v>219</v>
      </c>
      <c r="B13" s="469"/>
      <c r="C13" s="469"/>
      <c r="D13" s="469"/>
      <c r="E13" s="399"/>
    </row>
    <row r="14" spans="1:5" s="392" customFormat="1" ht="19.5" customHeight="1">
      <c r="A14" s="400" t="s">
        <v>218</v>
      </c>
      <c r="B14" s="469">
        <v>133310.52</v>
      </c>
      <c r="C14" s="469">
        <v>66665.12</v>
      </c>
      <c r="D14" s="469">
        <v>4916.309999999998</v>
      </c>
      <c r="E14" s="399"/>
    </row>
    <row r="15" spans="1:5" s="392" customFormat="1" ht="19.5" customHeight="1">
      <c r="A15" s="400" t="s">
        <v>217</v>
      </c>
      <c r="B15" s="469"/>
      <c r="C15" s="469"/>
      <c r="D15" s="469"/>
      <c r="E15" s="399"/>
    </row>
    <row r="16" spans="1:5" s="392" customFormat="1" ht="19.5" customHeight="1">
      <c r="A16" s="400" t="s">
        <v>543</v>
      </c>
      <c r="B16" s="469">
        <f>0.03+6453812.69</f>
        <v>6453812.720000001</v>
      </c>
      <c r="C16" s="469">
        <f>0.03+6453812.69</f>
        <v>6453812.720000001</v>
      </c>
      <c r="D16" s="469">
        <v>6453812.72</v>
      </c>
      <c r="E16" s="399"/>
    </row>
    <row r="17" spans="1:5" s="392" customFormat="1" ht="19.5" customHeight="1">
      <c r="A17" s="397" t="s">
        <v>109</v>
      </c>
      <c r="B17" s="458">
        <f>SUM(B18:B20)</f>
        <v>62767890.42</v>
      </c>
      <c r="C17" s="458">
        <f>SUM(C18:C20)</f>
        <v>59935749.81</v>
      </c>
      <c r="D17" s="458">
        <f>SUM(D18:D20)</f>
        <v>67911003.59</v>
      </c>
      <c r="E17" s="399"/>
    </row>
    <row r="18" spans="1:5" s="392" customFormat="1" ht="19.5" customHeight="1">
      <c r="A18" s="400" t="s">
        <v>366</v>
      </c>
      <c r="B18" s="469">
        <v>32431780.02</v>
      </c>
      <c r="C18" s="469">
        <v>31921427.75</v>
      </c>
      <c r="D18" s="469">
        <v>31806417.86</v>
      </c>
      <c r="E18" s="399"/>
    </row>
    <row r="19" spans="1:5" s="392" customFormat="1" ht="19.5" customHeight="1">
      <c r="A19" s="400" t="s">
        <v>365</v>
      </c>
      <c r="B19" s="469"/>
      <c r="C19" s="469"/>
      <c r="D19" s="469"/>
      <c r="E19" s="399"/>
    </row>
    <row r="20" spans="1:5" s="392" customFormat="1" ht="19.5" customHeight="1">
      <c r="A20" s="400" t="s">
        <v>364</v>
      </c>
      <c r="B20" s="469">
        <f>24295313.01+6040797.39</f>
        <v>30336110.400000002</v>
      </c>
      <c r="C20" s="469">
        <f>21709668.99+6304653.07</f>
        <v>28014322.06</v>
      </c>
      <c r="D20" s="469">
        <v>36104585.73</v>
      </c>
      <c r="E20" s="399"/>
    </row>
    <row r="21" spans="1:5" s="392" customFormat="1" ht="19.5" customHeight="1">
      <c r="A21" s="397" t="s">
        <v>110</v>
      </c>
      <c r="B21" s="458">
        <f>SUM(B22:B23)</f>
        <v>0</v>
      </c>
      <c r="C21" s="458">
        <f>SUM(C22:C23)</f>
        <v>0</v>
      </c>
      <c r="D21" s="458">
        <f>SUM(D22:D23)</f>
        <v>0</v>
      </c>
      <c r="E21" s="399"/>
    </row>
    <row r="22" spans="1:5" s="392" customFormat="1" ht="19.5" customHeight="1">
      <c r="A22" s="400" t="s">
        <v>111</v>
      </c>
      <c r="B22" s="469"/>
      <c r="C22" s="469"/>
      <c r="D22" s="469"/>
      <c r="E22" s="399"/>
    </row>
    <row r="23" spans="1:5" s="392" customFormat="1" ht="19.5" customHeight="1">
      <c r="A23" s="400" t="s">
        <v>18</v>
      </c>
      <c r="B23" s="469"/>
      <c r="C23" s="469"/>
      <c r="D23" s="469"/>
      <c r="E23" s="399"/>
    </row>
    <row r="24" spans="1:14" s="392" customFormat="1" ht="19.5" customHeight="1">
      <c r="A24" s="397" t="s">
        <v>112</v>
      </c>
      <c r="B24" s="468">
        <v>16108903.94</v>
      </c>
      <c r="C24" s="468">
        <v>18210672.34</v>
      </c>
      <c r="D24" s="468">
        <v>17246872.34</v>
      </c>
      <c r="E24" s="399"/>
      <c r="N24" s="401">
        <f>D24-C24</f>
        <v>-963800</v>
      </c>
    </row>
    <row r="25" spans="1:14" s="392" customFormat="1" ht="19.5" customHeight="1">
      <c r="A25" s="397" t="s">
        <v>113</v>
      </c>
      <c r="B25" s="468">
        <v>1609364.34</v>
      </c>
      <c r="C25" s="468">
        <v>1569319.13</v>
      </c>
      <c r="D25" s="468">
        <v>1529273.92</v>
      </c>
      <c r="E25" s="399"/>
      <c r="N25" s="401">
        <f>D25-C25</f>
        <v>-40045.20999999996</v>
      </c>
    </row>
    <row r="26" spans="1:14" s="392" customFormat="1" ht="19.5" customHeight="1">
      <c r="A26" s="397" t="s">
        <v>19</v>
      </c>
      <c r="B26" s="468">
        <v>1202537.08</v>
      </c>
      <c r="C26" s="468">
        <v>1202537.08</v>
      </c>
      <c r="D26" s="468">
        <v>3469954.22</v>
      </c>
      <c r="F26" s="595" t="s">
        <v>207</v>
      </c>
      <c r="G26" s="596"/>
      <c r="H26" s="596"/>
      <c r="I26" s="596"/>
      <c r="J26" s="596"/>
      <c r="K26" s="596"/>
      <c r="L26" s="596"/>
      <c r="N26" s="401">
        <f>D26-C26</f>
        <v>2267417.14</v>
      </c>
    </row>
    <row r="27" spans="1:12" s="392" customFormat="1" ht="19.5" customHeight="1">
      <c r="A27" s="397" t="s">
        <v>367</v>
      </c>
      <c r="B27" s="468"/>
      <c r="C27" s="468"/>
      <c r="D27" s="468"/>
      <c r="F27" s="595" t="s">
        <v>208</v>
      </c>
      <c r="G27" s="596"/>
      <c r="H27" s="596"/>
      <c r="I27" s="596"/>
      <c r="J27" s="596"/>
      <c r="K27" s="596"/>
      <c r="L27" s="596"/>
    </row>
    <row r="28" spans="1:5" s="392" customFormat="1" ht="19.5" customHeight="1">
      <c r="A28" s="397" t="s">
        <v>220</v>
      </c>
      <c r="B28" s="458">
        <f>B29+B35+B38+B42+B43+B44+B45</f>
        <v>49216377.34</v>
      </c>
      <c r="C28" s="458">
        <f>C29+C35+C38+C42+C43+C44+C45</f>
        <v>46030972.28</v>
      </c>
      <c r="D28" s="458">
        <f>D29+D35+D38+D42+D43+D44+D45</f>
        <v>42432332.479118444</v>
      </c>
      <c r="E28" s="398"/>
    </row>
    <row r="29" spans="1:5" s="392" customFormat="1" ht="23.25" customHeight="1">
      <c r="A29" s="397" t="s">
        <v>114</v>
      </c>
      <c r="B29" s="458">
        <f>B30+B33+B34</f>
        <v>0</v>
      </c>
      <c r="C29" s="458">
        <f>C30+C33+C34</f>
        <v>0</v>
      </c>
      <c r="D29" s="458">
        <f>D30+D33+D34</f>
        <v>0</v>
      </c>
      <c r="E29" s="399"/>
    </row>
    <row r="30" spans="1:5" s="392" customFormat="1" ht="23.25" customHeight="1">
      <c r="A30" s="400" t="s">
        <v>370</v>
      </c>
      <c r="B30" s="470">
        <f>SUM(B31:B32)</f>
        <v>0</v>
      </c>
      <c r="C30" s="470">
        <f>SUM(C31:C32)</f>
        <v>0</v>
      </c>
      <c r="D30" s="470">
        <f>SUM(D31:D32)</f>
        <v>0</v>
      </c>
      <c r="E30" s="399"/>
    </row>
    <row r="31" spans="1:5" s="392" customFormat="1" ht="23.25" customHeight="1">
      <c r="A31" s="400" t="s">
        <v>371</v>
      </c>
      <c r="B31" s="469"/>
      <c r="C31" s="469"/>
      <c r="D31" s="469"/>
      <c r="E31" s="399"/>
    </row>
    <row r="32" spans="1:5" s="392" customFormat="1" ht="23.25" customHeight="1">
      <c r="A32" s="400" t="s">
        <v>372</v>
      </c>
      <c r="B32" s="469"/>
      <c r="C32" s="469"/>
      <c r="D32" s="469"/>
      <c r="E32" s="399"/>
    </row>
    <row r="33" spans="1:5" s="392" customFormat="1" ht="23.25" customHeight="1">
      <c r="A33" s="400" t="s">
        <v>374</v>
      </c>
      <c r="B33" s="469"/>
      <c r="C33" s="469"/>
      <c r="D33" s="469"/>
      <c r="E33" s="399"/>
    </row>
    <row r="34" spans="1:5" s="392" customFormat="1" ht="23.25" customHeight="1">
      <c r="A34" s="400" t="s">
        <v>373</v>
      </c>
      <c r="B34" s="469"/>
      <c r="C34" s="469"/>
      <c r="D34" s="469"/>
      <c r="E34" s="399"/>
    </row>
    <row r="35" spans="1:5" s="392" customFormat="1" ht="19.5" customHeight="1">
      <c r="A35" s="397" t="s">
        <v>82</v>
      </c>
      <c r="B35" s="458">
        <f>SUM(B36:B37)</f>
        <v>1238440.92</v>
      </c>
      <c r="C35" s="458">
        <f>SUM(C36:C37)</f>
        <v>1233925.9200000002</v>
      </c>
      <c r="D35" s="458">
        <f>SUM(D36:D37)</f>
        <v>981655.92</v>
      </c>
      <c r="E35" s="399"/>
    </row>
    <row r="36" spans="1:5" s="392" customFormat="1" ht="19.5" customHeight="1">
      <c r="A36" s="400" t="s">
        <v>368</v>
      </c>
      <c r="B36" s="469">
        <v>1238440.91</v>
      </c>
      <c r="C36" s="469">
        <f>251370+66288.18+890789.89+25477.84</f>
        <v>1233925.9100000001</v>
      </c>
      <c r="D36" s="469">
        <v>981655.91</v>
      </c>
      <c r="E36" s="399"/>
    </row>
    <row r="37" spans="1:5" s="392" customFormat="1" ht="19.5" customHeight="1">
      <c r="A37" s="400" t="s">
        <v>369</v>
      </c>
      <c r="B37" s="469">
        <v>0.01</v>
      </c>
      <c r="C37" s="469">
        <v>0.01</v>
      </c>
      <c r="D37" s="469">
        <v>0.01</v>
      </c>
      <c r="E37" s="399"/>
    </row>
    <row r="38" spans="1:5" s="392" customFormat="1" ht="19.5" customHeight="1">
      <c r="A38" s="397" t="s">
        <v>115</v>
      </c>
      <c r="B38" s="458">
        <f>SUM(B39:B41)</f>
        <v>12082301.459999999</v>
      </c>
      <c r="C38" s="458">
        <f>SUM(C39:C41)</f>
        <v>11329113.9</v>
      </c>
      <c r="D38" s="458">
        <f>SUM(D39:D41)</f>
        <v>10140332.123768037</v>
      </c>
      <c r="E38" s="399"/>
    </row>
    <row r="39" spans="1:5" s="392" customFormat="1" ht="19.5" customHeight="1">
      <c r="A39" s="400" t="s">
        <v>20</v>
      </c>
      <c r="B39" s="469">
        <v>1765797.19</v>
      </c>
      <c r="C39" s="469">
        <v>1826438.33</v>
      </c>
      <c r="D39" s="469">
        <v>1639957.5137680375</v>
      </c>
      <c r="E39" s="399"/>
    </row>
    <row r="40" spans="1:5" s="392" customFormat="1" ht="19.5" customHeight="1">
      <c r="A40" s="400" t="s">
        <v>221</v>
      </c>
      <c r="B40" s="469"/>
      <c r="C40" s="469"/>
      <c r="D40" s="469"/>
      <c r="E40" s="399"/>
    </row>
    <row r="41" spans="1:5" s="392" customFormat="1" ht="19.5" customHeight="1">
      <c r="A41" s="400" t="s">
        <v>222</v>
      </c>
      <c r="B41" s="469">
        <f>8969869.19+353440.06+1688.41+991506.61</f>
        <v>10316504.27</v>
      </c>
      <c r="C41" s="469">
        <f>8436472.71+287536.25+4079.7+774586.91</f>
        <v>9502675.57</v>
      </c>
      <c r="D41" s="469">
        <v>8500374.61</v>
      </c>
      <c r="E41" s="399"/>
    </row>
    <row r="42" spans="1:14" s="392" customFormat="1" ht="19.5" customHeight="1">
      <c r="A42" s="397" t="s">
        <v>116</v>
      </c>
      <c r="B42" s="468">
        <v>1188764.44</v>
      </c>
      <c r="C42" s="468">
        <v>1506130.04</v>
      </c>
      <c r="D42" s="468">
        <v>1326734.4999999995</v>
      </c>
      <c r="E42" s="399"/>
      <c r="N42" s="401">
        <f>D42-C42</f>
        <v>-179395.5400000005</v>
      </c>
    </row>
    <row r="43" spans="1:14" s="392" customFormat="1" ht="19.5" customHeight="1">
      <c r="A43" s="397" t="s">
        <v>117</v>
      </c>
      <c r="B43" s="468">
        <v>32899350.96</v>
      </c>
      <c r="C43" s="468">
        <v>31046004.39</v>
      </c>
      <c r="D43" s="468">
        <v>28933439.85535041</v>
      </c>
      <c r="E43" s="399"/>
      <c r="N43" s="401">
        <f>D43-C43</f>
        <v>-2112564.534649592</v>
      </c>
    </row>
    <row r="44" spans="1:5" s="392" customFormat="1" ht="19.5" customHeight="1">
      <c r="A44" s="397" t="s">
        <v>21</v>
      </c>
      <c r="B44" s="468"/>
      <c r="C44" s="468">
        <v>90000</v>
      </c>
      <c r="D44" s="468"/>
      <c r="E44" s="399"/>
    </row>
    <row r="45" spans="1:5" s="392" customFormat="1" ht="19.5" customHeight="1">
      <c r="A45" s="397" t="s">
        <v>22</v>
      </c>
      <c r="B45" s="458">
        <f>SUM(B46:B47)</f>
        <v>1807519.56</v>
      </c>
      <c r="C45" s="458">
        <f>SUM(C46:C47)</f>
        <v>825798.03</v>
      </c>
      <c r="D45" s="458">
        <f>SUM(D46:D47)</f>
        <v>1050170.08</v>
      </c>
      <c r="E45" s="399"/>
    </row>
    <row r="46" spans="1:5" s="392" customFormat="1" ht="19.5" customHeight="1">
      <c r="A46" s="400" t="s">
        <v>23</v>
      </c>
      <c r="B46" s="469">
        <v>1807519.56</v>
      </c>
      <c r="C46" s="469">
        <v>825798.03</v>
      </c>
      <c r="D46" s="469">
        <f>965322.11+84847.97</f>
        <v>1050170.08</v>
      </c>
      <c r="E46" s="399"/>
    </row>
    <row r="47" spans="1:5" s="392" customFormat="1" ht="19.5" customHeight="1">
      <c r="A47" s="400" t="s">
        <v>41</v>
      </c>
      <c r="B47" s="469"/>
      <c r="C47" s="469"/>
      <c r="D47" s="469"/>
      <c r="E47" s="399"/>
    </row>
    <row r="48" spans="1:5" s="392" customFormat="1" ht="21.75" customHeight="1">
      <c r="A48" s="748" t="s">
        <v>74</v>
      </c>
      <c r="B48" s="458">
        <f>B28+B11</f>
        <v>137492196.36</v>
      </c>
      <c r="C48" s="458">
        <f>C28+C11</f>
        <v>133469728.48</v>
      </c>
      <c r="D48" s="458">
        <f>D28+D11</f>
        <v>139048165.57911846</v>
      </c>
      <c r="E48" s="398"/>
    </row>
    <row r="49" spans="1:5" s="392" customFormat="1" ht="40.5" customHeight="1">
      <c r="A49" s="403"/>
      <c r="B49" s="404"/>
      <c r="C49" s="404"/>
      <c r="D49" s="404"/>
      <c r="E49" s="398"/>
    </row>
    <row r="50" spans="1:5" s="392" customFormat="1" ht="12.75" hidden="1">
      <c r="A50" s="405" t="s">
        <v>42</v>
      </c>
      <c r="C50" s="401"/>
      <c r="D50" s="406"/>
      <c r="E50" s="407"/>
    </row>
    <row r="51" spans="1:5" s="392" customFormat="1" ht="12.75" hidden="1">
      <c r="A51" s="400" t="s">
        <v>750</v>
      </c>
      <c r="B51" s="408">
        <f>B48-PASIVO!B65</f>
        <v>0</v>
      </c>
      <c r="C51" s="408">
        <f>C48-PASIVO!C65</f>
        <v>0</v>
      </c>
      <c r="D51" s="408">
        <f>D48-PASIVO!D65</f>
        <v>-0.0008815526962280273</v>
      </c>
      <c r="E51" s="409"/>
    </row>
    <row r="52" spans="1:5" s="392" customFormat="1" ht="12.75" hidden="1">
      <c r="A52" s="402"/>
      <c r="B52" s="409"/>
      <c r="C52" s="409"/>
      <c r="D52" s="409"/>
      <c r="E52" s="409"/>
    </row>
    <row r="53" spans="1:5" s="392" customFormat="1" ht="12.75" hidden="1">
      <c r="A53" s="402"/>
      <c r="B53" s="410"/>
      <c r="C53" s="410"/>
      <c r="D53" s="409"/>
      <c r="E53" s="409"/>
    </row>
    <row r="54" spans="1:5" s="392" customFormat="1" ht="12.75" hidden="1">
      <c r="A54" s="402" t="s">
        <v>36</v>
      </c>
      <c r="B54" s="411">
        <f>+B48-PASIVO!B65</f>
        <v>0</v>
      </c>
      <c r="C54" s="411">
        <f>+C48-PASIVO!C65</f>
        <v>0</v>
      </c>
      <c r="D54" s="411">
        <f>+D48-PASIVO!D65</f>
        <v>-0.0008815526962280273</v>
      </c>
      <c r="E54" s="409"/>
    </row>
    <row r="55" spans="1:5" s="392" customFormat="1" ht="12.75" hidden="1">
      <c r="A55" s="402"/>
      <c r="B55" s="410"/>
      <c r="C55" s="410"/>
      <c r="D55" s="409"/>
      <c r="E55" s="409"/>
    </row>
    <row r="56" spans="1:5" s="392" customFormat="1" ht="12.75" hidden="1">
      <c r="A56" s="412" t="s">
        <v>35</v>
      </c>
      <c r="B56" s="408">
        <f>+B28-PASIVO!B48</f>
        <v>32280935.400000002</v>
      </c>
      <c r="C56" s="408">
        <f>+C28-PASIVO!C48</f>
        <v>33151684.810000002</v>
      </c>
      <c r="D56" s="408">
        <f>+D28-PASIVO!D48</f>
        <v>34956522.337724455</v>
      </c>
      <c r="E56" s="409"/>
    </row>
    <row r="57" spans="1:5" s="392" customFormat="1" ht="12.75" hidden="1">
      <c r="A57" s="413" t="s">
        <v>591</v>
      </c>
      <c r="B57" s="400"/>
      <c r="C57" s="408">
        <f>+C56-B56</f>
        <v>870749.4100000001</v>
      </c>
      <c r="D57" s="414">
        <f>+D56-C56</f>
        <v>1804837.5277244523</v>
      </c>
      <c r="E57" s="409"/>
    </row>
    <row r="58" spans="2:5" s="392" customFormat="1" ht="12.75" hidden="1">
      <c r="B58" s="415"/>
      <c r="C58" s="415"/>
      <c r="D58" s="416"/>
      <c r="E58" s="416"/>
    </row>
    <row r="59" spans="2:5" s="392" customFormat="1" ht="12.75" hidden="1">
      <c r="B59" s="410"/>
      <c r="C59" s="410"/>
      <c r="D59" s="417"/>
      <c r="E59" s="417"/>
    </row>
    <row r="60" spans="2:5" s="392" customFormat="1" ht="12.75" hidden="1">
      <c r="B60" s="410"/>
      <c r="C60" s="410"/>
      <c r="D60" s="409"/>
      <c r="E60" s="409"/>
    </row>
    <row r="61" spans="2:5" s="392" customFormat="1" ht="12.75">
      <c r="B61" s="409"/>
      <c r="C61" s="409"/>
      <c r="D61" s="409"/>
      <c r="E61" s="409"/>
    </row>
    <row r="62" spans="2:5" s="392" customFormat="1" ht="12.75">
      <c r="B62" s="409"/>
      <c r="C62" s="409"/>
      <c r="D62" s="409"/>
      <c r="E62" s="409">
        <f>+E48-E61</f>
        <v>0</v>
      </c>
    </row>
    <row r="63" spans="2:5" s="392" customFormat="1" ht="12.75">
      <c r="B63" s="410"/>
      <c r="C63" s="410"/>
      <c r="D63" s="409"/>
      <c r="E63" s="409"/>
    </row>
    <row r="64" spans="2:5" s="392" customFormat="1" ht="12.75">
      <c r="B64" s="410"/>
      <c r="C64" s="410"/>
      <c r="D64" s="409"/>
      <c r="E64" s="409"/>
    </row>
    <row r="65" spans="2:5" s="392" customFormat="1" ht="12.75">
      <c r="B65" s="410"/>
      <c r="C65" s="410"/>
      <c r="D65" s="409"/>
      <c r="E65" s="409"/>
    </row>
    <row r="66" spans="2:5" s="392" customFormat="1" ht="12.75">
      <c r="B66" s="415"/>
      <c r="C66" s="415"/>
      <c r="D66" s="416"/>
      <c r="E66" s="416"/>
    </row>
    <row r="67" spans="2:5" s="392" customFormat="1" ht="12.75">
      <c r="B67" s="410"/>
      <c r="C67" s="410"/>
      <c r="D67" s="417"/>
      <c r="E67" s="417"/>
    </row>
    <row r="68" spans="2:5" s="392" customFormat="1" ht="12.75">
      <c r="B68" s="410"/>
      <c r="C68" s="410"/>
      <c r="D68" s="417"/>
      <c r="E68" s="417"/>
    </row>
    <row r="69" spans="2:5" s="392" customFormat="1" ht="12.75">
      <c r="B69" s="410"/>
      <c r="C69" s="410"/>
      <c r="D69" s="417"/>
      <c r="E69" s="417"/>
    </row>
    <row r="70" spans="4:5" s="392" customFormat="1" ht="12.75">
      <c r="D70" s="406"/>
      <c r="E70" s="407"/>
    </row>
    <row r="71" spans="4:5" s="392" customFormat="1" ht="12.75">
      <c r="D71" s="406"/>
      <c r="E71" s="407"/>
    </row>
    <row r="72" spans="4:5" s="392" customFormat="1" ht="12.75">
      <c r="D72" s="406"/>
      <c r="E72" s="407"/>
    </row>
    <row r="73" spans="4:5" s="392" customFormat="1" ht="12.75">
      <c r="D73" s="406"/>
      <c r="E73" s="407"/>
    </row>
    <row r="74" spans="4:5" s="392" customFormat="1" ht="12.75">
      <c r="D74" s="406"/>
      <c r="E74" s="407"/>
    </row>
    <row r="75" spans="4:5" s="392" customFormat="1" ht="12.75">
      <c r="D75" s="406"/>
      <c r="E75" s="407"/>
    </row>
    <row r="76" spans="4:5" s="392" customFormat="1" ht="12.75">
      <c r="D76" s="406"/>
      <c r="E76" s="407"/>
    </row>
    <row r="77" spans="4:5" s="392" customFormat="1" ht="12.75">
      <c r="D77" s="406"/>
      <c r="E77" s="407"/>
    </row>
    <row r="78" spans="4:5" s="392" customFormat="1" ht="12.75">
      <c r="D78" s="406"/>
      <c r="E78" s="407"/>
    </row>
    <row r="79" spans="4:5" s="392" customFormat="1" ht="12.75">
      <c r="D79" s="406"/>
      <c r="E79" s="407"/>
    </row>
    <row r="80" spans="4:5" s="392" customFormat="1" ht="12.75">
      <c r="D80" s="406"/>
      <c r="E80" s="407"/>
    </row>
    <row r="81" spans="4:5" s="392" customFormat="1" ht="12.75">
      <c r="D81" s="406"/>
      <c r="E81" s="407"/>
    </row>
    <row r="82" spans="4:5" s="392" customFormat="1" ht="12.75">
      <c r="D82" s="406"/>
      <c r="E82" s="407"/>
    </row>
    <row r="83" spans="4:5" s="392" customFormat="1" ht="12.75">
      <c r="D83" s="406"/>
      <c r="E83" s="407"/>
    </row>
    <row r="84" spans="4:5" s="392" customFormat="1" ht="12.75">
      <c r="D84" s="406"/>
      <c r="E84" s="407"/>
    </row>
    <row r="85" spans="4:5" s="392" customFormat="1" ht="12.75">
      <c r="D85" s="406"/>
      <c r="E85" s="407"/>
    </row>
    <row r="86" spans="4:5" s="392" customFormat="1" ht="12.75">
      <c r="D86" s="406"/>
      <c r="E86" s="407"/>
    </row>
    <row r="87" spans="4:5" s="392" customFormat="1" ht="12.75">
      <c r="D87" s="406"/>
      <c r="E87" s="407"/>
    </row>
    <row r="88" spans="4:5" s="392" customFormat="1" ht="12.75">
      <c r="D88" s="406"/>
      <c r="E88" s="407"/>
    </row>
    <row r="89" spans="4:5" s="392" customFormat="1" ht="12.75">
      <c r="D89" s="406"/>
      <c r="E89" s="407"/>
    </row>
    <row r="90" spans="4:5" s="392" customFormat="1" ht="12.75">
      <c r="D90" s="406"/>
      <c r="E90" s="407"/>
    </row>
    <row r="91" spans="4:5" s="392" customFormat="1" ht="12.75">
      <c r="D91" s="406"/>
      <c r="E91" s="407"/>
    </row>
    <row r="92" spans="4:5" s="392" customFormat="1" ht="12.75">
      <c r="D92" s="406"/>
      <c r="E92" s="407"/>
    </row>
    <row r="93" spans="4:5" s="392" customFormat="1" ht="12.75">
      <c r="D93" s="406"/>
      <c r="E93" s="407"/>
    </row>
    <row r="94" spans="4:5" s="392" customFormat="1" ht="12.75">
      <c r="D94" s="406"/>
      <c r="E94" s="407"/>
    </row>
    <row r="95" spans="4:5" s="392" customFormat="1" ht="12.75">
      <c r="D95" s="406"/>
      <c r="E95" s="407"/>
    </row>
    <row r="96" spans="4:5" s="392" customFormat="1" ht="12.75">
      <c r="D96" s="406"/>
      <c r="E96" s="407"/>
    </row>
    <row r="97" spans="4:5" s="392" customFormat="1" ht="12.75">
      <c r="D97" s="406"/>
      <c r="E97" s="407"/>
    </row>
    <row r="98" spans="4:5" s="392" customFormat="1" ht="12.75">
      <c r="D98" s="406"/>
      <c r="E98" s="407"/>
    </row>
    <row r="99" spans="4:5" s="392" customFormat="1" ht="12.75">
      <c r="D99" s="406"/>
      <c r="E99" s="407"/>
    </row>
    <row r="100" spans="4:5" s="392" customFormat="1" ht="12.75">
      <c r="D100" s="406"/>
      <c r="E100" s="407"/>
    </row>
    <row r="101" spans="4:5" s="392" customFormat="1" ht="12.75">
      <c r="D101" s="406"/>
      <c r="E101" s="407"/>
    </row>
    <row r="102" spans="4:5" s="392" customFormat="1" ht="12.75">
      <c r="D102" s="406"/>
      <c r="E102" s="407"/>
    </row>
    <row r="103" spans="4:5" s="392" customFormat="1" ht="12.75">
      <c r="D103" s="406"/>
      <c r="E103" s="407"/>
    </row>
    <row r="104" spans="4:5" s="392" customFormat="1" ht="12.75">
      <c r="D104" s="406"/>
      <c r="E104" s="407"/>
    </row>
    <row r="105" spans="4:5" s="392" customFormat="1" ht="12.75">
      <c r="D105" s="406"/>
      <c r="E105" s="407"/>
    </row>
    <row r="106" spans="4:5" s="392" customFormat="1" ht="12.75">
      <c r="D106" s="406"/>
      <c r="E106" s="407"/>
    </row>
    <row r="107" spans="4:5" s="392" customFormat="1" ht="12.75">
      <c r="D107" s="406"/>
      <c r="E107" s="407"/>
    </row>
    <row r="108" spans="4:5" s="392" customFormat="1" ht="12.75">
      <c r="D108" s="406"/>
      <c r="E108" s="407"/>
    </row>
    <row r="109" spans="4:5" s="392" customFormat="1" ht="12.75">
      <c r="D109" s="406"/>
      <c r="E109" s="407"/>
    </row>
    <row r="110" spans="4:5" s="392" customFormat="1" ht="12.75">
      <c r="D110" s="406"/>
      <c r="E110" s="407"/>
    </row>
    <row r="111" spans="4:5" s="392" customFormat="1" ht="12.75">
      <c r="D111" s="406"/>
      <c r="E111" s="407"/>
    </row>
    <row r="112" spans="4:5" s="392" customFormat="1" ht="12.75">
      <c r="D112" s="406"/>
      <c r="E112" s="407"/>
    </row>
    <row r="113" spans="4:5" s="392" customFormat="1" ht="12.75">
      <c r="D113" s="406"/>
      <c r="E113" s="407"/>
    </row>
    <row r="114" spans="4:5" s="392" customFormat="1" ht="12.75">
      <c r="D114" s="406"/>
      <c r="E114" s="407"/>
    </row>
    <row r="115" spans="4:5" s="392" customFormat="1" ht="12.75">
      <c r="D115" s="406"/>
      <c r="E115" s="407"/>
    </row>
    <row r="116" spans="4:5" s="392" customFormat="1" ht="12.75">
      <c r="D116" s="406"/>
      <c r="E116" s="407"/>
    </row>
    <row r="117" spans="4:5" s="392" customFormat="1" ht="12.75">
      <c r="D117" s="406"/>
      <c r="E117" s="407"/>
    </row>
    <row r="118" spans="4:5" s="392" customFormat="1" ht="12.75">
      <c r="D118" s="406"/>
      <c r="E118" s="407"/>
    </row>
    <row r="119" spans="4:5" s="392" customFormat="1" ht="12.75">
      <c r="D119" s="406"/>
      <c r="E119" s="407"/>
    </row>
    <row r="120" spans="4:5" s="392" customFormat="1" ht="12.75">
      <c r="D120" s="406"/>
      <c r="E120" s="407"/>
    </row>
    <row r="121" spans="4:5" s="392" customFormat="1" ht="12.75">
      <c r="D121" s="406"/>
      <c r="E121" s="407"/>
    </row>
    <row r="122" spans="4:5" s="392" customFormat="1" ht="12.75">
      <c r="D122" s="406"/>
      <c r="E122" s="407"/>
    </row>
    <row r="123" spans="4:5" s="392" customFormat="1" ht="12.75">
      <c r="D123" s="406"/>
      <c r="E123" s="407"/>
    </row>
    <row r="124" spans="4:5" s="392" customFormat="1" ht="12.75">
      <c r="D124" s="406"/>
      <c r="E124" s="407"/>
    </row>
    <row r="125" spans="4:5" s="392" customFormat="1" ht="12.75">
      <c r="D125" s="406"/>
      <c r="E125" s="407"/>
    </row>
    <row r="126" spans="4:5" s="392" customFormat="1" ht="12.75">
      <c r="D126" s="406"/>
      <c r="E126" s="407"/>
    </row>
    <row r="127" spans="4:5" s="392" customFormat="1" ht="12.75">
      <c r="D127" s="406"/>
      <c r="E127" s="407"/>
    </row>
    <row r="128" spans="4:5" s="392" customFormat="1" ht="12.75">
      <c r="D128" s="406"/>
      <c r="E128" s="407"/>
    </row>
    <row r="129" spans="4:5" s="392" customFormat="1" ht="12.75">
      <c r="D129" s="406"/>
      <c r="E129" s="407"/>
    </row>
    <row r="130" spans="4:5" s="392" customFormat="1" ht="12.75">
      <c r="D130" s="406"/>
      <c r="E130" s="407"/>
    </row>
    <row r="131" spans="4:5" s="392" customFormat="1" ht="12.75">
      <c r="D131" s="406"/>
      <c r="E131" s="407"/>
    </row>
    <row r="132" spans="4:5" s="392" customFormat="1" ht="12.75">
      <c r="D132" s="406"/>
      <c r="E132" s="407"/>
    </row>
    <row r="133" spans="4:5" s="392" customFormat="1" ht="12.75">
      <c r="D133" s="406"/>
      <c r="E133" s="407"/>
    </row>
    <row r="134" spans="4:5" s="392" customFormat="1" ht="12.75">
      <c r="D134" s="406"/>
      <c r="E134" s="407"/>
    </row>
    <row r="135" spans="4:5" s="392" customFormat="1" ht="12.75">
      <c r="D135" s="406"/>
      <c r="E135" s="407"/>
    </row>
    <row r="136" spans="4:5" s="392" customFormat="1" ht="12.75">
      <c r="D136" s="406"/>
      <c r="E136" s="407"/>
    </row>
    <row r="137" spans="4:5" s="392" customFormat="1" ht="12.75">
      <c r="D137" s="406"/>
      <c r="E137" s="407"/>
    </row>
    <row r="138" spans="4:5" s="392" customFormat="1" ht="12.75">
      <c r="D138" s="406"/>
      <c r="E138" s="407"/>
    </row>
    <row r="139" spans="4:5" s="392" customFormat="1" ht="12.75">
      <c r="D139" s="406"/>
      <c r="E139" s="407"/>
    </row>
    <row r="140" spans="4:5" s="392" customFormat="1" ht="12.75">
      <c r="D140" s="406"/>
      <c r="E140" s="407"/>
    </row>
    <row r="141" spans="4:5" s="392" customFormat="1" ht="12.75">
      <c r="D141" s="406"/>
      <c r="E141" s="407"/>
    </row>
    <row r="142" spans="4:5" s="392" customFormat="1" ht="12.75">
      <c r="D142" s="406"/>
      <c r="E142" s="407"/>
    </row>
    <row r="143" spans="4:5" s="392" customFormat="1" ht="12.75">
      <c r="D143" s="406"/>
      <c r="E143" s="407"/>
    </row>
    <row r="144" spans="4:5" s="392" customFormat="1" ht="12.75">
      <c r="D144" s="406"/>
      <c r="E144" s="407"/>
    </row>
    <row r="145" spans="4:5" s="392" customFormat="1" ht="12.75">
      <c r="D145" s="406"/>
      <c r="E145" s="407"/>
    </row>
    <row r="146" spans="4:5" s="392" customFormat="1" ht="12.75">
      <c r="D146" s="406"/>
      <c r="E146" s="407"/>
    </row>
    <row r="147" spans="4:5" s="392" customFormat="1" ht="12.75">
      <c r="D147" s="406"/>
      <c r="E147" s="407"/>
    </row>
    <row r="148" spans="4:5" s="392" customFormat="1" ht="12.75">
      <c r="D148" s="406"/>
      <c r="E148" s="407"/>
    </row>
    <row r="149" spans="4:5" s="392" customFormat="1" ht="12.75">
      <c r="D149" s="406"/>
      <c r="E149" s="407"/>
    </row>
    <row r="150" spans="4:5" s="392" customFormat="1" ht="12.75">
      <c r="D150" s="406"/>
      <c r="E150" s="407"/>
    </row>
    <row r="151" spans="4:5" s="392" customFormat="1" ht="12.75">
      <c r="D151" s="406"/>
      <c r="E151" s="407"/>
    </row>
    <row r="152" spans="4:5" s="392" customFormat="1" ht="12.75">
      <c r="D152" s="406"/>
      <c r="E152" s="407"/>
    </row>
    <row r="153" spans="4:5" s="392" customFormat="1" ht="12.75">
      <c r="D153" s="406"/>
      <c r="E153" s="407"/>
    </row>
    <row r="154" spans="4:5" s="392" customFormat="1" ht="12.75">
      <c r="D154" s="406"/>
      <c r="E154" s="407"/>
    </row>
    <row r="155" spans="4:5" s="392" customFormat="1" ht="12.75">
      <c r="D155" s="406"/>
      <c r="E155" s="407"/>
    </row>
    <row r="156" spans="4:5" s="392" customFormat="1" ht="12.75">
      <c r="D156" s="406"/>
      <c r="E156" s="407"/>
    </row>
    <row r="157" spans="4:5" s="392" customFormat="1" ht="12.75">
      <c r="D157" s="406"/>
      <c r="E157" s="407"/>
    </row>
    <row r="158" spans="4:5" s="392" customFormat="1" ht="12.75">
      <c r="D158" s="406"/>
      <c r="E158" s="407"/>
    </row>
    <row r="159" spans="4:5" s="392" customFormat="1" ht="12.75">
      <c r="D159" s="406"/>
      <c r="E159" s="407"/>
    </row>
    <row r="160" spans="4:5" s="392" customFormat="1" ht="12.75">
      <c r="D160" s="406"/>
      <c r="E160" s="407"/>
    </row>
    <row r="161" spans="4:5" s="392" customFormat="1" ht="12.75">
      <c r="D161" s="406"/>
      <c r="E161" s="407"/>
    </row>
    <row r="162" spans="4:5" s="392" customFormat="1" ht="12.75">
      <c r="D162" s="406"/>
      <c r="E162" s="407"/>
    </row>
    <row r="163" spans="4:5" s="392" customFormat="1" ht="12.75">
      <c r="D163" s="406"/>
      <c r="E163" s="407"/>
    </row>
    <row r="164" spans="4:5" s="392" customFormat="1" ht="12.75">
      <c r="D164" s="406"/>
      <c r="E164" s="407"/>
    </row>
    <row r="165" spans="4:5" s="392" customFormat="1" ht="12.75">
      <c r="D165" s="406"/>
      <c r="E165" s="407"/>
    </row>
    <row r="166" spans="4:5" s="392" customFormat="1" ht="12.75">
      <c r="D166" s="406"/>
      <c r="E166" s="407"/>
    </row>
    <row r="167" spans="4:5" s="392" customFormat="1" ht="12.75">
      <c r="D167" s="406"/>
      <c r="E167" s="407"/>
    </row>
    <row r="168" spans="4:5" s="392" customFormat="1" ht="12.75">
      <c r="D168" s="406"/>
      <c r="E168" s="407"/>
    </row>
    <row r="169" spans="4:5" s="392" customFormat="1" ht="12.75">
      <c r="D169" s="406"/>
      <c r="E169" s="407"/>
    </row>
    <row r="170" spans="4:5" s="392" customFormat="1" ht="12.75">
      <c r="D170" s="406"/>
      <c r="E170" s="407"/>
    </row>
    <row r="171" spans="4:5" s="392" customFormat="1" ht="12.75">
      <c r="D171" s="406"/>
      <c r="E171" s="407"/>
    </row>
    <row r="172" spans="4:5" s="392" customFormat="1" ht="12.75">
      <c r="D172" s="406"/>
      <c r="E172" s="407"/>
    </row>
    <row r="173" spans="4:5" s="392" customFormat="1" ht="12.75">
      <c r="D173" s="406"/>
      <c r="E173" s="407"/>
    </row>
    <row r="174" spans="4:5" s="392" customFormat="1" ht="12.75">
      <c r="D174" s="406"/>
      <c r="E174" s="407"/>
    </row>
    <row r="175" spans="4:5" s="392" customFormat="1" ht="12.75">
      <c r="D175" s="406"/>
      <c r="E175" s="407"/>
    </row>
    <row r="176" spans="4:5" s="392" customFormat="1" ht="12.75">
      <c r="D176" s="406"/>
      <c r="E176" s="407"/>
    </row>
    <row r="177" spans="4:5" s="392" customFormat="1" ht="12.75">
      <c r="D177" s="406"/>
      <c r="E177" s="407"/>
    </row>
    <row r="178" spans="4:5" s="392" customFormat="1" ht="12.75">
      <c r="D178" s="406"/>
      <c r="E178" s="407"/>
    </row>
    <row r="179" spans="4:5" s="392" customFormat="1" ht="12.75">
      <c r="D179" s="406"/>
      <c r="E179" s="407"/>
    </row>
    <row r="180" spans="4:5" s="392" customFormat="1" ht="12.75">
      <c r="D180" s="406"/>
      <c r="E180" s="407"/>
    </row>
    <row r="181" spans="4:5" s="392" customFormat="1" ht="12.75">
      <c r="D181" s="406"/>
      <c r="E181" s="407"/>
    </row>
    <row r="182" spans="4:5" s="392" customFormat="1" ht="12.75">
      <c r="D182" s="406"/>
      <c r="E182" s="407"/>
    </row>
    <row r="183" spans="4:5" s="392" customFormat="1" ht="12.75">
      <c r="D183" s="406"/>
      <c r="E183" s="407"/>
    </row>
    <row r="184" spans="4:5" s="392" customFormat="1" ht="12.75">
      <c r="D184" s="406"/>
      <c r="E184" s="407"/>
    </row>
    <row r="185" spans="4:5" s="392" customFormat="1" ht="12.75">
      <c r="D185" s="406"/>
      <c r="E185" s="407"/>
    </row>
    <row r="186" spans="4:5" s="392" customFormat="1" ht="12.75">
      <c r="D186" s="406"/>
      <c r="E186" s="407"/>
    </row>
    <row r="187" spans="4:5" s="392" customFormat="1" ht="12.75">
      <c r="D187" s="406"/>
      <c r="E187" s="407"/>
    </row>
    <row r="188" spans="4:5" s="392" customFormat="1" ht="12.75">
      <c r="D188" s="406"/>
      <c r="E188" s="407"/>
    </row>
    <row r="189" spans="4:5" s="392" customFormat="1" ht="12.75">
      <c r="D189" s="406"/>
      <c r="E189" s="407"/>
    </row>
    <row r="190" spans="4:5" s="392" customFormat="1" ht="12.75">
      <c r="D190" s="406"/>
      <c r="E190" s="407"/>
    </row>
    <row r="191" spans="4:5" s="392" customFormat="1" ht="12.75">
      <c r="D191" s="406"/>
      <c r="E191" s="407"/>
    </row>
    <row r="192" spans="4:5" s="392" customFormat="1" ht="12.75">
      <c r="D192" s="406"/>
      <c r="E192" s="407"/>
    </row>
    <row r="193" spans="4:5" s="392" customFormat="1" ht="12.75">
      <c r="D193" s="406"/>
      <c r="E193" s="407"/>
    </row>
    <row r="194" spans="4:5" s="392" customFormat="1" ht="12.75">
      <c r="D194" s="406"/>
      <c r="E194" s="407"/>
    </row>
    <row r="195" spans="4:5" s="392" customFormat="1" ht="12.75">
      <c r="D195" s="406"/>
      <c r="E195" s="407"/>
    </row>
    <row r="196" spans="4:5" s="392" customFormat="1" ht="12.75">
      <c r="D196" s="406"/>
      <c r="E196" s="407"/>
    </row>
    <row r="197" spans="4:5" s="392" customFormat="1" ht="12.75">
      <c r="D197" s="406"/>
      <c r="E197" s="407"/>
    </row>
    <row r="198" spans="4:5" s="392" customFormat="1" ht="12.75">
      <c r="D198" s="406"/>
      <c r="E198" s="407"/>
    </row>
    <row r="199" spans="4:5" s="392" customFormat="1" ht="12.75">
      <c r="D199" s="406"/>
      <c r="E199" s="407"/>
    </row>
    <row r="200" spans="4:5" s="392" customFormat="1" ht="12.75">
      <c r="D200" s="406"/>
      <c r="E200" s="407"/>
    </row>
    <row r="201" spans="4:5" s="392" customFormat="1" ht="12.75">
      <c r="D201" s="406"/>
      <c r="E201" s="407"/>
    </row>
    <row r="202" spans="4:5" s="392" customFormat="1" ht="12.75">
      <c r="D202" s="406"/>
      <c r="E202" s="407"/>
    </row>
    <row r="203" spans="4:5" s="392" customFormat="1" ht="12.75">
      <c r="D203" s="406"/>
      <c r="E203" s="407"/>
    </row>
    <row r="204" spans="4:5" s="392" customFormat="1" ht="12.75">
      <c r="D204" s="406"/>
      <c r="E204" s="407"/>
    </row>
    <row r="205" spans="4:5" s="392" customFormat="1" ht="12.75">
      <c r="D205" s="406"/>
      <c r="E205" s="407"/>
    </row>
    <row r="206" spans="4:5" s="392" customFormat="1" ht="12.75">
      <c r="D206" s="406"/>
      <c r="E206" s="407"/>
    </row>
    <row r="207" spans="4:5" s="392" customFormat="1" ht="12.75">
      <c r="D207" s="406"/>
      <c r="E207" s="407"/>
    </row>
    <row r="208" spans="4:5" s="392" customFormat="1" ht="12.75">
      <c r="D208" s="406"/>
      <c r="E208" s="407"/>
    </row>
    <row r="209" spans="4:5" s="392" customFormat="1" ht="12.75">
      <c r="D209" s="406"/>
      <c r="E209" s="407"/>
    </row>
    <row r="210" spans="4:5" s="392" customFormat="1" ht="12.75">
      <c r="D210" s="406"/>
      <c r="E210" s="407"/>
    </row>
    <row r="211" spans="4:5" s="392" customFormat="1" ht="12.75">
      <c r="D211" s="406"/>
      <c r="E211" s="407"/>
    </row>
    <row r="212" spans="4:5" s="392" customFormat="1" ht="12.75">
      <c r="D212" s="406"/>
      <c r="E212" s="407"/>
    </row>
    <row r="213" spans="4:5" s="392" customFormat="1" ht="12.75">
      <c r="D213" s="406"/>
      <c r="E213" s="407"/>
    </row>
    <row r="214" spans="4:5" s="392" customFormat="1" ht="12.75">
      <c r="D214" s="406"/>
      <c r="E214" s="407"/>
    </row>
    <row r="215" spans="4:5" s="392" customFormat="1" ht="12.75">
      <c r="D215" s="406"/>
      <c r="E215" s="407"/>
    </row>
    <row r="216" spans="4:5" s="392" customFormat="1" ht="12.75">
      <c r="D216" s="406"/>
      <c r="E216" s="407"/>
    </row>
    <row r="217" spans="4:5" s="392" customFormat="1" ht="12.75">
      <c r="D217" s="406"/>
      <c r="E217" s="407"/>
    </row>
    <row r="218" spans="4:5" s="392" customFormat="1" ht="12.75">
      <c r="D218" s="406"/>
      <c r="E218" s="407"/>
    </row>
    <row r="219" spans="4:5" s="392" customFormat="1" ht="12.75">
      <c r="D219" s="406"/>
      <c r="E219" s="407"/>
    </row>
    <row r="220" spans="4:5" s="392" customFormat="1" ht="12.75">
      <c r="D220" s="406"/>
      <c r="E220" s="407"/>
    </row>
    <row r="221" spans="4:5" s="392" customFormat="1" ht="12.75">
      <c r="D221" s="406"/>
      <c r="E221" s="407"/>
    </row>
    <row r="222" spans="4:5" s="392" customFormat="1" ht="12.75">
      <c r="D222" s="406"/>
      <c r="E222" s="407"/>
    </row>
    <row r="223" spans="4:5" s="392" customFormat="1" ht="12.75">
      <c r="D223" s="406"/>
      <c r="E223" s="407"/>
    </row>
    <row r="224" spans="4:5" s="392" customFormat="1" ht="12.75">
      <c r="D224" s="406"/>
      <c r="E224" s="407"/>
    </row>
    <row r="225" spans="4:5" s="392" customFormat="1" ht="12.75">
      <c r="D225" s="406"/>
      <c r="E225" s="407"/>
    </row>
    <row r="226" spans="4:5" s="392" customFormat="1" ht="12.75">
      <c r="D226" s="406"/>
      <c r="E226" s="407"/>
    </row>
    <row r="227" spans="4:5" s="392" customFormat="1" ht="12.75">
      <c r="D227" s="406"/>
      <c r="E227" s="407"/>
    </row>
    <row r="228" spans="4:5" s="392" customFormat="1" ht="12.75">
      <c r="D228" s="406"/>
      <c r="E228" s="407"/>
    </row>
    <row r="229" spans="4:5" s="392" customFormat="1" ht="12.75">
      <c r="D229" s="406"/>
      <c r="E229" s="407"/>
    </row>
    <row r="230" spans="4:5" s="392" customFormat="1" ht="12.75">
      <c r="D230" s="406"/>
      <c r="E230" s="407"/>
    </row>
    <row r="231" spans="4:5" s="392" customFormat="1" ht="12.75">
      <c r="D231" s="406"/>
      <c r="E231" s="407"/>
    </row>
    <row r="232" spans="4:5" s="392" customFormat="1" ht="12.75">
      <c r="D232" s="406"/>
      <c r="E232" s="407"/>
    </row>
    <row r="233" spans="4:5" s="392" customFormat="1" ht="12.75">
      <c r="D233" s="406"/>
      <c r="E233" s="407"/>
    </row>
    <row r="234" spans="4:5" s="392" customFormat="1" ht="12.75">
      <c r="D234" s="406"/>
      <c r="E234" s="407"/>
    </row>
    <row r="235" spans="4:5" s="392" customFormat="1" ht="12.75">
      <c r="D235" s="406"/>
      <c r="E235" s="407"/>
    </row>
    <row r="236" spans="4:5" s="392" customFormat="1" ht="12.75">
      <c r="D236" s="406"/>
      <c r="E236" s="407"/>
    </row>
    <row r="237" spans="4:5" s="392" customFormat="1" ht="12.75">
      <c r="D237" s="406"/>
      <c r="E237" s="407"/>
    </row>
    <row r="238" spans="4:5" s="392" customFormat="1" ht="12.75">
      <c r="D238" s="406"/>
      <c r="E238" s="407"/>
    </row>
    <row r="239" spans="4:5" s="392" customFormat="1" ht="12.75">
      <c r="D239" s="406"/>
      <c r="E239" s="407"/>
    </row>
    <row r="240" spans="4:5" s="392" customFormat="1" ht="12.75">
      <c r="D240" s="406"/>
      <c r="E240" s="407"/>
    </row>
    <row r="241" spans="4:5" s="392" customFormat="1" ht="12.75">
      <c r="D241" s="406"/>
      <c r="E241" s="407"/>
    </row>
    <row r="242" spans="4:5" s="392" customFormat="1" ht="12.75">
      <c r="D242" s="406"/>
      <c r="E242" s="407"/>
    </row>
    <row r="243" spans="4:5" s="392" customFormat="1" ht="12.75">
      <c r="D243" s="406"/>
      <c r="E243" s="407"/>
    </row>
    <row r="244" spans="4:5" s="392" customFormat="1" ht="12.75">
      <c r="D244" s="406"/>
      <c r="E244" s="407"/>
    </row>
    <row r="245" spans="4:5" s="392" customFormat="1" ht="12.75">
      <c r="D245" s="406"/>
      <c r="E245" s="407"/>
    </row>
    <row r="246" spans="4:5" s="392" customFormat="1" ht="12.75">
      <c r="D246" s="406"/>
      <c r="E246" s="407"/>
    </row>
    <row r="247" spans="4:5" s="392" customFormat="1" ht="12.75">
      <c r="D247" s="406"/>
      <c r="E247" s="407"/>
    </row>
    <row r="248" spans="4:5" s="392" customFormat="1" ht="12.75">
      <c r="D248" s="406"/>
      <c r="E248" s="407"/>
    </row>
    <row r="249" spans="4:5" s="392" customFormat="1" ht="12.75">
      <c r="D249" s="406"/>
      <c r="E249" s="407"/>
    </row>
    <row r="250" spans="4:5" s="392" customFormat="1" ht="12.75">
      <c r="D250" s="406"/>
      <c r="E250" s="407"/>
    </row>
    <row r="251" spans="4:5" s="392" customFormat="1" ht="12.75">
      <c r="D251" s="406"/>
      <c r="E251" s="407"/>
    </row>
    <row r="252" spans="4:5" s="392" customFormat="1" ht="12.75">
      <c r="D252" s="406"/>
      <c r="E252" s="407"/>
    </row>
    <row r="253" spans="4:5" s="392" customFormat="1" ht="12.75">
      <c r="D253" s="406"/>
      <c r="E253" s="407"/>
    </row>
    <row r="254" spans="4:5" s="392" customFormat="1" ht="12.75">
      <c r="D254" s="406"/>
      <c r="E254" s="407"/>
    </row>
    <row r="255" spans="4:5" s="392" customFormat="1" ht="12.75">
      <c r="D255" s="406"/>
      <c r="E255" s="407"/>
    </row>
    <row r="256" spans="4:5" s="392" customFormat="1" ht="12.75">
      <c r="D256" s="406"/>
      <c r="E256" s="407"/>
    </row>
    <row r="257" spans="4:5" s="392" customFormat="1" ht="12.75">
      <c r="D257" s="406"/>
      <c r="E257" s="407"/>
    </row>
    <row r="258" spans="4:5" s="392" customFormat="1" ht="12.75">
      <c r="D258" s="406"/>
      <c r="E258" s="407"/>
    </row>
    <row r="259" spans="4:5" s="392" customFormat="1" ht="12.75">
      <c r="D259" s="406"/>
      <c r="E259" s="407"/>
    </row>
    <row r="260" spans="4:5" s="392" customFormat="1" ht="12.75">
      <c r="D260" s="406"/>
      <c r="E260" s="407"/>
    </row>
    <row r="261" spans="4:5" s="392" customFormat="1" ht="12.75">
      <c r="D261" s="406"/>
      <c r="E261" s="407"/>
    </row>
    <row r="262" spans="4:5" s="392" customFormat="1" ht="12.75">
      <c r="D262" s="406"/>
      <c r="E262" s="407"/>
    </row>
    <row r="263" spans="4:5" s="392" customFormat="1" ht="12.75">
      <c r="D263" s="406"/>
      <c r="E263" s="407"/>
    </row>
    <row r="264" spans="4:5" s="392" customFormat="1" ht="12.75">
      <c r="D264" s="406"/>
      <c r="E264" s="407"/>
    </row>
    <row r="265" spans="4:5" s="392" customFormat="1" ht="12.75">
      <c r="D265" s="406"/>
      <c r="E265" s="407"/>
    </row>
    <row r="266" spans="4:5" s="392" customFormat="1" ht="12.75">
      <c r="D266" s="406"/>
      <c r="E266" s="407"/>
    </row>
    <row r="267" spans="4:5" s="392" customFormat="1" ht="12.75">
      <c r="D267" s="406"/>
      <c r="E267" s="407"/>
    </row>
    <row r="268" spans="4:5" s="392" customFormat="1" ht="12.75">
      <c r="D268" s="406"/>
      <c r="E268" s="407"/>
    </row>
    <row r="269" spans="4:5" s="392" customFormat="1" ht="12.75">
      <c r="D269" s="406"/>
      <c r="E269" s="407"/>
    </row>
    <row r="270" spans="4:5" s="392" customFormat="1" ht="12.75">
      <c r="D270" s="406"/>
      <c r="E270" s="407"/>
    </row>
    <row r="271" spans="4:5" s="392" customFormat="1" ht="12.75">
      <c r="D271" s="406"/>
      <c r="E271" s="407"/>
    </row>
    <row r="272" spans="4:5" s="392" customFormat="1" ht="12.75">
      <c r="D272" s="406"/>
      <c r="E272" s="407"/>
    </row>
    <row r="273" spans="4:5" s="392" customFormat="1" ht="12.75">
      <c r="D273" s="406"/>
      <c r="E273" s="407"/>
    </row>
    <row r="274" spans="4:5" s="392" customFormat="1" ht="12.75">
      <c r="D274" s="406"/>
      <c r="E274" s="407"/>
    </row>
    <row r="275" spans="4:5" s="392" customFormat="1" ht="12.75">
      <c r="D275" s="406"/>
      <c r="E275" s="407"/>
    </row>
    <row r="276" spans="4:5" s="392" customFormat="1" ht="12.75">
      <c r="D276" s="406"/>
      <c r="E276" s="407"/>
    </row>
    <row r="277" spans="4:5" s="392" customFormat="1" ht="12.75">
      <c r="D277" s="406"/>
      <c r="E277" s="407"/>
    </row>
    <row r="278" spans="4:5" s="392" customFormat="1" ht="12.75">
      <c r="D278" s="406"/>
      <c r="E278" s="407"/>
    </row>
    <row r="279" spans="4:5" s="392" customFormat="1" ht="12.75">
      <c r="D279" s="406"/>
      <c r="E279" s="407"/>
    </row>
    <row r="280" spans="4:5" s="392" customFormat="1" ht="12.75">
      <c r="D280" s="406"/>
      <c r="E280" s="407"/>
    </row>
    <row r="281" spans="4:5" s="392" customFormat="1" ht="12.75">
      <c r="D281" s="406"/>
      <c r="E281" s="407"/>
    </row>
    <row r="282" spans="4:5" s="392" customFormat="1" ht="12.75">
      <c r="D282" s="406"/>
      <c r="E282" s="407"/>
    </row>
    <row r="283" spans="4:5" s="392" customFormat="1" ht="12.75">
      <c r="D283" s="406"/>
      <c r="E283" s="407"/>
    </row>
    <row r="284" spans="4:5" s="392" customFormat="1" ht="12.75">
      <c r="D284" s="406"/>
      <c r="E284" s="407"/>
    </row>
    <row r="285" spans="4:5" s="392" customFormat="1" ht="12.75">
      <c r="D285" s="406"/>
      <c r="E285" s="407"/>
    </row>
    <row r="286" spans="4:5" s="392" customFormat="1" ht="12.75">
      <c r="D286" s="406"/>
      <c r="E286" s="407"/>
    </row>
    <row r="287" spans="4:5" s="392" customFormat="1" ht="12.75">
      <c r="D287" s="406"/>
      <c r="E287" s="407"/>
    </row>
    <row r="288" spans="4:5" s="392" customFormat="1" ht="12.75">
      <c r="D288" s="406"/>
      <c r="E288" s="407"/>
    </row>
    <row r="289" spans="4:5" s="392" customFormat="1" ht="12.75">
      <c r="D289" s="406"/>
      <c r="E289" s="407"/>
    </row>
    <row r="290" spans="4:5" s="392" customFormat="1" ht="12.75">
      <c r="D290" s="406"/>
      <c r="E290" s="407"/>
    </row>
    <row r="291" spans="4:5" s="392" customFormat="1" ht="12.75">
      <c r="D291" s="406"/>
      <c r="E291" s="407"/>
    </row>
    <row r="292" spans="4:5" s="392" customFormat="1" ht="12.75">
      <c r="D292" s="406"/>
      <c r="E292" s="407"/>
    </row>
    <row r="293" spans="4:5" s="392" customFormat="1" ht="12.75">
      <c r="D293" s="406"/>
      <c r="E293" s="407"/>
    </row>
    <row r="294" spans="4:5" s="392" customFormat="1" ht="12.75">
      <c r="D294" s="406"/>
      <c r="E294" s="407"/>
    </row>
    <row r="295" spans="4:5" s="392" customFormat="1" ht="12.75">
      <c r="D295" s="406"/>
      <c r="E295" s="407"/>
    </row>
    <row r="296" spans="4:5" s="392" customFormat="1" ht="12.75">
      <c r="D296" s="406"/>
      <c r="E296" s="407"/>
    </row>
    <row r="297" spans="4:5" s="392" customFormat="1" ht="12.75">
      <c r="D297" s="406"/>
      <c r="E297" s="407"/>
    </row>
    <row r="298" spans="4:5" s="392" customFormat="1" ht="12.75">
      <c r="D298" s="406"/>
      <c r="E298" s="407"/>
    </row>
    <row r="299" spans="4:5" s="392" customFormat="1" ht="12.75">
      <c r="D299" s="406"/>
      <c r="E299" s="407"/>
    </row>
    <row r="300" spans="4:5" s="392" customFormat="1" ht="12.75">
      <c r="D300" s="406"/>
      <c r="E300" s="407"/>
    </row>
    <row r="301" spans="4:5" s="392" customFormat="1" ht="12.75">
      <c r="D301" s="406"/>
      <c r="E301" s="407"/>
    </row>
    <row r="302" spans="4:5" s="392" customFormat="1" ht="12.75">
      <c r="D302" s="406"/>
      <c r="E302" s="407"/>
    </row>
    <row r="303" spans="4:5" s="392" customFormat="1" ht="12.75">
      <c r="D303" s="406"/>
      <c r="E303" s="407"/>
    </row>
    <row r="304" spans="4:5" s="392" customFormat="1" ht="12.75">
      <c r="D304" s="406"/>
      <c r="E304" s="407"/>
    </row>
    <row r="305" spans="4:5" s="392" customFormat="1" ht="12.75">
      <c r="D305" s="406"/>
      <c r="E305" s="407"/>
    </row>
    <row r="306" spans="4:5" s="392" customFormat="1" ht="12.75">
      <c r="D306" s="406"/>
      <c r="E306" s="407"/>
    </row>
    <row r="307" spans="4:5" s="392" customFormat="1" ht="12.75">
      <c r="D307" s="406"/>
      <c r="E307" s="407"/>
    </row>
    <row r="308" spans="4:5" s="392" customFormat="1" ht="12.75">
      <c r="D308" s="406"/>
      <c r="E308" s="407"/>
    </row>
    <row r="309" spans="4:5" s="392" customFormat="1" ht="12.75">
      <c r="D309" s="406"/>
      <c r="E309" s="407"/>
    </row>
    <row r="310" spans="4:5" s="392" customFormat="1" ht="12.75">
      <c r="D310" s="406"/>
      <c r="E310" s="407"/>
    </row>
    <row r="311" spans="4:5" s="392" customFormat="1" ht="12.75">
      <c r="D311" s="406"/>
      <c r="E311" s="407"/>
    </row>
    <row r="312" spans="4:5" s="392" customFormat="1" ht="12.75">
      <c r="D312" s="406"/>
      <c r="E312" s="407"/>
    </row>
    <row r="313" spans="4:5" s="392" customFormat="1" ht="12.75">
      <c r="D313" s="406"/>
      <c r="E313" s="407"/>
    </row>
    <row r="314" spans="4:5" s="392" customFormat="1" ht="12.75">
      <c r="D314" s="406"/>
      <c r="E314" s="407"/>
    </row>
    <row r="315" spans="4:5" s="392" customFormat="1" ht="12.75">
      <c r="D315" s="406"/>
      <c r="E315" s="407"/>
    </row>
    <row r="316" spans="4:5" s="392" customFormat="1" ht="12.75">
      <c r="D316" s="406"/>
      <c r="E316" s="407"/>
    </row>
    <row r="317" spans="4:5" s="392" customFormat="1" ht="12.75">
      <c r="D317" s="406"/>
      <c r="E317" s="407"/>
    </row>
    <row r="318" spans="4:5" s="392" customFormat="1" ht="12.75">
      <c r="D318" s="406"/>
      <c r="E318" s="407"/>
    </row>
    <row r="319" spans="4:5" s="392" customFormat="1" ht="12.75">
      <c r="D319" s="406"/>
      <c r="E319" s="407"/>
    </row>
    <row r="320" spans="4:5" s="392" customFormat="1" ht="12.75">
      <c r="D320" s="406"/>
      <c r="E320" s="407"/>
    </row>
    <row r="321" spans="4:5" s="392" customFormat="1" ht="12.75">
      <c r="D321" s="406"/>
      <c r="E321" s="407"/>
    </row>
    <row r="322" spans="4:5" s="392" customFormat="1" ht="12.75">
      <c r="D322" s="406"/>
      <c r="E322" s="407"/>
    </row>
    <row r="323" spans="4:5" s="392" customFormat="1" ht="12.75">
      <c r="D323" s="406"/>
      <c r="E323" s="407"/>
    </row>
    <row r="324" spans="4:5" s="392" customFormat="1" ht="12.75">
      <c r="D324" s="406"/>
      <c r="E324" s="407"/>
    </row>
    <row r="325" spans="4:5" s="392" customFormat="1" ht="12.75">
      <c r="D325" s="406"/>
      <c r="E325" s="407"/>
    </row>
    <row r="326" spans="4:5" s="392" customFormat="1" ht="12.75">
      <c r="D326" s="406"/>
      <c r="E326" s="407"/>
    </row>
    <row r="327" spans="4:5" s="392" customFormat="1" ht="12.75">
      <c r="D327" s="406"/>
      <c r="E327" s="407"/>
    </row>
    <row r="328" spans="4:5" s="392" customFormat="1" ht="12.75">
      <c r="D328" s="406"/>
      <c r="E328" s="407"/>
    </row>
    <row r="329" spans="4:5" s="392" customFormat="1" ht="12.75">
      <c r="D329" s="406"/>
      <c r="E329" s="407"/>
    </row>
    <row r="330" spans="4:5" s="392" customFormat="1" ht="12.75">
      <c r="D330" s="406"/>
      <c r="E330" s="407"/>
    </row>
    <row r="331" spans="4:5" s="392" customFormat="1" ht="12.75">
      <c r="D331" s="406"/>
      <c r="E331" s="407"/>
    </row>
    <row r="332" spans="4:5" s="392" customFormat="1" ht="12.75">
      <c r="D332" s="406"/>
      <c r="E332" s="407"/>
    </row>
    <row r="333" spans="4:5" s="392" customFormat="1" ht="12.75">
      <c r="D333" s="406"/>
      <c r="E333" s="407"/>
    </row>
    <row r="334" spans="4:5" s="392" customFormat="1" ht="12.75">
      <c r="D334" s="406"/>
      <c r="E334" s="407"/>
    </row>
    <row r="335" spans="4:5" s="392" customFormat="1" ht="12.75">
      <c r="D335" s="406"/>
      <c r="E335" s="407"/>
    </row>
    <row r="336" spans="4:5" s="392" customFormat="1" ht="12.75">
      <c r="D336" s="406"/>
      <c r="E336" s="407"/>
    </row>
    <row r="337" spans="4:5" s="392" customFormat="1" ht="12.75">
      <c r="D337" s="406"/>
      <c r="E337" s="407"/>
    </row>
    <row r="338" spans="4:5" s="392" customFormat="1" ht="12.75">
      <c r="D338" s="406"/>
      <c r="E338" s="407"/>
    </row>
    <row r="339" spans="4:5" s="392" customFormat="1" ht="12.75">
      <c r="D339" s="406"/>
      <c r="E339" s="407"/>
    </row>
    <row r="340" spans="4:5" s="392" customFormat="1" ht="12.75">
      <c r="D340" s="406"/>
      <c r="E340" s="407"/>
    </row>
    <row r="341" spans="4:5" s="392" customFormat="1" ht="12.75">
      <c r="D341" s="406"/>
      <c r="E341" s="407"/>
    </row>
    <row r="342" spans="4:5" s="392" customFormat="1" ht="12.75">
      <c r="D342" s="406"/>
      <c r="E342" s="407"/>
    </row>
    <row r="343" spans="4:5" s="392" customFormat="1" ht="12.75">
      <c r="D343" s="406"/>
      <c r="E343" s="407"/>
    </row>
    <row r="344" spans="4:5" s="392" customFormat="1" ht="12.75">
      <c r="D344" s="406"/>
      <c r="E344" s="407"/>
    </row>
    <row r="345" spans="4:5" s="392" customFormat="1" ht="12.75">
      <c r="D345" s="406"/>
      <c r="E345" s="407"/>
    </row>
    <row r="346" spans="4:5" s="392" customFormat="1" ht="12.75">
      <c r="D346" s="406"/>
      <c r="E346" s="407"/>
    </row>
    <row r="347" spans="4:5" s="392" customFormat="1" ht="12.75">
      <c r="D347" s="406"/>
      <c r="E347" s="407"/>
    </row>
    <row r="348" spans="4:5" s="392" customFormat="1" ht="12.75">
      <c r="D348" s="406"/>
      <c r="E348" s="407"/>
    </row>
    <row r="349" spans="4:5" s="392" customFormat="1" ht="12.75">
      <c r="D349" s="406"/>
      <c r="E349" s="407"/>
    </row>
    <row r="350" spans="4:5" s="392" customFormat="1" ht="12.75">
      <c r="D350" s="406"/>
      <c r="E350" s="407"/>
    </row>
    <row r="351" spans="4:5" s="392" customFormat="1" ht="12.75">
      <c r="D351" s="406"/>
      <c r="E351" s="407"/>
    </row>
    <row r="352" spans="4:5" s="392" customFormat="1" ht="12.75">
      <c r="D352" s="406"/>
      <c r="E352" s="407"/>
    </row>
    <row r="353" spans="4:5" s="392" customFormat="1" ht="12.75">
      <c r="D353" s="406"/>
      <c r="E353" s="407"/>
    </row>
    <row r="354" spans="4:5" s="392" customFormat="1" ht="12.75">
      <c r="D354" s="406"/>
      <c r="E354" s="407"/>
    </row>
    <row r="355" spans="4:5" s="392" customFormat="1" ht="12.75">
      <c r="D355" s="406"/>
      <c r="E355" s="407"/>
    </row>
    <row r="356" spans="4:5" s="392" customFormat="1" ht="12.75">
      <c r="D356" s="406"/>
      <c r="E356" s="407"/>
    </row>
    <row r="357" spans="4:5" s="392" customFormat="1" ht="12.75">
      <c r="D357" s="406"/>
      <c r="E357" s="407"/>
    </row>
    <row r="358" spans="4:5" s="392" customFormat="1" ht="12.75">
      <c r="D358" s="406"/>
      <c r="E358" s="407"/>
    </row>
    <row r="359" spans="4:5" s="392" customFormat="1" ht="12.75">
      <c r="D359" s="406"/>
      <c r="E359" s="407"/>
    </row>
    <row r="360" spans="4:5" s="392" customFormat="1" ht="12.75">
      <c r="D360" s="406"/>
      <c r="E360" s="407"/>
    </row>
    <row r="361" spans="4:5" s="392" customFormat="1" ht="12.75">
      <c r="D361" s="406"/>
      <c r="E361" s="407"/>
    </row>
    <row r="362" spans="4:5" s="392" customFormat="1" ht="12.75">
      <c r="D362" s="406"/>
      <c r="E362" s="407"/>
    </row>
    <row r="363" spans="4:5" s="392" customFormat="1" ht="12.75">
      <c r="D363" s="406"/>
      <c r="E363" s="407"/>
    </row>
    <row r="364" spans="4:5" s="392" customFormat="1" ht="12.75">
      <c r="D364" s="406"/>
      <c r="E364" s="407"/>
    </row>
    <row r="365" spans="4:5" s="392" customFormat="1" ht="12.75">
      <c r="D365" s="406"/>
      <c r="E365" s="407"/>
    </row>
    <row r="366" spans="4:5" s="392" customFormat="1" ht="12.75">
      <c r="D366" s="406"/>
      <c r="E366" s="407"/>
    </row>
    <row r="367" spans="4:5" s="392" customFormat="1" ht="12.75">
      <c r="D367" s="406"/>
      <c r="E367" s="407"/>
    </row>
    <row r="368" spans="4:5" s="392" customFormat="1" ht="12.75">
      <c r="D368" s="406"/>
      <c r="E368" s="407"/>
    </row>
    <row r="369" spans="4:5" s="392" customFormat="1" ht="12.75">
      <c r="D369" s="406"/>
      <c r="E369" s="407"/>
    </row>
    <row r="370" spans="4:5" s="392" customFormat="1" ht="12.75">
      <c r="D370" s="406"/>
      <c r="E370" s="407"/>
    </row>
    <row r="371" spans="4:5" s="392" customFormat="1" ht="12.75">
      <c r="D371" s="406"/>
      <c r="E371" s="407"/>
    </row>
    <row r="372" spans="4:5" s="392" customFormat="1" ht="12.75">
      <c r="D372" s="406"/>
      <c r="E372" s="407"/>
    </row>
    <row r="373" spans="4:5" s="392" customFormat="1" ht="12.75">
      <c r="D373" s="406"/>
      <c r="E373" s="407"/>
    </row>
    <row r="374" spans="4:5" s="392" customFormat="1" ht="12.75">
      <c r="D374" s="406"/>
      <c r="E374" s="407"/>
    </row>
    <row r="375" spans="4:5" s="392" customFormat="1" ht="12.75">
      <c r="D375" s="406"/>
      <c r="E375" s="407"/>
    </row>
    <row r="376" spans="4:5" s="392" customFormat="1" ht="12.75">
      <c r="D376" s="406"/>
      <c r="E376" s="407"/>
    </row>
    <row r="377" spans="4:5" s="392" customFormat="1" ht="12.75">
      <c r="D377" s="406"/>
      <c r="E377" s="407"/>
    </row>
    <row r="378" spans="4:5" s="392" customFormat="1" ht="12.75">
      <c r="D378" s="406"/>
      <c r="E378" s="407"/>
    </row>
    <row r="379" spans="4:5" s="392" customFormat="1" ht="12.75">
      <c r="D379" s="406"/>
      <c r="E379" s="407"/>
    </row>
    <row r="380" spans="4:5" s="392" customFormat="1" ht="12.75">
      <c r="D380" s="406"/>
      <c r="E380" s="407"/>
    </row>
    <row r="381" spans="4:5" s="392" customFormat="1" ht="12.75">
      <c r="D381" s="406"/>
      <c r="E381" s="407"/>
    </row>
    <row r="382" spans="4:5" s="392" customFormat="1" ht="12.75">
      <c r="D382" s="406"/>
      <c r="E382" s="407"/>
    </row>
    <row r="383" spans="4:5" s="392" customFormat="1" ht="12.75">
      <c r="D383" s="406"/>
      <c r="E383" s="407"/>
    </row>
    <row r="384" spans="4:5" s="392" customFormat="1" ht="12.75">
      <c r="D384" s="406"/>
      <c r="E384" s="407"/>
    </row>
    <row r="385" spans="4:5" s="392" customFormat="1" ht="12.75">
      <c r="D385" s="406"/>
      <c r="E385" s="407"/>
    </row>
    <row r="386" spans="4:5" s="392" customFormat="1" ht="12.75">
      <c r="D386" s="406"/>
      <c r="E386" s="407"/>
    </row>
    <row r="387" spans="4:5" s="392" customFormat="1" ht="12.75">
      <c r="D387" s="406"/>
      <c r="E387" s="407"/>
    </row>
    <row r="388" spans="4:5" s="392" customFormat="1" ht="12.75">
      <c r="D388" s="406"/>
      <c r="E388" s="407"/>
    </row>
    <row r="389" spans="4:5" s="392" customFormat="1" ht="12.75">
      <c r="D389" s="406"/>
      <c r="E389" s="407"/>
    </row>
    <row r="390" spans="4:5" s="392" customFormat="1" ht="12.75">
      <c r="D390" s="406"/>
      <c r="E390" s="407"/>
    </row>
    <row r="391" spans="4:5" s="392" customFormat="1" ht="12.75">
      <c r="D391" s="406"/>
      <c r="E391" s="407"/>
    </row>
    <row r="392" spans="4:5" s="392" customFormat="1" ht="12.75">
      <c r="D392" s="406"/>
      <c r="E392" s="407"/>
    </row>
    <row r="393" spans="4:5" s="392" customFormat="1" ht="12.75">
      <c r="D393" s="406"/>
      <c r="E393" s="407"/>
    </row>
    <row r="394" spans="4:5" s="392" customFormat="1" ht="12.75">
      <c r="D394" s="406"/>
      <c r="E394" s="407"/>
    </row>
    <row r="395" spans="4:5" s="392" customFormat="1" ht="12.75">
      <c r="D395" s="406"/>
      <c r="E395" s="407"/>
    </row>
    <row r="396" spans="4:5" s="392" customFormat="1" ht="12.75">
      <c r="D396" s="406"/>
      <c r="E396" s="407"/>
    </row>
    <row r="397" spans="4:5" s="392" customFormat="1" ht="12.75">
      <c r="D397" s="406"/>
      <c r="E397" s="407"/>
    </row>
    <row r="398" spans="4:5" s="392" customFormat="1" ht="12.75">
      <c r="D398" s="406"/>
      <c r="E398" s="407"/>
    </row>
    <row r="399" spans="4:5" s="392" customFormat="1" ht="12.75">
      <c r="D399" s="406"/>
      <c r="E399" s="407"/>
    </row>
    <row r="400" spans="4:5" s="392" customFormat="1" ht="12.75">
      <c r="D400" s="406"/>
      <c r="E400" s="407"/>
    </row>
    <row r="401" spans="4:5" s="392" customFormat="1" ht="12.75">
      <c r="D401" s="406"/>
      <c r="E401" s="407"/>
    </row>
    <row r="402" spans="4:5" s="392" customFormat="1" ht="12.75">
      <c r="D402" s="406"/>
      <c r="E402" s="407"/>
    </row>
    <row r="403" spans="4:5" s="392" customFormat="1" ht="12.75">
      <c r="D403" s="406"/>
      <c r="E403" s="407"/>
    </row>
    <row r="404" spans="4:5" s="392" customFormat="1" ht="12.75">
      <c r="D404" s="406"/>
      <c r="E404" s="407"/>
    </row>
    <row r="405" spans="4:5" s="392" customFormat="1" ht="12.75">
      <c r="D405" s="406"/>
      <c r="E405" s="407"/>
    </row>
    <row r="406" spans="4:5" s="392" customFormat="1" ht="12.75">
      <c r="D406" s="406"/>
      <c r="E406" s="407"/>
    </row>
    <row r="407" spans="4:5" s="392" customFormat="1" ht="12.75">
      <c r="D407" s="406"/>
      <c r="E407" s="407"/>
    </row>
    <row r="408" spans="4:5" s="392" customFormat="1" ht="12.75">
      <c r="D408" s="406"/>
      <c r="E408" s="407"/>
    </row>
    <row r="409" spans="4:5" s="392" customFormat="1" ht="12.75">
      <c r="D409" s="406"/>
      <c r="E409" s="407"/>
    </row>
    <row r="410" spans="4:5" s="392" customFormat="1" ht="12.75">
      <c r="D410" s="406"/>
      <c r="E410" s="407"/>
    </row>
    <row r="411" spans="4:5" s="392" customFormat="1" ht="12.75">
      <c r="D411" s="406"/>
      <c r="E411" s="407"/>
    </row>
    <row r="412" spans="4:5" s="392" customFormat="1" ht="12.75">
      <c r="D412" s="406"/>
      <c r="E412" s="407"/>
    </row>
    <row r="413" spans="4:5" s="392" customFormat="1" ht="12.75">
      <c r="D413" s="406"/>
      <c r="E413" s="407"/>
    </row>
    <row r="414" spans="4:5" s="392" customFormat="1" ht="12.75">
      <c r="D414" s="406"/>
      <c r="E414" s="407"/>
    </row>
    <row r="415" spans="4:5" s="392" customFormat="1" ht="12.75">
      <c r="D415" s="406"/>
      <c r="E415" s="407"/>
    </row>
    <row r="416" spans="4:5" s="392" customFormat="1" ht="12.75">
      <c r="D416" s="406"/>
      <c r="E416" s="407"/>
    </row>
    <row r="417" spans="4:5" s="392" customFormat="1" ht="12.75">
      <c r="D417" s="406"/>
      <c r="E417" s="407"/>
    </row>
    <row r="418" spans="4:5" s="392" customFormat="1" ht="12.75">
      <c r="D418" s="406"/>
      <c r="E418" s="407"/>
    </row>
    <row r="419" spans="4:5" s="392" customFormat="1" ht="12.75">
      <c r="D419" s="406"/>
      <c r="E419" s="407"/>
    </row>
    <row r="420" spans="4:5" s="392" customFormat="1" ht="12.75">
      <c r="D420" s="406"/>
      <c r="E420" s="407"/>
    </row>
    <row r="421" spans="4:5" s="392" customFormat="1" ht="12.75">
      <c r="D421" s="406"/>
      <c r="E421" s="407"/>
    </row>
    <row r="422" spans="4:5" s="392" customFormat="1" ht="12.75">
      <c r="D422" s="406"/>
      <c r="E422" s="407"/>
    </row>
    <row r="423" spans="4:5" s="392" customFormat="1" ht="12.75">
      <c r="D423" s="406"/>
      <c r="E423" s="407"/>
    </row>
    <row r="424" spans="4:5" s="392" customFormat="1" ht="12.75">
      <c r="D424" s="406"/>
      <c r="E424" s="407"/>
    </row>
    <row r="425" spans="4:5" s="392" customFormat="1" ht="12.75">
      <c r="D425" s="406"/>
      <c r="E425" s="407"/>
    </row>
    <row r="426" spans="4:5" s="392" customFormat="1" ht="12.75">
      <c r="D426" s="406"/>
      <c r="E426" s="407"/>
    </row>
    <row r="427" spans="4:5" s="392" customFormat="1" ht="12.75">
      <c r="D427" s="406"/>
      <c r="E427" s="407"/>
    </row>
    <row r="428" spans="4:5" s="392" customFormat="1" ht="12.75">
      <c r="D428" s="406"/>
      <c r="E428" s="407"/>
    </row>
    <row r="429" spans="4:5" s="392" customFormat="1" ht="12.75">
      <c r="D429" s="406"/>
      <c r="E429" s="407"/>
    </row>
    <row r="430" spans="4:5" s="392" customFormat="1" ht="12.75">
      <c r="D430" s="406"/>
      <c r="E430" s="407"/>
    </row>
    <row r="431" spans="4:5" s="392" customFormat="1" ht="12.75">
      <c r="D431" s="406"/>
      <c r="E431" s="407"/>
    </row>
    <row r="432" spans="4:5" s="392" customFormat="1" ht="12.75">
      <c r="D432" s="406"/>
      <c r="E432" s="407"/>
    </row>
    <row r="433" spans="4:5" s="392" customFormat="1" ht="12.75">
      <c r="D433" s="406"/>
      <c r="E433" s="407"/>
    </row>
    <row r="434" spans="4:5" s="392" customFormat="1" ht="12.75">
      <c r="D434" s="406"/>
      <c r="E434" s="407"/>
    </row>
    <row r="435" spans="4:5" s="392" customFormat="1" ht="12.75">
      <c r="D435" s="406"/>
      <c r="E435" s="407"/>
    </row>
    <row r="436" spans="4:5" s="392" customFormat="1" ht="12.75">
      <c r="D436" s="406"/>
      <c r="E436" s="407"/>
    </row>
    <row r="437" spans="4:5" s="392" customFormat="1" ht="12.75">
      <c r="D437" s="406"/>
      <c r="E437" s="407"/>
    </row>
    <row r="438" spans="4:5" s="392" customFormat="1" ht="12.75">
      <c r="D438" s="406"/>
      <c r="E438" s="407"/>
    </row>
    <row r="439" spans="4:5" s="392" customFormat="1" ht="12.75">
      <c r="D439" s="406"/>
      <c r="E439" s="407"/>
    </row>
    <row r="440" spans="4:5" s="392" customFormat="1" ht="12.75">
      <c r="D440" s="406"/>
      <c r="E440" s="407"/>
    </row>
    <row r="441" spans="4:5" s="392" customFormat="1" ht="12.75">
      <c r="D441" s="406"/>
      <c r="E441" s="407"/>
    </row>
    <row r="442" spans="4:5" s="392" customFormat="1" ht="12.75">
      <c r="D442" s="406"/>
      <c r="E442" s="407"/>
    </row>
    <row r="443" spans="4:5" s="392" customFormat="1" ht="12.75">
      <c r="D443" s="406"/>
      <c r="E443" s="407"/>
    </row>
    <row r="444" spans="4:5" s="392" customFormat="1" ht="12.75">
      <c r="D444" s="406"/>
      <c r="E444" s="407"/>
    </row>
    <row r="445" spans="4:5" s="392" customFormat="1" ht="12.75">
      <c r="D445" s="406"/>
      <c r="E445" s="407"/>
    </row>
    <row r="446" spans="4:5" s="392" customFormat="1" ht="12.75">
      <c r="D446" s="406"/>
      <c r="E446" s="407"/>
    </row>
    <row r="447" spans="4:5" s="392" customFormat="1" ht="12.75">
      <c r="D447" s="406"/>
      <c r="E447" s="407"/>
    </row>
    <row r="448" spans="4:5" s="392" customFormat="1" ht="12.75">
      <c r="D448" s="406"/>
      <c r="E448" s="407"/>
    </row>
    <row r="449" spans="4:5" s="392" customFormat="1" ht="12.75">
      <c r="D449" s="406"/>
      <c r="E449" s="407"/>
    </row>
    <row r="450" spans="4:5" s="392" customFormat="1" ht="12.75">
      <c r="D450" s="406"/>
      <c r="E450" s="407"/>
    </row>
    <row r="451" spans="4:5" s="392" customFormat="1" ht="12.75">
      <c r="D451" s="406"/>
      <c r="E451" s="407"/>
    </row>
    <row r="452" spans="4:5" s="392" customFormat="1" ht="12.75">
      <c r="D452" s="406"/>
      <c r="E452" s="407"/>
    </row>
    <row r="453" spans="4:5" s="392" customFormat="1" ht="12.75">
      <c r="D453" s="406"/>
      <c r="E453" s="407"/>
    </row>
    <row r="454" spans="4:5" s="392" customFormat="1" ht="12.75">
      <c r="D454" s="406"/>
      <c r="E454" s="407"/>
    </row>
    <row r="455" spans="4:5" s="392" customFormat="1" ht="12.75">
      <c r="D455" s="406"/>
      <c r="E455" s="407"/>
    </row>
    <row r="456" spans="4:5" s="392" customFormat="1" ht="12.75">
      <c r="D456" s="406"/>
      <c r="E456" s="407"/>
    </row>
    <row r="457" spans="4:5" s="392" customFormat="1" ht="12.75">
      <c r="D457" s="406"/>
      <c r="E457" s="407"/>
    </row>
    <row r="458" spans="4:5" s="392" customFormat="1" ht="12.75">
      <c r="D458" s="406"/>
      <c r="E458" s="407"/>
    </row>
    <row r="459" spans="4:5" s="392" customFormat="1" ht="12.75">
      <c r="D459" s="406"/>
      <c r="E459" s="407"/>
    </row>
    <row r="460" spans="4:5" s="392" customFormat="1" ht="12.75">
      <c r="D460" s="406"/>
      <c r="E460" s="407"/>
    </row>
    <row r="461" spans="4:5" s="392" customFormat="1" ht="12.75">
      <c r="D461" s="406"/>
      <c r="E461" s="407"/>
    </row>
    <row r="462" spans="4:5" s="392" customFormat="1" ht="12.75">
      <c r="D462" s="406"/>
      <c r="E462" s="407"/>
    </row>
    <row r="463" spans="4:5" s="392" customFormat="1" ht="12.75">
      <c r="D463" s="406"/>
      <c r="E463" s="407"/>
    </row>
    <row r="464" spans="4:5" s="392" customFormat="1" ht="12.75">
      <c r="D464" s="406"/>
      <c r="E464" s="407"/>
    </row>
    <row r="465" spans="4:5" s="392" customFormat="1" ht="12.75">
      <c r="D465" s="406"/>
      <c r="E465" s="407"/>
    </row>
    <row r="466" spans="4:5" s="392" customFormat="1" ht="12.75">
      <c r="D466" s="406"/>
      <c r="E466" s="407"/>
    </row>
    <row r="467" spans="4:5" s="392" customFormat="1" ht="12.75">
      <c r="D467" s="406"/>
      <c r="E467" s="407"/>
    </row>
    <row r="468" spans="4:5" s="392" customFormat="1" ht="12.75">
      <c r="D468" s="406"/>
      <c r="E468" s="407"/>
    </row>
    <row r="469" spans="4:5" s="392" customFormat="1" ht="12.75">
      <c r="D469" s="406"/>
      <c r="E469" s="407"/>
    </row>
    <row r="470" spans="4:5" s="392" customFormat="1" ht="12.75">
      <c r="D470" s="406"/>
      <c r="E470" s="407"/>
    </row>
    <row r="471" spans="4:5" s="392" customFormat="1" ht="12.75">
      <c r="D471" s="406"/>
      <c r="E471" s="407"/>
    </row>
    <row r="472" spans="4:5" s="392" customFormat="1" ht="12.75">
      <c r="D472" s="406"/>
      <c r="E472" s="407"/>
    </row>
    <row r="473" spans="4:5" s="392" customFormat="1" ht="12.75">
      <c r="D473" s="406"/>
      <c r="E473" s="407"/>
    </row>
    <row r="474" spans="4:5" s="392" customFormat="1" ht="12.75">
      <c r="D474" s="406"/>
      <c r="E474" s="407"/>
    </row>
    <row r="475" spans="4:5" s="392" customFormat="1" ht="12.75">
      <c r="D475" s="406"/>
      <c r="E475" s="407"/>
    </row>
    <row r="476" spans="4:5" s="392" customFormat="1" ht="12.75">
      <c r="D476" s="406"/>
      <c r="E476" s="407"/>
    </row>
    <row r="477" spans="4:5" s="392" customFormat="1" ht="12.75">
      <c r="D477" s="406"/>
      <c r="E477" s="407"/>
    </row>
    <row r="478" spans="4:5" s="392" customFormat="1" ht="12.75">
      <c r="D478" s="406"/>
      <c r="E478" s="407"/>
    </row>
    <row r="479" spans="4:5" s="392" customFormat="1" ht="12.75">
      <c r="D479" s="406"/>
      <c r="E479" s="407"/>
    </row>
    <row r="480" spans="4:5" s="392" customFormat="1" ht="12.75">
      <c r="D480" s="406"/>
      <c r="E480" s="407"/>
    </row>
    <row r="481" spans="4:5" s="392" customFormat="1" ht="12.75">
      <c r="D481" s="406"/>
      <c r="E481" s="407"/>
    </row>
    <row r="482" spans="4:5" s="392" customFormat="1" ht="12.75">
      <c r="D482" s="406"/>
      <c r="E482" s="407"/>
    </row>
    <row r="483" spans="4:5" s="392" customFormat="1" ht="12.75">
      <c r="D483" s="406"/>
      <c r="E483" s="407"/>
    </row>
    <row r="484" spans="4:5" s="392" customFormat="1" ht="12.75">
      <c r="D484" s="406"/>
      <c r="E484" s="407"/>
    </row>
    <row r="485" spans="4:5" s="392" customFormat="1" ht="12.75">
      <c r="D485" s="406"/>
      <c r="E485" s="407"/>
    </row>
    <row r="486" spans="4:5" s="392" customFormat="1" ht="12.75">
      <c r="D486" s="406"/>
      <c r="E486" s="407"/>
    </row>
    <row r="487" spans="4:5" s="392" customFormat="1" ht="12.75">
      <c r="D487" s="406"/>
      <c r="E487" s="407"/>
    </row>
    <row r="488" spans="4:5" s="392" customFormat="1" ht="12.75">
      <c r="D488" s="406"/>
      <c r="E488" s="407"/>
    </row>
    <row r="489" spans="4:5" s="392" customFormat="1" ht="12.75">
      <c r="D489" s="406"/>
      <c r="E489" s="407"/>
    </row>
    <row r="490" spans="4:5" s="392" customFormat="1" ht="12.75">
      <c r="D490" s="406"/>
      <c r="E490" s="407"/>
    </row>
    <row r="491" spans="4:5" s="392" customFormat="1" ht="12.75">
      <c r="D491" s="406"/>
      <c r="E491" s="407"/>
    </row>
    <row r="492" spans="4:5" s="392" customFormat="1" ht="12.75">
      <c r="D492" s="406"/>
      <c r="E492" s="407"/>
    </row>
    <row r="493" spans="4:5" s="392" customFormat="1" ht="12.75">
      <c r="D493" s="406"/>
      <c r="E493" s="407"/>
    </row>
    <row r="494" spans="4:5" s="392" customFormat="1" ht="12.75">
      <c r="D494" s="406"/>
      <c r="E494" s="407"/>
    </row>
    <row r="495" spans="4:5" s="392" customFormat="1" ht="12.75">
      <c r="D495" s="406"/>
      <c r="E495" s="407"/>
    </row>
    <row r="496" spans="4:5" s="392" customFormat="1" ht="12.75">
      <c r="D496" s="406"/>
      <c r="E496" s="407"/>
    </row>
    <row r="497" spans="4:5" s="392" customFormat="1" ht="12.75">
      <c r="D497" s="406"/>
      <c r="E497" s="407"/>
    </row>
    <row r="498" spans="4:5" s="392" customFormat="1" ht="12.75">
      <c r="D498" s="406"/>
      <c r="E498" s="407"/>
    </row>
    <row r="499" spans="4:5" s="392" customFormat="1" ht="12.75">
      <c r="D499" s="406"/>
      <c r="E499" s="407"/>
    </row>
    <row r="500" spans="4:5" s="392" customFormat="1" ht="12.75">
      <c r="D500" s="406"/>
      <c r="E500" s="407"/>
    </row>
    <row r="501" spans="4:5" s="392" customFormat="1" ht="12.75">
      <c r="D501" s="406"/>
      <c r="E501" s="407"/>
    </row>
    <row r="502" spans="4:5" s="392" customFormat="1" ht="12.75">
      <c r="D502" s="406"/>
      <c r="E502" s="407"/>
    </row>
    <row r="503" spans="4:5" s="392" customFormat="1" ht="12.75">
      <c r="D503" s="406"/>
      <c r="E503" s="407"/>
    </row>
    <row r="504" spans="4:5" s="392" customFormat="1" ht="12.75">
      <c r="D504" s="406"/>
      <c r="E504" s="407"/>
    </row>
    <row r="505" spans="4:5" s="392" customFormat="1" ht="12.75">
      <c r="D505" s="406"/>
      <c r="E505" s="407"/>
    </row>
    <row r="506" spans="4:5" s="392" customFormat="1" ht="12.75">
      <c r="D506" s="406"/>
      <c r="E506" s="407"/>
    </row>
    <row r="507" spans="4:5" s="392" customFormat="1" ht="12.75">
      <c r="D507" s="406"/>
      <c r="E507" s="407"/>
    </row>
    <row r="508" spans="4:5" s="392" customFormat="1" ht="12.75">
      <c r="D508" s="406"/>
      <c r="E508" s="407"/>
    </row>
    <row r="509" spans="4:5" s="392" customFormat="1" ht="12.75">
      <c r="D509" s="406"/>
      <c r="E509" s="407"/>
    </row>
    <row r="510" spans="4:5" s="392" customFormat="1" ht="12.75">
      <c r="D510" s="406"/>
      <c r="E510" s="407"/>
    </row>
    <row r="511" spans="4:5" s="392" customFormat="1" ht="12.75">
      <c r="D511" s="406"/>
      <c r="E511" s="407"/>
    </row>
    <row r="512" spans="4:5" s="392" customFormat="1" ht="12.75">
      <c r="D512" s="406"/>
      <c r="E512" s="407"/>
    </row>
    <row r="513" spans="4:5" s="392" customFormat="1" ht="12.75">
      <c r="D513" s="406"/>
      <c r="E513" s="407"/>
    </row>
    <row r="514" spans="4:5" s="392" customFormat="1" ht="12.75">
      <c r="D514" s="406"/>
      <c r="E514" s="407"/>
    </row>
    <row r="515" spans="4:5" s="392" customFormat="1" ht="12.75">
      <c r="D515" s="406"/>
      <c r="E515" s="407"/>
    </row>
    <row r="516" spans="4:5" s="392" customFormat="1" ht="12.75">
      <c r="D516" s="406"/>
      <c r="E516" s="407"/>
    </row>
    <row r="517" spans="4:5" s="392" customFormat="1" ht="12.75">
      <c r="D517" s="406"/>
      <c r="E517" s="407"/>
    </row>
    <row r="518" spans="4:5" s="392" customFormat="1" ht="12.75">
      <c r="D518" s="406"/>
      <c r="E518" s="407"/>
    </row>
    <row r="519" spans="4:5" s="392" customFormat="1" ht="12.75">
      <c r="D519" s="406"/>
      <c r="E519" s="407"/>
    </row>
    <row r="520" spans="4:5" s="392" customFormat="1" ht="12.75">
      <c r="D520" s="406"/>
      <c r="E520" s="407"/>
    </row>
    <row r="521" spans="4:5" s="392" customFormat="1" ht="12.75">
      <c r="D521" s="406"/>
      <c r="E521" s="407"/>
    </row>
    <row r="522" spans="4:5" s="392" customFormat="1" ht="12.75">
      <c r="D522" s="406"/>
      <c r="E522" s="407"/>
    </row>
    <row r="523" spans="4:5" s="392" customFormat="1" ht="12.75">
      <c r="D523" s="406"/>
      <c r="E523" s="407"/>
    </row>
    <row r="524" spans="4:5" s="392" customFormat="1" ht="12.75">
      <c r="D524" s="406"/>
      <c r="E524" s="407"/>
    </row>
    <row r="525" spans="4:5" s="392" customFormat="1" ht="12.75">
      <c r="D525" s="406"/>
      <c r="E525" s="407"/>
    </row>
    <row r="526" spans="4:5" s="392" customFormat="1" ht="12.75">
      <c r="D526" s="406"/>
      <c r="E526" s="407"/>
    </row>
    <row r="527" spans="4:5" s="392" customFormat="1" ht="12.75">
      <c r="D527" s="406"/>
      <c r="E527" s="407"/>
    </row>
    <row r="528" spans="4:5" s="392" customFormat="1" ht="12.75">
      <c r="D528" s="406"/>
      <c r="E528" s="407"/>
    </row>
    <row r="529" spans="4:5" s="392" customFormat="1" ht="12.75">
      <c r="D529" s="406"/>
      <c r="E529" s="407"/>
    </row>
    <row r="530" spans="4:5" s="392" customFormat="1" ht="12.75">
      <c r="D530" s="406"/>
      <c r="E530" s="407"/>
    </row>
    <row r="531" spans="4:5" s="392" customFormat="1" ht="12.75">
      <c r="D531" s="406"/>
      <c r="E531" s="407"/>
    </row>
    <row r="532" spans="4:5" s="392" customFormat="1" ht="12.75">
      <c r="D532" s="406"/>
      <c r="E532" s="407"/>
    </row>
    <row r="533" spans="4:5" s="392" customFormat="1" ht="12.75">
      <c r="D533" s="406"/>
      <c r="E533" s="407"/>
    </row>
    <row r="534" spans="4:5" s="392" customFormat="1" ht="12.75">
      <c r="D534" s="406"/>
      <c r="E534" s="407"/>
    </row>
    <row r="535" spans="4:5" s="392" customFormat="1" ht="12.75">
      <c r="D535" s="406"/>
      <c r="E535" s="407"/>
    </row>
    <row r="536" spans="4:5" s="392" customFormat="1" ht="12.75">
      <c r="D536" s="406"/>
      <c r="E536" s="407"/>
    </row>
    <row r="537" spans="4:5" s="392" customFormat="1" ht="12.75">
      <c r="D537" s="406"/>
      <c r="E537" s="407"/>
    </row>
    <row r="538" spans="4:5" s="392" customFormat="1" ht="12.75">
      <c r="D538" s="406"/>
      <c r="E538" s="407"/>
    </row>
    <row r="539" spans="4:5" s="392" customFormat="1" ht="12.75">
      <c r="D539" s="406"/>
      <c r="E539" s="407"/>
    </row>
    <row r="540" spans="4:5" s="392" customFormat="1" ht="12.75">
      <c r="D540" s="406"/>
      <c r="E540" s="407"/>
    </row>
    <row r="541" spans="4:5" s="392" customFormat="1" ht="12.75">
      <c r="D541" s="406"/>
      <c r="E541" s="407"/>
    </row>
    <row r="542" spans="4:5" s="392" customFormat="1" ht="12.75">
      <c r="D542" s="406"/>
      <c r="E542" s="407"/>
    </row>
    <row r="543" spans="4:5" s="392" customFormat="1" ht="12.75">
      <c r="D543" s="406"/>
      <c r="E543" s="407"/>
    </row>
    <row r="544" spans="4:5" s="392" customFormat="1" ht="12.75">
      <c r="D544" s="406"/>
      <c r="E544" s="407"/>
    </row>
    <row r="545" spans="4:5" s="392" customFormat="1" ht="12.75">
      <c r="D545" s="406"/>
      <c r="E545" s="407"/>
    </row>
    <row r="546" spans="4:5" s="392" customFormat="1" ht="12.75">
      <c r="D546" s="406"/>
      <c r="E546" s="407"/>
    </row>
    <row r="547" spans="4:5" s="392" customFormat="1" ht="12.75">
      <c r="D547" s="406"/>
      <c r="E547" s="407"/>
    </row>
    <row r="548" spans="4:5" s="392" customFormat="1" ht="12.75">
      <c r="D548" s="406"/>
      <c r="E548" s="407"/>
    </row>
    <row r="549" spans="4:5" s="392" customFormat="1" ht="12.75">
      <c r="D549" s="406"/>
      <c r="E549" s="407"/>
    </row>
    <row r="550" spans="4:5" s="392" customFormat="1" ht="12.75">
      <c r="D550" s="406"/>
      <c r="E550" s="407"/>
    </row>
    <row r="551" spans="1:5" s="392" customFormat="1" ht="12.75">
      <c r="A551" s="418"/>
      <c r="B551" s="418"/>
      <c r="C551" s="418"/>
      <c r="D551" s="419"/>
      <c r="E551" s="420"/>
    </row>
    <row r="552" spans="1:5" s="392" customFormat="1" ht="12.75">
      <c r="A552" s="418"/>
      <c r="B552" s="418"/>
      <c r="C552" s="418"/>
      <c r="D552" s="419"/>
      <c r="E552" s="420"/>
    </row>
  </sheetData>
  <sheetProtection formatCells="0" formatColumns="0" formatRows="0" insertColumns="0" insertRows="0" insertHyperlinks="0" deleteColumns="0" deleteRows="0" sort="0" autoFilter="0" pivotTables="0"/>
  <mergeCells count="3">
    <mergeCell ref="A7:C7"/>
    <mergeCell ref="A8:C8"/>
    <mergeCell ref="A9:D9"/>
  </mergeCells>
  <printOptions horizontalCentered="1" verticalCentered="1"/>
  <pageMargins left="0.45" right="0.2362204724409449" top="0.29" bottom="0.65" header="0" footer="0"/>
  <pageSetup horizontalDpi="300" verticalDpi="300" orientation="portrait" paperSize="9" scale="70" r:id="rId2"/>
  <headerFooter alignWithMargins="0">
    <oddFooter>&amp;L&amp;7Plaza de España, 1
38003 Santa Cruz de Tenerife
Teléfono: 901 501 901
www.tenerife.es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69"/>
  <sheetViews>
    <sheetView showGridLines="0" view="pageBreakPreview" zoomScaleSheetLayoutView="100" zoomScalePageLayoutView="0" workbookViewId="0" topLeftCell="A1">
      <selection activeCell="B4" sqref="B4"/>
    </sheetView>
  </sheetViews>
  <sheetFormatPr defaultColWidth="10.7109375" defaultRowHeight="12.75"/>
  <cols>
    <col min="1" max="1" width="56.140625" style="418" customWidth="1"/>
    <col min="2" max="2" width="18.140625" style="418" customWidth="1"/>
    <col min="3" max="3" width="17.421875" style="418" customWidth="1"/>
    <col min="4" max="4" width="18.140625" style="418" customWidth="1"/>
    <col min="5" max="5" width="2.421875" style="421" customWidth="1"/>
    <col min="6" max="6" width="0" style="418" hidden="1" customWidth="1"/>
    <col min="7" max="7" width="11.7109375" style="418" hidden="1" customWidth="1"/>
    <col min="8" max="8" width="0" style="418" hidden="1" customWidth="1"/>
    <col min="9" max="16384" width="10.7109375" style="418" customWidth="1"/>
  </cols>
  <sheetData>
    <row r="1" spans="1:3" ht="12.75">
      <c r="A1" s="345"/>
      <c r="B1" s="653" t="s">
        <v>534</v>
      </c>
      <c r="C1" s="345"/>
    </row>
    <row r="2" spans="1:3" ht="12.75">
      <c r="A2" s="345"/>
      <c r="B2" s="654" t="s">
        <v>535</v>
      </c>
      <c r="C2" s="345"/>
    </row>
    <row r="3" spans="1:3" ht="12.75">
      <c r="A3" s="345"/>
      <c r="B3" s="345"/>
      <c r="C3" s="345"/>
    </row>
    <row r="4" spans="1:3" ht="12.75">
      <c r="A4" s="652" t="s">
        <v>296</v>
      </c>
      <c r="B4" s="655">
        <v>42339</v>
      </c>
      <c r="C4" s="345"/>
    </row>
    <row r="5" spans="1:3" ht="12.75">
      <c r="A5" s="652" t="s">
        <v>533</v>
      </c>
      <c r="B5" s="656" t="s">
        <v>536</v>
      </c>
      <c r="C5" s="345"/>
    </row>
    <row r="6" ht="13.5" thickBot="1"/>
    <row r="7" spans="1:5" s="392" customFormat="1" ht="49.5" customHeight="1">
      <c r="A7" s="971" t="s">
        <v>77</v>
      </c>
      <c r="B7" s="972"/>
      <c r="C7" s="973"/>
      <c r="D7" s="741">
        <f>CPYG!D7</f>
        <v>2016</v>
      </c>
      <c r="E7" s="422"/>
    </row>
    <row r="8" spans="1:5" s="392" customFormat="1" ht="25.5" customHeight="1">
      <c r="A8" s="1021" t="str">
        <f>CPYG!A8</f>
        <v>EMPRESA PÚBLICA: INSTITUTO TECNOLOGICO DE ENERGIAS RENOVABLES SA</v>
      </c>
      <c r="B8" s="1022"/>
      <c r="C8" s="1022"/>
      <c r="D8" s="742" t="s">
        <v>79</v>
      </c>
      <c r="E8" s="346"/>
    </row>
    <row r="9" spans="1:5" s="392" customFormat="1" ht="24.75" customHeight="1">
      <c r="A9" s="1023" t="s">
        <v>537</v>
      </c>
      <c r="B9" s="1020"/>
      <c r="C9" s="1020"/>
      <c r="D9" s="1024"/>
      <c r="E9" s="393"/>
    </row>
    <row r="10" spans="1:5" s="392" customFormat="1" ht="40.5" customHeight="1">
      <c r="A10" s="743" t="s">
        <v>423</v>
      </c>
      <c r="B10" s="218" t="s">
        <v>642</v>
      </c>
      <c r="C10" s="423" t="s">
        <v>539</v>
      </c>
      <c r="D10" s="724" t="s">
        <v>643</v>
      </c>
      <c r="E10" s="424"/>
    </row>
    <row r="11" spans="1:5" s="392" customFormat="1" ht="22.5" customHeight="1">
      <c r="A11" s="744" t="s">
        <v>118</v>
      </c>
      <c r="B11" s="458">
        <f>B12+B28+B32</f>
        <v>95874044.73</v>
      </c>
      <c r="C11" s="458">
        <f>C12+C28+C32</f>
        <v>99713234.03999999</v>
      </c>
      <c r="D11" s="725">
        <f>D12+D28+D32</f>
        <v>113043157.96000001</v>
      </c>
      <c r="E11" s="398"/>
    </row>
    <row r="12" spans="1:5" s="392" customFormat="1" ht="19.5" customHeight="1">
      <c r="A12" s="726" t="s">
        <v>119</v>
      </c>
      <c r="B12" s="465">
        <f>+B13+B16+B17+B20+B21+B24+B25+B26+B27</f>
        <v>93327765.03</v>
      </c>
      <c r="C12" s="465">
        <f>+C13+C16+C17+C20+C21+C24+C25+C26+C27</f>
        <v>97465503.42999999</v>
      </c>
      <c r="D12" s="727">
        <f>+D13+D16+D17+D20+D21+D24+D25+D26+D27</f>
        <v>103782952.06</v>
      </c>
      <c r="E12" s="416"/>
    </row>
    <row r="13" spans="1:5" s="392" customFormat="1" ht="19.5" customHeight="1">
      <c r="A13" s="726" t="s">
        <v>120</v>
      </c>
      <c r="B13" s="466">
        <f>SUM(B14:B15)</f>
        <v>20816236</v>
      </c>
      <c r="C13" s="466">
        <f>SUM(C14:C15)</f>
        <v>23816187.6</v>
      </c>
      <c r="D13" s="728">
        <f>SUM(D14:D15)</f>
        <v>27816139.200000003</v>
      </c>
      <c r="E13" s="409"/>
    </row>
    <row r="14" spans="1:7" s="392" customFormat="1" ht="19.5" customHeight="1">
      <c r="A14" s="729" t="s">
        <v>871</v>
      </c>
      <c r="B14" s="460">
        <v>20816236</v>
      </c>
      <c r="C14" s="460">
        <v>23816187.6</v>
      </c>
      <c r="D14" s="730">
        <v>27816139.200000003</v>
      </c>
      <c r="E14" s="409"/>
      <c r="G14" s="401">
        <f>D14-C14</f>
        <v>3999951.6000000015</v>
      </c>
    </row>
    <row r="15" spans="1:5" s="392" customFormat="1" ht="19.5" customHeight="1">
      <c r="A15" s="729" t="s">
        <v>872</v>
      </c>
      <c r="B15" s="460"/>
      <c r="C15" s="460"/>
      <c r="D15" s="730"/>
      <c r="E15" s="409"/>
    </row>
    <row r="16" spans="1:5" s="392" customFormat="1" ht="19.5" customHeight="1">
      <c r="A16" s="726" t="s">
        <v>80</v>
      </c>
      <c r="B16" s="460">
        <v>1608057.62</v>
      </c>
      <c r="C16" s="460">
        <v>1608057.62</v>
      </c>
      <c r="D16" s="730">
        <v>1608057.62</v>
      </c>
      <c r="E16" s="409"/>
    </row>
    <row r="17" spans="1:5" s="392" customFormat="1" ht="19.5" customHeight="1">
      <c r="A17" s="726" t="s">
        <v>121</v>
      </c>
      <c r="B17" s="466">
        <f>SUM(B18:B19)</f>
        <v>72615248.17</v>
      </c>
      <c r="C17" s="466">
        <f>SUM(C18:C19)</f>
        <v>72943027.66</v>
      </c>
      <c r="D17" s="728">
        <f>SUM(D18:D19)</f>
        <v>74043420.24</v>
      </c>
      <c r="E17" s="409"/>
    </row>
    <row r="18" spans="1:5" s="392" customFormat="1" ht="19.5" customHeight="1">
      <c r="A18" s="729" t="s">
        <v>873</v>
      </c>
      <c r="B18" s="460">
        <v>2875706.67</v>
      </c>
      <c r="C18" s="460">
        <v>2904745.2</v>
      </c>
      <c r="D18" s="730">
        <v>2904745.2</v>
      </c>
      <c r="E18" s="409"/>
    </row>
    <row r="19" spans="1:5" s="392" customFormat="1" ht="19.5" customHeight="1">
      <c r="A19" s="729" t="s">
        <v>874</v>
      </c>
      <c r="B19" s="460">
        <v>69739541.5</v>
      </c>
      <c r="C19" s="460">
        <v>70038282.46</v>
      </c>
      <c r="D19" s="730">
        <v>71138675.03999999</v>
      </c>
      <c r="E19" s="409"/>
    </row>
    <row r="20" spans="1:5" s="392" customFormat="1" ht="19.5" customHeight="1">
      <c r="A20" s="726" t="s">
        <v>875</v>
      </c>
      <c r="B20" s="460">
        <v>-2000000</v>
      </c>
      <c r="C20" s="460">
        <v>-2000000</v>
      </c>
      <c r="D20" s="730">
        <v>-2000000</v>
      </c>
      <c r="E20" s="409"/>
    </row>
    <row r="21" spans="1:5" s="392" customFormat="1" ht="19.5" customHeight="1">
      <c r="A21" s="726" t="s">
        <v>81</v>
      </c>
      <c r="B21" s="466">
        <f>SUM(B22:B23)</f>
        <v>-2162.03</v>
      </c>
      <c r="C21" s="466">
        <f>SUM(C22:C23)</f>
        <v>-2162.03</v>
      </c>
      <c r="D21" s="728">
        <f>SUM(D22:D23)</f>
        <v>-2162.03</v>
      </c>
      <c r="E21" s="409"/>
    </row>
    <row r="22" spans="1:5" s="392" customFormat="1" ht="19.5" customHeight="1">
      <c r="A22" s="729" t="s">
        <v>876</v>
      </c>
      <c r="B22" s="460"/>
      <c r="C22" s="460"/>
      <c r="D22" s="730"/>
      <c r="E22" s="409"/>
    </row>
    <row r="23" spans="1:5" s="392" customFormat="1" ht="19.5" customHeight="1">
      <c r="A23" s="729" t="s">
        <v>122</v>
      </c>
      <c r="B23" s="460">
        <v>-2162.03</v>
      </c>
      <c r="C23" s="461">
        <v>-2162.03</v>
      </c>
      <c r="D23" s="731">
        <v>-2162.03</v>
      </c>
      <c r="E23" s="409"/>
    </row>
    <row r="24" spans="1:5" s="392" customFormat="1" ht="19.5" customHeight="1">
      <c r="A24" s="726" t="s">
        <v>879</v>
      </c>
      <c r="B24" s="461"/>
      <c r="C24" s="461"/>
      <c r="D24" s="731"/>
      <c r="E24" s="409"/>
    </row>
    <row r="25" spans="1:5" s="392" customFormat="1" ht="19.5" customHeight="1">
      <c r="A25" s="726" t="s">
        <v>880</v>
      </c>
      <c r="B25" s="462">
        <f>CPYG!B111</f>
        <v>290385.2700000013</v>
      </c>
      <c r="C25" s="463">
        <f>CPYG!C111</f>
        <v>1100392.579999998</v>
      </c>
      <c r="D25" s="732">
        <f>CPYG!D111</f>
        <v>2317497.030000002</v>
      </c>
      <c r="E25" s="425"/>
    </row>
    <row r="26" spans="1:5" s="392" customFormat="1" ht="19.5" customHeight="1">
      <c r="A26" s="726" t="s">
        <v>881</v>
      </c>
      <c r="B26" s="460"/>
      <c r="C26" s="460"/>
      <c r="D26" s="730"/>
      <c r="E26" s="409"/>
    </row>
    <row r="27" spans="1:5" s="392" customFormat="1" ht="19.5" customHeight="1">
      <c r="A27" s="726" t="s">
        <v>908</v>
      </c>
      <c r="B27" s="460"/>
      <c r="C27" s="460"/>
      <c r="D27" s="730"/>
      <c r="E27" s="409"/>
    </row>
    <row r="28" spans="1:5" s="392" customFormat="1" ht="19.5" customHeight="1">
      <c r="A28" s="726" t="s">
        <v>909</v>
      </c>
      <c r="B28" s="465">
        <f>SUM(B29:B31)</f>
        <v>0</v>
      </c>
      <c r="C28" s="465">
        <f>SUM(C29:C31)</f>
        <v>0</v>
      </c>
      <c r="D28" s="727">
        <f>SUM(D29:D31)</f>
        <v>0</v>
      </c>
      <c r="E28" s="416"/>
    </row>
    <row r="29" spans="1:5" s="392" customFormat="1" ht="19.5" customHeight="1">
      <c r="A29" s="726" t="s">
        <v>910</v>
      </c>
      <c r="B29" s="460"/>
      <c r="C29" s="460"/>
      <c r="D29" s="730"/>
      <c r="E29" s="409"/>
    </row>
    <row r="30" spans="1:5" s="392" customFormat="1" ht="19.5" customHeight="1">
      <c r="A30" s="726" t="s">
        <v>911</v>
      </c>
      <c r="B30" s="460"/>
      <c r="C30" s="460"/>
      <c r="D30" s="730"/>
      <c r="E30" s="409"/>
    </row>
    <row r="31" spans="1:5" s="392" customFormat="1" ht="19.5" customHeight="1">
      <c r="A31" s="726" t="s">
        <v>912</v>
      </c>
      <c r="B31" s="460"/>
      <c r="C31" s="461"/>
      <c r="D31" s="731"/>
      <c r="E31" s="409"/>
    </row>
    <row r="32" spans="1:7" s="392" customFormat="1" ht="19.5" customHeight="1">
      <c r="A32" s="726" t="s">
        <v>913</v>
      </c>
      <c r="B32" s="460">
        <v>2546279.7</v>
      </c>
      <c r="C32" s="461">
        <v>2247730.61</v>
      </c>
      <c r="D32" s="731">
        <v>9260205.9</v>
      </c>
      <c r="E32" s="409"/>
      <c r="G32" s="401"/>
    </row>
    <row r="33" spans="1:5" s="392" customFormat="1" ht="19.5" customHeight="1">
      <c r="A33" s="744" t="s">
        <v>123</v>
      </c>
      <c r="B33" s="465">
        <f>B34+B38+B43+B44+B45+B46+B9+B47</f>
        <v>24682709.69</v>
      </c>
      <c r="C33" s="465">
        <f>C34+C38+C43+C44+C45+C46+C9+C47</f>
        <v>20877206.97</v>
      </c>
      <c r="D33" s="727">
        <f>D34+D38+D43+D44+D45+D46+D9+D47</f>
        <v>18529197.478606015</v>
      </c>
      <c r="E33" s="416"/>
    </row>
    <row r="34" spans="1:5" s="392" customFormat="1" ht="19.5" customHeight="1">
      <c r="A34" s="733" t="s">
        <v>914</v>
      </c>
      <c r="B34" s="467">
        <f>SUM(B35:B37)</f>
        <v>26728.93</v>
      </c>
      <c r="C34" s="467">
        <f>SUM(C35:C37)</f>
        <v>27928.93</v>
      </c>
      <c r="D34" s="734">
        <f>SUM(D35:D37)</f>
        <v>29228.93</v>
      </c>
      <c r="E34" s="409"/>
    </row>
    <row r="35" spans="1:5" s="392" customFormat="1" ht="19.5" customHeight="1">
      <c r="A35" s="735" t="s">
        <v>426</v>
      </c>
      <c r="B35" s="461"/>
      <c r="C35" s="461"/>
      <c r="D35" s="731"/>
      <c r="E35" s="409"/>
    </row>
    <row r="36" spans="1:5" s="392" customFormat="1" ht="28.5" customHeight="1">
      <c r="A36" s="736" t="s">
        <v>427</v>
      </c>
      <c r="B36" s="461"/>
      <c r="C36" s="461"/>
      <c r="D36" s="731"/>
      <c r="E36" s="409"/>
    </row>
    <row r="37" spans="1:5" s="392" customFormat="1" ht="19.5" customHeight="1">
      <c r="A37" s="735" t="s">
        <v>428</v>
      </c>
      <c r="B37" s="461">
        <v>26728.93</v>
      </c>
      <c r="C37" s="461">
        <v>27928.93</v>
      </c>
      <c r="D37" s="731">
        <v>29228.93</v>
      </c>
      <c r="E37" s="416"/>
    </row>
    <row r="38" spans="1:5" s="392" customFormat="1" ht="19.5" customHeight="1">
      <c r="A38" s="733" t="s">
        <v>915</v>
      </c>
      <c r="B38" s="467">
        <f>SUM(B39:B42)</f>
        <v>23484695.57</v>
      </c>
      <c r="C38" s="467">
        <f>SUM(C39:C42)</f>
        <v>19806553.509999998</v>
      </c>
      <c r="D38" s="734">
        <f>SUM(D39:D42)</f>
        <v>14742005.198606014</v>
      </c>
      <c r="E38" s="409"/>
    </row>
    <row r="39" spans="1:5" s="392" customFormat="1" ht="19.5" customHeight="1">
      <c r="A39" s="735" t="s">
        <v>917</v>
      </c>
      <c r="B39" s="464"/>
      <c r="C39" s="464"/>
      <c r="D39" s="737"/>
      <c r="E39" s="416"/>
    </row>
    <row r="40" spans="1:5" s="392" customFormat="1" ht="19.5" customHeight="1">
      <c r="A40" s="735" t="s">
        <v>13</v>
      </c>
      <c r="B40" s="461">
        <v>16016571.91</v>
      </c>
      <c r="C40" s="461">
        <v>15194217.34</v>
      </c>
      <c r="D40" s="731">
        <v>12351415.386106014</v>
      </c>
      <c r="E40" s="409"/>
    </row>
    <row r="41" spans="1:5" s="392" customFormat="1" ht="19.5" customHeight="1">
      <c r="A41" s="735" t="s">
        <v>918</v>
      </c>
      <c r="B41" s="461"/>
      <c r="C41" s="461"/>
      <c r="D41" s="731"/>
      <c r="E41" s="409"/>
    </row>
    <row r="42" spans="1:5" s="392" customFormat="1" ht="19.5" customHeight="1">
      <c r="A42" s="735" t="s">
        <v>429</v>
      </c>
      <c r="B42" s="461">
        <v>7468123.66</v>
      </c>
      <c r="C42" s="461">
        <v>4612336.17</v>
      </c>
      <c r="D42" s="731">
        <v>2390589.8125</v>
      </c>
      <c r="E42" s="409"/>
    </row>
    <row r="43" spans="1:5" s="392" customFormat="1" ht="19.5" customHeight="1">
      <c r="A43" s="733" t="s">
        <v>919</v>
      </c>
      <c r="B43" s="464"/>
      <c r="C43" s="464"/>
      <c r="D43" s="737"/>
      <c r="E43" s="409"/>
    </row>
    <row r="44" spans="1:5" s="392" customFormat="1" ht="19.5" customHeight="1">
      <c r="A44" s="733" t="s">
        <v>920</v>
      </c>
      <c r="B44" s="464">
        <v>1171285.19</v>
      </c>
      <c r="C44" s="464">
        <v>1042724.53</v>
      </c>
      <c r="D44" s="737">
        <v>3757963.35</v>
      </c>
      <c r="E44" s="409"/>
    </row>
    <row r="45" spans="1:5" s="392" customFormat="1" ht="19.5" customHeight="1">
      <c r="A45" s="733" t="s">
        <v>6</v>
      </c>
      <c r="B45" s="464"/>
      <c r="C45" s="464"/>
      <c r="D45" s="737"/>
      <c r="E45" s="416"/>
    </row>
    <row r="46" spans="1:5" s="392" customFormat="1" ht="19.5" customHeight="1">
      <c r="A46" s="733" t="s">
        <v>430</v>
      </c>
      <c r="B46" s="464"/>
      <c r="C46" s="464"/>
      <c r="D46" s="737"/>
      <c r="E46" s="416"/>
    </row>
    <row r="47" spans="1:5" s="392" customFormat="1" ht="19.5" customHeight="1">
      <c r="A47" s="733" t="s">
        <v>431</v>
      </c>
      <c r="B47" s="464"/>
      <c r="C47" s="464"/>
      <c r="D47" s="737"/>
      <c r="E47" s="416"/>
    </row>
    <row r="48" spans="1:5" s="392" customFormat="1" ht="19.5" customHeight="1">
      <c r="A48" s="744" t="s">
        <v>75</v>
      </c>
      <c r="B48" s="467">
        <f>+B49+B50+B54+B59+B60+B63+B64</f>
        <v>16935441.94</v>
      </c>
      <c r="C48" s="467">
        <f>+C49+C50+C54+C59+C60+C63+C64</f>
        <v>12879287.47</v>
      </c>
      <c r="D48" s="734">
        <f>+D49+D50+D54+D59+D60+D63+D64</f>
        <v>7475810.1413939865</v>
      </c>
      <c r="E48" s="416"/>
    </row>
    <row r="49" spans="1:5" s="392" customFormat="1" ht="30" customHeight="1">
      <c r="A49" s="738" t="s">
        <v>10</v>
      </c>
      <c r="B49" s="464"/>
      <c r="C49" s="464"/>
      <c r="D49" s="737"/>
      <c r="E49" s="416"/>
    </row>
    <row r="50" spans="1:5" s="392" customFormat="1" ht="19.5" customHeight="1">
      <c r="A50" s="733" t="s">
        <v>11</v>
      </c>
      <c r="B50" s="467">
        <f>+B51+B52+B53</f>
        <v>0</v>
      </c>
      <c r="C50" s="467">
        <f>+C51+C52+C53</f>
        <v>0</v>
      </c>
      <c r="D50" s="734">
        <f>+D51+D52+D53</f>
        <v>0</v>
      </c>
      <c r="E50" s="416"/>
    </row>
    <row r="51" spans="1:5" s="392" customFormat="1" ht="19.5" customHeight="1">
      <c r="A51" s="735" t="s">
        <v>426</v>
      </c>
      <c r="B51" s="464"/>
      <c r="C51" s="464"/>
      <c r="D51" s="737"/>
      <c r="E51" s="416"/>
    </row>
    <row r="52" spans="1:5" s="392" customFormat="1" ht="28.5" customHeight="1">
      <c r="A52" s="736" t="s">
        <v>427</v>
      </c>
      <c r="B52" s="464"/>
      <c r="C52" s="464"/>
      <c r="D52" s="737"/>
      <c r="E52" s="416"/>
    </row>
    <row r="53" spans="1:5" s="392" customFormat="1" ht="19.5" customHeight="1">
      <c r="A53" s="735" t="s">
        <v>428</v>
      </c>
      <c r="B53" s="464"/>
      <c r="C53" s="464"/>
      <c r="D53" s="737"/>
      <c r="E53" s="416"/>
    </row>
    <row r="54" spans="1:5" s="392" customFormat="1" ht="19.5" customHeight="1">
      <c r="A54" s="733" t="s">
        <v>12</v>
      </c>
      <c r="B54" s="467">
        <f>SUM(B55:B58)</f>
        <v>14233680.14</v>
      </c>
      <c r="C54" s="467">
        <f>SUM(C55:C58)</f>
        <v>10402004.74</v>
      </c>
      <c r="D54" s="734">
        <f>SUM(D55:D58)</f>
        <v>5206923.991393987</v>
      </c>
      <c r="E54" s="409"/>
    </row>
    <row r="55" spans="1:5" s="392" customFormat="1" ht="19.5" customHeight="1">
      <c r="A55" s="735" t="s">
        <v>917</v>
      </c>
      <c r="B55" s="461"/>
      <c r="C55" s="461"/>
      <c r="D55" s="731"/>
      <c r="E55" s="409"/>
    </row>
    <row r="56" spans="1:4" s="392" customFormat="1" ht="19.5" customHeight="1">
      <c r="A56" s="735" t="s">
        <v>13</v>
      </c>
      <c r="B56" s="461">
        <v>8898685.91</v>
      </c>
      <c r="C56" s="461">
        <v>4587852.73</v>
      </c>
      <c r="D56" s="731">
        <v>2842724.023893986</v>
      </c>
    </row>
    <row r="57" spans="1:5" s="392" customFormat="1" ht="19.5" customHeight="1">
      <c r="A57" s="735" t="s">
        <v>918</v>
      </c>
      <c r="B57" s="464"/>
      <c r="C57" s="464"/>
      <c r="D57" s="737"/>
      <c r="E57" s="416"/>
    </row>
    <row r="58" spans="1:5" s="392" customFormat="1" ht="19.5" customHeight="1">
      <c r="A58" s="735" t="s">
        <v>432</v>
      </c>
      <c r="B58" s="461">
        <v>5334994.23</v>
      </c>
      <c r="C58" s="461">
        <v>5814152.01</v>
      </c>
      <c r="D58" s="731">
        <v>2364199.9675000007</v>
      </c>
      <c r="E58" s="416"/>
    </row>
    <row r="59" spans="1:5" s="392" customFormat="1" ht="19.5" customHeight="1">
      <c r="A59" s="733" t="s">
        <v>14</v>
      </c>
      <c r="B59" s="464">
        <v>703302.08</v>
      </c>
      <c r="C59" s="464">
        <v>392191.64</v>
      </c>
      <c r="D59" s="737">
        <v>111295.05999999994</v>
      </c>
      <c r="E59" s="416"/>
    </row>
    <row r="60" spans="1:5" s="392" customFormat="1" ht="19.5" customHeight="1">
      <c r="A60" s="733" t="s">
        <v>15</v>
      </c>
      <c r="B60" s="467">
        <f>SUM(B61:B62)</f>
        <v>1922989.7200000002</v>
      </c>
      <c r="C60" s="467">
        <f>SUM(C61:C62)</f>
        <v>2007871.09</v>
      </c>
      <c r="D60" s="734">
        <f>SUM(D61:D62)</f>
        <v>2080371.09</v>
      </c>
      <c r="E60" s="409"/>
    </row>
    <row r="61" spans="1:5" s="392" customFormat="1" ht="19.5" customHeight="1">
      <c r="A61" s="735" t="s">
        <v>16</v>
      </c>
      <c r="B61" s="461">
        <v>7979.11</v>
      </c>
      <c r="C61" s="461"/>
      <c r="D61" s="731"/>
      <c r="E61" s="409"/>
    </row>
    <row r="62" spans="1:5" s="392" customFormat="1" ht="19.5" customHeight="1">
      <c r="A62" s="735" t="s">
        <v>433</v>
      </c>
      <c r="B62" s="461">
        <f>1713907.31+11789.85+189313.45</f>
        <v>1915010.61</v>
      </c>
      <c r="C62" s="461">
        <v>2007871.09</v>
      </c>
      <c r="D62" s="731">
        <v>2080371.09</v>
      </c>
      <c r="E62" s="409"/>
    </row>
    <row r="63" spans="1:5" s="392" customFormat="1" ht="19.5" customHeight="1">
      <c r="A63" s="733" t="s">
        <v>37</v>
      </c>
      <c r="B63" s="464">
        <v>75470</v>
      </c>
      <c r="C63" s="464">
        <v>77220</v>
      </c>
      <c r="D63" s="737">
        <v>77220</v>
      </c>
      <c r="E63" s="416"/>
    </row>
    <row r="64" spans="1:5" s="392" customFormat="1" ht="19.5" customHeight="1">
      <c r="A64" s="733" t="s">
        <v>434</v>
      </c>
      <c r="B64" s="464"/>
      <c r="C64" s="464"/>
      <c r="D64" s="737"/>
      <c r="E64" s="416"/>
    </row>
    <row r="65" spans="1:5" s="392" customFormat="1" ht="30" customHeight="1" thickBot="1">
      <c r="A65" s="745" t="s">
        <v>76</v>
      </c>
      <c r="B65" s="739">
        <f>B48+B33+B11</f>
        <v>137492196.36</v>
      </c>
      <c r="C65" s="739">
        <f>C48+C33+C11</f>
        <v>133469728.47999999</v>
      </c>
      <c r="D65" s="740">
        <f>D48+D33+D11</f>
        <v>139048165.58</v>
      </c>
      <c r="E65" s="398"/>
    </row>
    <row r="66" spans="2:5" s="392" customFormat="1" ht="12.75">
      <c r="B66" s="401"/>
      <c r="C66" s="401"/>
      <c r="D66" s="401"/>
      <c r="E66" s="426"/>
    </row>
    <row r="67" spans="2:5" s="392" customFormat="1" ht="12.75">
      <c r="B67" s="401"/>
      <c r="C67" s="401"/>
      <c r="D67" s="401"/>
      <c r="E67" s="426"/>
    </row>
    <row r="68" spans="1:5" s="392" customFormat="1" ht="12.75" hidden="1">
      <c r="A68" s="405" t="s">
        <v>17</v>
      </c>
      <c r="B68" s="401"/>
      <c r="C68" s="401"/>
      <c r="D68" s="401"/>
      <c r="E68" s="426"/>
    </row>
    <row r="69" s="392" customFormat="1" ht="12.75">
      <c r="E69" s="402"/>
    </row>
    <row r="70" spans="2:5" s="392" customFormat="1" ht="12.75">
      <c r="B70" s="401"/>
      <c r="C70" s="401"/>
      <c r="D70" s="401"/>
      <c r="E70" s="426"/>
    </row>
    <row r="71" spans="2:5" s="392" customFormat="1" ht="12.75" hidden="1">
      <c r="B71" s="401"/>
      <c r="C71" s="401"/>
      <c r="D71" s="401"/>
      <c r="E71" s="426"/>
    </row>
    <row r="72" spans="1:5" s="392" customFormat="1" ht="12.75" hidden="1">
      <c r="A72" s="392" t="s">
        <v>38</v>
      </c>
      <c r="B72" s="401">
        <f>+ACTIVO!B48</f>
        <v>137492196.36</v>
      </c>
      <c r="C72" s="401">
        <f>+ACTIVO!C48</f>
        <v>133469728.48</v>
      </c>
      <c r="D72" s="401">
        <f>+ACTIVO!D48</f>
        <v>139048165.57911846</v>
      </c>
      <c r="E72" s="426"/>
    </row>
    <row r="73" spans="1:5" s="392" customFormat="1" ht="12.75" hidden="1">
      <c r="A73" s="402" t="s">
        <v>36</v>
      </c>
      <c r="B73" s="411">
        <f>+B65-B72</f>
        <v>0</v>
      </c>
      <c r="C73" s="411">
        <f>+C65-C72</f>
        <v>0</v>
      </c>
      <c r="D73" s="411">
        <f>+D65-D72</f>
        <v>0.0008815526962280273</v>
      </c>
      <c r="E73" s="409"/>
    </row>
    <row r="74" s="392" customFormat="1" ht="12.75" hidden="1">
      <c r="E74" s="402"/>
    </row>
    <row r="75" spans="4:5" s="392" customFormat="1" ht="12.75" hidden="1">
      <c r="D75" s="401"/>
      <c r="E75" s="426"/>
    </row>
    <row r="76" s="392" customFormat="1" ht="12.75">
      <c r="E76" s="402"/>
    </row>
    <row r="77" s="392" customFormat="1" ht="12.75">
      <c r="E77" s="402"/>
    </row>
    <row r="78" s="392" customFormat="1" ht="12.75">
      <c r="E78" s="402"/>
    </row>
    <row r="79" s="392" customFormat="1" ht="12.75">
      <c r="E79" s="402"/>
    </row>
    <row r="80" s="392" customFormat="1" ht="12.75">
      <c r="E80" s="402"/>
    </row>
    <row r="81" s="392" customFormat="1" ht="12.75">
      <c r="E81" s="402"/>
    </row>
    <row r="82" s="392" customFormat="1" ht="12.75">
      <c r="E82" s="402"/>
    </row>
    <row r="83" s="392" customFormat="1" ht="12.75">
      <c r="E83" s="402"/>
    </row>
    <row r="84" s="392" customFormat="1" ht="12.75">
      <c r="E84" s="402"/>
    </row>
    <row r="85" s="392" customFormat="1" ht="12.75">
      <c r="E85" s="402"/>
    </row>
    <row r="86" s="392" customFormat="1" ht="12.75">
      <c r="E86" s="402"/>
    </row>
    <row r="87" s="392" customFormat="1" ht="12.75">
      <c r="E87" s="402"/>
    </row>
    <row r="88" s="392" customFormat="1" ht="12.75">
      <c r="E88" s="402"/>
    </row>
    <row r="89" s="392" customFormat="1" ht="12.75">
      <c r="E89" s="402"/>
    </row>
    <row r="90" s="392" customFormat="1" ht="12.75">
      <c r="E90" s="402"/>
    </row>
    <row r="91" s="392" customFormat="1" ht="12.75">
      <c r="E91" s="402"/>
    </row>
    <row r="92" s="392" customFormat="1" ht="12.75">
      <c r="E92" s="402"/>
    </row>
    <row r="93" s="392" customFormat="1" ht="12.75">
      <c r="E93" s="402"/>
    </row>
    <row r="94" s="392" customFormat="1" ht="12.75">
      <c r="E94" s="402"/>
    </row>
    <row r="95" s="392" customFormat="1" ht="12.75">
      <c r="E95" s="402"/>
    </row>
    <row r="96" s="392" customFormat="1" ht="12.75">
      <c r="E96" s="402"/>
    </row>
    <row r="97" s="392" customFormat="1" ht="12.75">
      <c r="E97" s="402"/>
    </row>
    <row r="98" s="392" customFormat="1" ht="12.75">
      <c r="E98" s="402"/>
    </row>
    <row r="99" s="392" customFormat="1" ht="12.75">
      <c r="E99" s="402"/>
    </row>
    <row r="100" s="392" customFormat="1" ht="12.75">
      <c r="E100" s="402"/>
    </row>
    <row r="101" s="392" customFormat="1" ht="12.75">
      <c r="E101" s="402"/>
    </row>
    <row r="102" s="392" customFormat="1" ht="12.75">
      <c r="E102" s="402"/>
    </row>
    <row r="103" s="392" customFormat="1" ht="12.75">
      <c r="E103" s="402"/>
    </row>
    <row r="104" s="392" customFormat="1" ht="12.75">
      <c r="E104" s="402"/>
    </row>
    <row r="105" s="392" customFormat="1" ht="12.75">
      <c r="E105" s="402"/>
    </row>
    <row r="106" s="392" customFormat="1" ht="12.75">
      <c r="E106" s="402"/>
    </row>
    <row r="107" s="392" customFormat="1" ht="12.75">
      <c r="E107" s="402"/>
    </row>
    <row r="108" s="392" customFormat="1" ht="12.75">
      <c r="E108" s="402"/>
    </row>
    <row r="109" s="392" customFormat="1" ht="12.75">
      <c r="E109" s="402"/>
    </row>
    <row r="110" s="392" customFormat="1" ht="12.75">
      <c r="E110" s="402"/>
    </row>
    <row r="111" s="392" customFormat="1" ht="12.75">
      <c r="E111" s="402"/>
    </row>
    <row r="112" s="392" customFormat="1" ht="12.75">
      <c r="E112" s="402"/>
    </row>
    <row r="113" s="392" customFormat="1" ht="12.75">
      <c r="E113" s="402"/>
    </row>
    <row r="114" s="392" customFormat="1" ht="12.75">
      <c r="E114" s="402"/>
    </row>
    <row r="115" s="392" customFormat="1" ht="12.75">
      <c r="E115" s="402"/>
    </row>
    <row r="116" s="392" customFormat="1" ht="12.75">
      <c r="E116" s="402"/>
    </row>
    <row r="117" s="392" customFormat="1" ht="12.75">
      <c r="E117" s="402"/>
    </row>
    <row r="118" s="392" customFormat="1" ht="12.75">
      <c r="E118" s="402"/>
    </row>
    <row r="119" s="392" customFormat="1" ht="12.75">
      <c r="E119" s="402"/>
    </row>
    <row r="120" s="392" customFormat="1" ht="12.75">
      <c r="E120" s="402"/>
    </row>
    <row r="121" s="392" customFormat="1" ht="12.75">
      <c r="E121" s="402"/>
    </row>
    <row r="122" s="392" customFormat="1" ht="12.75">
      <c r="E122" s="402"/>
    </row>
    <row r="123" s="392" customFormat="1" ht="12.75">
      <c r="E123" s="402"/>
    </row>
    <row r="124" s="392" customFormat="1" ht="12.75">
      <c r="E124" s="402"/>
    </row>
    <row r="125" s="392" customFormat="1" ht="12.75">
      <c r="E125" s="402"/>
    </row>
    <row r="126" s="392" customFormat="1" ht="12.75">
      <c r="E126" s="402"/>
    </row>
    <row r="127" s="392" customFormat="1" ht="12.75">
      <c r="E127" s="402"/>
    </row>
    <row r="128" s="392" customFormat="1" ht="12.75">
      <c r="E128" s="402"/>
    </row>
    <row r="129" s="392" customFormat="1" ht="12.75">
      <c r="E129" s="402"/>
    </row>
    <row r="130" s="392" customFormat="1" ht="12.75">
      <c r="E130" s="402"/>
    </row>
    <row r="131" s="392" customFormat="1" ht="12.75">
      <c r="E131" s="402"/>
    </row>
    <row r="132" s="392" customFormat="1" ht="12.75">
      <c r="E132" s="402"/>
    </row>
    <row r="133" s="392" customFormat="1" ht="12.75">
      <c r="E133" s="402"/>
    </row>
    <row r="134" s="392" customFormat="1" ht="12.75">
      <c r="E134" s="402"/>
    </row>
    <row r="135" s="392" customFormat="1" ht="12.75">
      <c r="E135" s="402"/>
    </row>
    <row r="136" s="392" customFormat="1" ht="12.75">
      <c r="E136" s="402"/>
    </row>
    <row r="137" s="392" customFormat="1" ht="12.75">
      <c r="E137" s="402"/>
    </row>
    <row r="138" s="392" customFormat="1" ht="12.75">
      <c r="E138" s="402"/>
    </row>
    <row r="139" s="392" customFormat="1" ht="12.75">
      <c r="E139" s="402"/>
    </row>
    <row r="140" s="392" customFormat="1" ht="12.75">
      <c r="E140" s="402"/>
    </row>
    <row r="141" s="392" customFormat="1" ht="12.75">
      <c r="E141" s="402"/>
    </row>
    <row r="142" s="392" customFormat="1" ht="12.75">
      <c r="E142" s="402"/>
    </row>
    <row r="143" s="392" customFormat="1" ht="12.75">
      <c r="E143" s="402"/>
    </row>
    <row r="144" s="392" customFormat="1" ht="12.75">
      <c r="E144" s="402"/>
    </row>
    <row r="145" s="392" customFormat="1" ht="12.75">
      <c r="E145" s="402"/>
    </row>
    <row r="146" s="392" customFormat="1" ht="12.75">
      <c r="E146" s="402"/>
    </row>
    <row r="147" s="392" customFormat="1" ht="12.75">
      <c r="E147" s="402"/>
    </row>
    <row r="148" s="392" customFormat="1" ht="12.75">
      <c r="E148" s="402"/>
    </row>
    <row r="149" s="392" customFormat="1" ht="12.75">
      <c r="E149" s="402"/>
    </row>
    <row r="150" s="392" customFormat="1" ht="12.75">
      <c r="E150" s="402"/>
    </row>
    <row r="151" s="392" customFormat="1" ht="12.75">
      <c r="E151" s="402"/>
    </row>
    <row r="152" s="392" customFormat="1" ht="12.75">
      <c r="E152" s="402"/>
    </row>
    <row r="153" s="392" customFormat="1" ht="12.75">
      <c r="E153" s="402"/>
    </row>
    <row r="154" s="392" customFormat="1" ht="12.75">
      <c r="E154" s="402"/>
    </row>
    <row r="155" s="392" customFormat="1" ht="12.75">
      <c r="E155" s="402"/>
    </row>
    <row r="156" s="392" customFormat="1" ht="12.75">
      <c r="E156" s="402"/>
    </row>
    <row r="157" s="392" customFormat="1" ht="12.75">
      <c r="E157" s="402"/>
    </row>
    <row r="158" s="392" customFormat="1" ht="12.75">
      <c r="E158" s="402"/>
    </row>
    <row r="159" s="392" customFormat="1" ht="12.75">
      <c r="E159" s="402"/>
    </row>
    <row r="160" s="392" customFormat="1" ht="12.75">
      <c r="E160" s="402"/>
    </row>
    <row r="161" s="392" customFormat="1" ht="12.75">
      <c r="E161" s="402"/>
    </row>
    <row r="162" s="392" customFormat="1" ht="12.75">
      <c r="E162" s="402"/>
    </row>
    <row r="163" s="392" customFormat="1" ht="12.75">
      <c r="E163" s="402"/>
    </row>
    <row r="164" s="392" customFormat="1" ht="12.75">
      <c r="E164" s="402"/>
    </row>
    <row r="165" s="392" customFormat="1" ht="12.75">
      <c r="E165" s="402"/>
    </row>
    <row r="166" s="392" customFormat="1" ht="12.75">
      <c r="E166" s="402"/>
    </row>
    <row r="167" s="392" customFormat="1" ht="12.75">
      <c r="E167" s="402"/>
    </row>
    <row r="168" s="392" customFormat="1" ht="12.75">
      <c r="E168" s="402"/>
    </row>
    <row r="169" s="392" customFormat="1" ht="12.75">
      <c r="E169" s="402"/>
    </row>
    <row r="170" s="392" customFormat="1" ht="12.75">
      <c r="E170" s="402"/>
    </row>
    <row r="171" s="392" customFormat="1" ht="12.75">
      <c r="E171" s="402"/>
    </row>
    <row r="172" s="392" customFormat="1" ht="12.75">
      <c r="E172" s="402"/>
    </row>
    <row r="173" s="392" customFormat="1" ht="12.75">
      <c r="E173" s="402"/>
    </row>
    <row r="174" s="392" customFormat="1" ht="12.75">
      <c r="E174" s="402"/>
    </row>
    <row r="175" s="392" customFormat="1" ht="12.75">
      <c r="E175" s="402"/>
    </row>
    <row r="176" s="392" customFormat="1" ht="12.75">
      <c r="E176" s="402"/>
    </row>
    <row r="177" s="392" customFormat="1" ht="12.75">
      <c r="E177" s="402"/>
    </row>
    <row r="178" s="392" customFormat="1" ht="12.75">
      <c r="E178" s="402"/>
    </row>
    <row r="179" s="392" customFormat="1" ht="12.75">
      <c r="E179" s="402"/>
    </row>
    <row r="180" s="392" customFormat="1" ht="12.75">
      <c r="E180" s="402"/>
    </row>
    <row r="181" s="392" customFormat="1" ht="12.75">
      <c r="E181" s="402"/>
    </row>
    <row r="182" s="392" customFormat="1" ht="12.75">
      <c r="E182" s="402"/>
    </row>
    <row r="183" s="392" customFormat="1" ht="12.75">
      <c r="E183" s="402"/>
    </row>
    <row r="184" s="392" customFormat="1" ht="12.75">
      <c r="E184" s="402"/>
    </row>
    <row r="185" s="392" customFormat="1" ht="12.75">
      <c r="E185" s="402"/>
    </row>
    <row r="186" s="392" customFormat="1" ht="12.75">
      <c r="E186" s="402"/>
    </row>
    <row r="187" s="392" customFormat="1" ht="12.75">
      <c r="E187" s="402"/>
    </row>
    <row r="188" s="392" customFormat="1" ht="12.75">
      <c r="E188" s="402"/>
    </row>
    <row r="189" s="392" customFormat="1" ht="12.75">
      <c r="E189" s="402"/>
    </row>
    <row r="190" s="392" customFormat="1" ht="12.75">
      <c r="E190" s="402"/>
    </row>
    <row r="191" s="392" customFormat="1" ht="12.75">
      <c r="E191" s="402"/>
    </row>
    <row r="192" s="392" customFormat="1" ht="12.75">
      <c r="E192" s="402"/>
    </row>
    <row r="193" s="392" customFormat="1" ht="12.75">
      <c r="E193" s="402"/>
    </row>
    <row r="194" s="392" customFormat="1" ht="12.75">
      <c r="E194" s="402"/>
    </row>
    <row r="195" s="392" customFormat="1" ht="12.75">
      <c r="E195" s="402"/>
    </row>
    <row r="196" s="392" customFormat="1" ht="12.75">
      <c r="E196" s="402"/>
    </row>
    <row r="197" s="392" customFormat="1" ht="12.75">
      <c r="E197" s="402"/>
    </row>
    <row r="198" s="392" customFormat="1" ht="12.75">
      <c r="E198" s="402"/>
    </row>
    <row r="199" s="392" customFormat="1" ht="12.75">
      <c r="E199" s="402"/>
    </row>
    <row r="200" s="392" customFormat="1" ht="12.75">
      <c r="E200" s="402"/>
    </row>
    <row r="201" s="392" customFormat="1" ht="12.75">
      <c r="E201" s="402"/>
    </row>
    <row r="202" s="392" customFormat="1" ht="12.75">
      <c r="E202" s="402"/>
    </row>
    <row r="203" s="392" customFormat="1" ht="12.75">
      <c r="E203" s="402"/>
    </row>
    <row r="204" s="392" customFormat="1" ht="12.75">
      <c r="E204" s="402"/>
    </row>
    <row r="205" s="392" customFormat="1" ht="12.75">
      <c r="E205" s="402"/>
    </row>
    <row r="206" s="392" customFormat="1" ht="12.75">
      <c r="E206" s="402"/>
    </row>
    <row r="207" s="392" customFormat="1" ht="12.75">
      <c r="E207" s="402"/>
    </row>
    <row r="208" s="392" customFormat="1" ht="12.75">
      <c r="E208" s="402"/>
    </row>
    <row r="209" s="392" customFormat="1" ht="12.75">
      <c r="E209" s="402"/>
    </row>
    <row r="210" s="392" customFormat="1" ht="12.75">
      <c r="E210" s="402"/>
    </row>
    <row r="211" s="392" customFormat="1" ht="12.75">
      <c r="E211" s="402"/>
    </row>
    <row r="212" s="392" customFormat="1" ht="12.75">
      <c r="E212" s="402"/>
    </row>
    <row r="213" s="392" customFormat="1" ht="12.75">
      <c r="E213" s="402"/>
    </row>
    <row r="214" s="392" customFormat="1" ht="12.75">
      <c r="E214" s="402"/>
    </row>
    <row r="215" s="392" customFormat="1" ht="12.75">
      <c r="E215" s="402"/>
    </row>
    <row r="216" s="392" customFormat="1" ht="12.75">
      <c r="E216" s="402"/>
    </row>
    <row r="217" s="392" customFormat="1" ht="12.75">
      <c r="E217" s="402"/>
    </row>
    <row r="218" s="392" customFormat="1" ht="12.75">
      <c r="E218" s="402"/>
    </row>
    <row r="219" s="392" customFormat="1" ht="12.75">
      <c r="E219" s="402"/>
    </row>
    <row r="220" s="392" customFormat="1" ht="12.75">
      <c r="E220" s="402"/>
    </row>
    <row r="221" s="392" customFormat="1" ht="12.75">
      <c r="E221" s="402"/>
    </row>
    <row r="222" s="392" customFormat="1" ht="12.75">
      <c r="E222" s="402"/>
    </row>
    <row r="223" s="392" customFormat="1" ht="12.75">
      <c r="E223" s="402"/>
    </row>
    <row r="224" s="392" customFormat="1" ht="12.75">
      <c r="E224" s="402"/>
    </row>
    <row r="225" s="392" customFormat="1" ht="12.75">
      <c r="E225" s="402"/>
    </row>
    <row r="226" s="392" customFormat="1" ht="12.75">
      <c r="E226" s="402"/>
    </row>
    <row r="227" s="392" customFormat="1" ht="12.75">
      <c r="E227" s="402"/>
    </row>
    <row r="228" s="392" customFormat="1" ht="12.75">
      <c r="E228" s="402"/>
    </row>
    <row r="229" s="392" customFormat="1" ht="12.75">
      <c r="E229" s="402"/>
    </row>
    <row r="230" s="392" customFormat="1" ht="12.75">
      <c r="E230" s="402"/>
    </row>
    <row r="231" s="392" customFormat="1" ht="12.75">
      <c r="E231" s="402"/>
    </row>
    <row r="232" s="392" customFormat="1" ht="12.75">
      <c r="E232" s="402"/>
    </row>
    <row r="233" s="392" customFormat="1" ht="12.75">
      <c r="E233" s="402"/>
    </row>
    <row r="234" s="392" customFormat="1" ht="12.75">
      <c r="E234" s="402"/>
    </row>
    <row r="235" s="392" customFormat="1" ht="12.75">
      <c r="E235" s="402"/>
    </row>
    <row r="236" s="392" customFormat="1" ht="12.75">
      <c r="E236" s="402"/>
    </row>
    <row r="237" s="392" customFormat="1" ht="12.75">
      <c r="E237" s="402"/>
    </row>
    <row r="238" s="392" customFormat="1" ht="12.75">
      <c r="E238" s="402"/>
    </row>
    <row r="239" s="392" customFormat="1" ht="12.75">
      <c r="E239" s="402"/>
    </row>
    <row r="240" s="392" customFormat="1" ht="12.75">
      <c r="E240" s="402"/>
    </row>
    <row r="241" s="392" customFormat="1" ht="12.75">
      <c r="E241" s="402"/>
    </row>
    <row r="242" s="392" customFormat="1" ht="12.75">
      <c r="E242" s="402"/>
    </row>
    <row r="243" s="392" customFormat="1" ht="12.75">
      <c r="E243" s="402"/>
    </row>
    <row r="244" s="392" customFormat="1" ht="12.75">
      <c r="E244" s="402"/>
    </row>
    <row r="245" s="392" customFormat="1" ht="12.75">
      <c r="E245" s="402"/>
    </row>
    <row r="246" s="392" customFormat="1" ht="12.75">
      <c r="E246" s="402"/>
    </row>
    <row r="247" s="392" customFormat="1" ht="12.75">
      <c r="E247" s="402"/>
    </row>
    <row r="248" s="392" customFormat="1" ht="12.75">
      <c r="E248" s="402"/>
    </row>
    <row r="249" s="392" customFormat="1" ht="12.75">
      <c r="E249" s="402"/>
    </row>
    <row r="250" s="392" customFormat="1" ht="12.75">
      <c r="E250" s="402"/>
    </row>
    <row r="251" s="392" customFormat="1" ht="12.75">
      <c r="E251" s="402"/>
    </row>
    <row r="252" s="392" customFormat="1" ht="12.75">
      <c r="E252" s="402"/>
    </row>
    <row r="253" s="392" customFormat="1" ht="12.75">
      <c r="E253" s="402"/>
    </row>
    <row r="254" s="392" customFormat="1" ht="12.75">
      <c r="E254" s="402"/>
    </row>
    <row r="255" s="392" customFormat="1" ht="12.75">
      <c r="E255" s="402"/>
    </row>
    <row r="256" s="392" customFormat="1" ht="12.75">
      <c r="E256" s="402"/>
    </row>
    <row r="257" s="392" customFormat="1" ht="12.75">
      <c r="E257" s="402"/>
    </row>
    <row r="258" s="392" customFormat="1" ht="12.75">
      <c r="E258" s="402"/>
    </row>
    <row r="259" s="392" customFormat="1" ht="12.75">
      <c r="E259" s="402"/>
    </row>
    <row r="260" s="392" customFormat="1" ht="12.75">
      <c r="E260" s="402"/>
    </row>
    <row r="261" s="392" customFormat="1" ht="12.75">
      <c r="E261" s="402"/>
    </row>
    <row r="262" s="392" customFormat="1" ht="12.75">
      <c r="E262" s="402"/>
    </row>
    <row r="263" s="392" customFormat="1" ht="12.75">
      <c r="E263" s="402"/>
    </row>
    <row r="264" s="392" customFormat="1" ht="12.75">
      <c r="E264" s="402"/>
    </row>
    <row r="265" s="392" customFormat="1" ht="12.75">
      <c r="E265" s="402"/>
    </row>
    <row r="266" s="392" customFormat="1" ht="12.75">
      <c r="E266" s="402"/>
    </row>
    <row r="267" s="392" customFormat="1" ht="12.75">
      <c r="E267" s="402"/>
    </row>
    <row r="268" s="392" customFormat="1" ht="12.75">
      <c r="E268" s="402"/>
    </row>
    <row r="269" s="392" customFormat="1" ht="12.75">
      <c r="E269" s="402"/>
    </row>
    <row r="270" s="392" customFormat="1" ht="12.75">
      <c r="E270" s="402"/>
    </row>
    <row r="271" s="392" customFormat="1" ht="12.75">
      <c r="E271" s="402"/>
    </row>
    <row r="272" s="392" customFormat="1" ht="12.75">
      <c r="E272" s="402"/>
    </row>
    <row r="273" s="392" customFormat="1" ht="12.75">
      <c r="E273" s="402"/>
    </row>
    <row r="274" s="392" customFormat="1" ht="12.75">
      <c r="E274" s="402"/>
    </row>
    <row r="275" s="392" customFormat="1" ht="12.75">
      <c r="E275" s="402"/>
    </row>
    <row r="276" s="392" customFormat="1" ht="12.75">
      <c r="E276" s="402"/>
    </row>
    <row r="277" s="392" customFormat="1" ht="12.75">
      <c r="E277" s="402"/>
    </row>
    <row r="278" s="392" customFormat="1" ht="12.75">
      <c r="E278" s="402"/>
    </row>
    <row r="279" s="392" customFormat="1" ht="12.75">
      <c r="E279" s="402"/>
    </row>
    <row r="280" s="392" customFormat="1" ht="12.75">
      <c r="E280" s="402"/>
    </row>
    <row r="281" s="392" customFormat="1" ht="12.75">
      <c r="E281" s="402"/>
    </row>
    <row r="282" s="392" customFormat="1" ht="12.75">
      <c r="E282" s="402"/>
    </row>
    <row r="283" s="392" customFormat="1" ht="12.75">
      <c r="E283" s="402"/>
    </row>
    <row r="284" s="392" customFormat="1" ht="12.75">
      <c r="E284" s="402"/>
    </row>
    <row r="285" s="392" customFormat="1" ht="12.75">
      <c r="E285" s="402"/>
    </row>
    <row r="286" s="392" customFormat="1" ht="12.75">
      <c r="E286" s="402"/>
    </row>
    <row r="287" s="392" customFormat="1" ht="12.75">
      <c r="E287" s="402"/>
    </row>
    <row r="288" s="392" customFormat="1" ht="12.75">
      <c r="E288" s="402"/>
    </row>
    <row r="289" s="392" customFormat="1" ht="12.75">
      <c r="E289" s="402"/>
    </row>
    <row r="290" s="392" customFormat="1" ht="12.75">
      <c r="E290" s="402"/>
    </row>
    <row r="291" s="392" customFormat="1" ht="12.75">
      <c r="E291" s="402"/>
    </row>
    <row r="292" s="392" customFormat="1" ht="12.75">
      <c r="E292" s="402"/>
    </row>
    <row r="293" s="392" customFormat="1" ht="12.75">
      <c r="E293" s="402"/>
    </row>
    <row r="294" s="392" customFormat="1" ht="12.75">
      <c r="E294" s="402"/>
    </row>
    <row r="295" s="392" customFormat="1" ht="12.75">
      <c r="E295" s="402"/>
    </row>
    <row r="296" s="392" customFormat="1" ht="12.75">
      <c r="E296" s="402"/>
    </row>
    <row r="297" s="392" customFormat="1" ht="12.75">
      <c r="E297" s="402"/>
    </row>
    <row r="298" s="392" customFormat="1" ht="12.75">
      <c r="E298" s="402"/>
    </row>
    <row r="299" s="392" customFormat="1" ht="12.75">
      <c r="E299" s="402"/>
    </row>
    <row r="300" s="392" customFormat="1" ht="12.75">
      <c r="E300" s="402"/>
    </row>
    <row r="301" s="392" customFormat="1" ht="12.75">
      <c r="E301" s="402"/>
    </row>
    <row r="302" s="392" customFormat="1" ht="12.75">
      <c r="E302" s="402"/>
    </row>
    <row r="303" s="392" customFormat="1" ht="12.75">
      <c r="E303" s="402"/>
    </row>
    <row r="304" s="392" customFormat="1" ht="12.75">
      <c r="E304" s="402"/>
    </row>
    <row r="305" s="392" customFormat="1" ht="12.75">
      <c r="E305" s="402"/>
    </row>
    <row r="306" s="392" customFormat="1" ht="12.75">
      <c r="E306" s="402"/>
    </row>
    <row r="307" s="392" customFormat="1" ht="12.75">
      <c r="E307" s="402"/>
    </row>
    <row r="308" s="392" customFormat="1" ht="12.75">
      <c r="E308" s="402"/>
    </row>
    <row r="309" s="392" customFormat="1" ht="12.75">
      <c r="E309" s="402"/>
    </row>
    <row r="310" s="392" customFormat="1" ht="12.75">
      <c r="E310" s="402"/>
    </row>
    <row r="311" s="392" customFormat="1" ht="12.75">
      <c r="E311" s="402"/>
    </row>
    <row r="312" s="392" customFormat="1" ht="12.75">
      <c r="E312" s="402"/>
    </row>
    <row r="313" s="392" customFormat="1" ht="12.75">
      <c r="E313" s="402"/>
    </row>
    <row r="314" s="392" customFormat="1" ht="12.75">
      <c r="E314" s="402"/>
    </row>
    <row r="315" s="392" customFormat="1" ht="12.75">
      <c r="E315" s="402"/>
    </row>
    <row r="316" s="392" customFormat="1" ht="12.75">
      <c r="E316" s="402"/>
    </row>
    <row r="317" s="392" customFormat="1" ht="12.75">
      <c r="E317" s="402"/>
    </row>
    <row r="318" s="392" customFormat="1" ht="12.75">
      <c r="E318" s="402"/>
    </row>
    <row r="319" s="392" customFormat="1" ht="12.75">
      <c r="E319" s="402"/>
    </row>
    <row r="320" s="392" customFormat="1" ht="12.75">
      <c r="E320" s="402"/>
    </row>
    <row r="321" s="392" customFormat="1" ht="12.75">
      <c r="E321" s="402"/>
    </row>
    <row r="322" s="392" customFormat="1" ht="12.75">
      <c r="E322" s="402"/>
    </row>
    <row r="323" s="392" customFormat="1" ht="12.75">
      <c r="E323" s="402"/>
    </row>
    <row r="324" s="392" customFormat="1" ht="12.75">
      <c r="E324" s="402"/>
    </row>
    <row r="325" s="392" customFormat="1" ht="12.75">
      <c r="E325" s="402"/>
    </row>
    <row r="326" s="392" customFormat="1" ht="12.75">
      <c r="E326" s="402"/>
    </row>
    <row r="327" s="392" customFormat="1" ht="12.75">
      <c r="E327" s="402"/>
    </row>
    <row r="328" s="392" customFormat="1" ht="12.75">
      <c r="E328" s="402"/>
    </row>
    <row r="329" s="392" customFormat="1" ht="12.75">
      <c r="E329" s="402"/>
    </row>
    <row r="330" s="392" customFormat="1" ht="12.75">
      <c r="E330" s="402"/>
    </row>
    <row r="331" s="392" customFormat="1" ht="12.75">
      <c r="E331" s="402"/>
    </row>
    <row r="332" s="392" customFormat="1" ht="12.75">
      <c r="E332" s="402"/>
    </row>
    <row r="333" s="392" customFormat="1" ht="12.75">
      <c r="E333" s="402"/>
    </row>
    <row r="334" s="392" customFormat="1" ht="12.75">
      <c r="E334" s="402"/>
    </row>
    <row r="335" s="392" customFormat="1" ht="12.75">
      <c r="E335" s="402"/>
    </row>
    <row r="336" s="392" customFormat="1" ht="12.75">
      <c r="E336" s="402"/>
    </row>
    <row r="337" s="392" customFormat="1" ht="12.75">
      <c r="E337" s="402"/>
    </row>
    <row r="338" s="392" customFormat="1" ht="12.75">
      <c r="E338" s="402"/>
    </row>
    <row r="339" s="392" customFormat="1" ht="12.75">
      <c r="E339" s="402"/>
    </row>
    <row r="340" s="392" customFormat="1" ht="12.75">
      <c r="E340" s="402"/>
    </row>
    <row r="341" s="392" customFormat="1" ht="12.75">
      <c r="E341" s="402"/>
    </row>
    <row r="342" s="392" customFormat="1" ht="12.75">
      <c r="E342" s="402"/>
    </row>
    <row r="343" s="392" customFormat="1" ht="12.75">
      <c r="E343" s="402"/>
    </row>
    <row r="344" s="392" customFormat="1" ht="12.75">
      <c r="E344" s="402"/>
    </row>
    <row r="345" s="392" customFormat="1" ht="12.75">
      <c r="E345" s="402"/>
    </row>
    <row r="346" s="392" customFormat="1" ht="12.75">
      <c r="E346" s="402"/>
    </row>
    <row r="347" s="392" customFormat="1" ht="12.75">
      <c r="E347" s="402"/>
    </row>
    <row r="348" s="392" customFormat="1" ht="12.75">
      <c r="E348" s="402"/>
    </row>
    <row r="349" s="392" customFormat="1" ht="12.75">
      <c r="E349" s="402"/>
    </row>
    <row r="350" s="392" customFormat="1" ht="12.75">
      <c r="E350" s="402"/>
    </row>
    <row r="351" s="392" customFormat="1" ht="12.75">
      <c r="E351" s="402"/>
    </row>
    <row r="352" s="392" customFormat="1" ht="12.75">
      <c r="E352" s="402"/>
    </row>
    <row r="353" s="392" customFormat="1" ht="12.75">
      <c r="E353" s="402"/>
    </row>
    <row r="354" s="392" customFormat="1" ht="12.75">
      <c r="E354" s="402"/>
    </row>
    <row r="355" s="392" customFormat="1" ht="12.75">
      <c r="E355" s="402"/>
    </row>
    <row r="356" s="392" customFormat="1" ht="12.75">
      <c r="E356" s="402"/>
    </row>
    <row r="357" s="392" customFormat="1" ht="12.75">
      <c r="E357" s="402"/>
    </row>
    <row r="358" s="392" customFormat="1" ht="12.75">
      <c r="E358" s="402"/>
    </row>
    <row r="359" s="392" customFormat="1" ht="12.75">
      <c r="E359" s="402"/>
    </row>
    <row r="360" s="392" customFormat="1" ht="12.75">
      <c r="E360" s="402"/>
    </row>
    <row r="361" s="392" customFormat="1" ht="12.75">
      <c r="E361" s="402"/>
    </row>
    <row r="362" s="392" customFormat="1" ht="12.75">
      <c r="E362" s="402"/>
    </row>
    <row r="363" s="392" customFormat="1" ht="12.75">
      <c r="E363" s="402"/>
    </row>
    <row r="364" s="392" customFormat="1" ht="12.75">
      <c r="E364" s="402"/>
    </row>
    <row r="365" s="392" customFormat="1" ht="12.75">
      <c r="E365" s="402"/>
    </row>
    <row r="366" s="392" customFormat="1" ht="12.75">
      <c r="E366" s="402"/>
    </row>
    <row r="367" s="392" customFormat="1" ht="12.75">
      <c r="E367" s="402"/>
    </row>
    <row r="368" s="392" customFormat="1" ht="12.75">
      <c r="E368" s="402"/>
    </row>
    <row r="369" s="392" customFormat="1" ht="12.75">
      <c r="E369" s="402"/>
    </row>
    <row r="370" s="392" customFormat="1" ht="12.75">
      <c r="E370" s="402"/>
    </row>
    <row r="371" s="392" customFormat="1" ht="12.75">
      <c r="E371" s="402"/>
    </row>
    <row r="372" s="392" customFormat="1" ht="12.75">
      <c r="E372" s="402"/>
    </row>
    <row r="373" s="392" customFormat="1" ht="12.75">
      <c r="E373" s="402"/>
    </row>
    <row r="374" s="392" customFormat="1" ht="12.75">
      <c r="E374" s="402"/>
    </row>
    <row r="375" s="392" customFormat="1" ht="12.75">
      <c r="E375" s="402"/>
    </row>
    <row r="376" s="392" customFormat="1" ht="12.75">
      <c r="E376" s="402"/>
    </row>
    <row r="377" s="392" customFormat="1" ht="12.75">
      <c r="E377" s="402"/>
    </row>
    <row r="378" s="392" customFormat="1" ht="12.75">
      <c r="E378" s="402"/>
    </row>
    <row r="379" s="392" customFormat="1" ht="12.75">
      <c r="E379" s="402"/>
    </row>
    <row r="380" s="392" customFormat="1" ht="12.75">
      <c r="E380" s="402"/>
    </row>
    <row r="381" s="392" customFormat="1" ht="12.75">
      <c r="E381" s="402"/>
    </row>
    <row r="382" s="392" customFormat="1" ht="12.75">
      <c r="E382" s="402"/>
    </row>
    <row r="383" s="392" customFormat="1" ht="12.75">
      <c r="E383" s="402"/>
    </row>
    <row r="384" s="392" customFormat="1" ht="12.75">
      <c r="E384" s="402"/>
    </row>
    <row r="385" s="392" customFormat="1" ht="12.75">
      <c r="E385" s="402"/>
    </row>
    <row r="386" s="392" customFormat="1" ht="12.75">
      <c r="E386" s="402"/>
    </row>
    <row r="387" s="392" customFormat="1" ht="12.75">
      <c r="E387" s="402"/>
    </row>
    <row r="388" s="392" customFormat="1" ht="12.75">
      <c r="E388" s="402"/>
    </row>
    <row r="389" s="392" customFormat="1" ht="12.75">
      <c r="E389" s="402"/>
    </row>
    <row r="390" s="392" customFormat="1" ht="12.75">
      <c r="E390" s="402"/>
    </row>
    <row r="391" s="392" customFormat="1" ht="12.75">
      <c r="E391" s="402"/>
    </row>
    <row r="392" s="392" customFormat="1" ht="12.75">
      <c r="E392" s="402"/>
    </row>
    <row r="393" s="392" customFormat="1" ht="12.75">
      <c r="E393" s="402"/>
    </row>
    <row r="394" s="392" customFormat="1" ht="12.75">
      <c r="E394" s="402"/>
    </row>
    <row r="395" s="392" customFormat="1" ht="12.75">
      <c r="E395" s="402"/>
    </row>
    <row r="396" s="392" customFormat="1" ht="12.75">
      <c r="E396" s="402"/>
    </row>
    <row r="397" s="392" customFormat="1" ht="12.75">
      <c r="E397" s="402"/>
    </row>
    <row r="398" s="392" customFormat="1" ht="12.75">
      <c r="E398" s="402"/>
    </row>
    <row r="399" s="392" customFormat="1" ht="12.75">
      <c r="E399" s="402"/>
    </row>
    <row r="400" s="392" customFormat="1" ht="12.75">
      <c r="E400" s="402"/>
    </row>
    <row r="401" s="392" customFormat="1" ht="12.75">
      <c r="E401" s="402"/>
    </row>
    <row r="402" s="392" customFormat="1" ht="12.75">
      <c r="E402" s="402"/>
    </row>
    <row r="403" s="392" customFormat="1" ht="12.75">
      <c r="E403" s="402"/>
    </row>
    <row r="404" s="392" customFormat="1" ht="12.75">
      <c r="E404" s="402"/>
    </row>
    <row r="405" s="392" customFormat="1" ht="12.75">
      <c r="E405" s="402"/>
    </row>
    <row r="406" s="392" customFormat="1" ht="12.75">
      <c r="E406" s="402"/>
    </row>
    <row r="407" s="392" customFormat="1" ht="12.75">
      <c r="E407" s="402"/>
    </row>
    <row r="408" s="392" customFormat="1" ht="12.75">
      <c r="E408" s="402"/>
    </row>
    <row r="409" s="392" customFormat="1" ht="12.75">
      <c r="E409" s="402"/>
    </row>
    <row r="410" s="392" customFormat="1" ht="12.75">
      <c r="E410" s="402"/>
    </row>
    <row r="411" s="392" customFormat="1" ht="12.75">
      <c r="E411" s="402"/>
    </row>
    <row r="412" s="392" customFormat="1" ht="12.75">
      <c r="E412" s="402"/>
    </row>
    <row r="413" s="392" customFormat="1" ht="12.75">
      <c r="E413" s="402"/>
    </row>
    <row r="414" s="392" customFormat="1" ht="12.75">
      <c r="E414" s="402"/>
    </row>
    <row r="415" s="392" customFormat="1" ht="12.75">
      <c r="E415" s="402"/>
    </row>
    <row r="416" s="392" customFormat="1" ht="12.75">
      <c r="E416" s="402"/>
    </row>
    <row r="417" s="392" customFormat="1" ht="12.75">
      <c r="E417" s="402"/>
    </row>
    <row r="418" s="392" customFormat="1" ht="12.75">
      <c r="E418" s="402"/>
    </row>
    <row r="419" s="392" customFormat="1" ht="12.75">
      <c r="E419" s="402"/>
    </row>
    <row r="420" s="392" customFormat="1" ht="12.75">
      <c r="E420" s="402"/>
    </row>
    <row r="421" s="392" customFormat="1" ht="12.75">
      <c r="E421" s="402"/>
    </row>
    <row r="422" s="392" customFormat="1" ht="12.75">
      <c r="E422" s="402"/>
    </row>
    <row r="423" s="392" customFormat="1" ht="12.75">
      <c r="E423" s="402"/>
    </row>
    <row r="424" s="392" customFormat="1" ht="12.75">
      <c r="E424" s="402"/>
    </row>
    <row r="425" s="392" customFormat="1" ht="12.75">
      <c r="E425" s="402"/>
    </row>
    <row r="426" s="392" customFormat="1" ht="12.75">
      <c r="E426" s="402"/>
    </row>
    <row r="427" s="392" customFormat="1" ht="12.75">
      <c r="E427" s="402"/>
    </row>
    <row r="428" s="392" customFormat="1" ht="12.75">
      <c r="E428" s="402"/>
    </row>
    <row r="429" s="392" customFormat="1" ht="12.75">
      <c r="E429" s="402"/>
    </row>
    <row r="430" s="392" customFormat="1" ht="12.75">
      <c r="E430" s="402"/>
    </row>
    <row r="431" s="392" customFormat="1" ht="12.75">
      <c r="E431" s="402"/>
    </row>
    <row r="432" s="392" customFormat="1" ht="12.75">
      <c r="E432" s="402"/>
    </row>
    <row r="433" s="392" customFormat="1" ht="12.75">
      <c r="E433" s="402"/>
    </row>
    <row r="434" s="392" customFormat="1" ht="12.75">
      <c r="E434" s="402"/>
    </row>
    <row r="435" s="392" customFormat="1" ht="12.75">
      <c r="E435" s="402"/>
    </row>
    <row r="436" s="392" customFormat="1" ht="12.75">
      <c r="E436" s="402"/>
    </row>
    <row r="437" s="392" customFormat="1" ht="12.75">
      <c r="E437" s="402"/>
    </row>
    <row r="438" s="392" customFormat="1" ht="12.75">
      <c r="E438" s="402"/>
    </row>
    <row r="439" s="392" customFormat="1" ht="12.75">
      <c r="E439" s="402"/>
    </row>
    <row r="440" s="392" customFormat="1" ht="12.75">
      <c r="E440" s="402"/>
    </row>
    <row r="441" s="392" customFormat="1" ht="12.75">
      <c r="E441" s="402"/>
    </row>
    <row r="442" s="392" customFormat="1" ht="12.75">
      <c r="E442" s="402"/>
    </row>
    <row r="443" s="392" customFormat="1" ht="12.75">
      <c r="E443" s="402"/>
    </row>
    <row r="444" s="392" customFormat="1" ht="12.75">
      <c r="E444" s="402"/>
    </row>
    <row r="445" s="392" customFormat="1" ht="12.75">
      <c r="E445" s="402"/>
    </row>
    <row r="446" s="392" customFormat="1" ht="12.75">
      <c r="E446" s="402"/>
    </row>
    <row r="447" s="392" customFormat="1" ht="12.75">
      <c r="E447" s="402"/>
    </row>
    <row r="448" s="392" customFormat="1" ht="12.75">
      <c r="E448" s="402"/>
    </row>
    <row r="449" s="392" customFormat="1" ht="12.75">
      <c r="E449" s="402"/>
    </row>
    <row r="450" s="392" customFormat="1" ht="12.75">
      <c r="E450" s="402"/>
    </row>
    <row r="451" s="392" customFormat="1" ht="12.75">
      <c r="E451" s="402"/>
    </row>
    <row r="452" s="392" customFormat="1" ht="12.75">
      <c r="E452" s="402"/>
    </row>
    <row r="453" s="392" customFormat="1" ht="12.75">
      <c r="E453" s="402"/>
    </row>
    <row r="454" s="392" customFormat="1" ht="12.75">
      <c r="E454" s="402"/>
    </row>
    <row r="455" s="392" customFormat="1" ht="12.75">
      <c r="E455" s="402"/>
    </row>
    <row r="456" s="392" customFormat="1" ht="12.75">
      <c r="E456" s="402"/>
    </row>
    <row r="457" s="392" customFormat="1" ht="12.75">
      <c r="E457" s="402"/>
    </row>
    <row r="458" s="392" customFormat="1" ht="12.75">
      <c r="E458" s="402"/>
    </row>
    <row r="459" s="392" customFormat="1" ht="12.75">
      <c r="E459" s="402"/>
    </row>
    <row r="460" s="392" customFormat="1" ht="12.75">
      <c r="E460" s="402"/>
    </row>
    <row r="461" s="392" customFormat="1" ht="12.75">
      <c r="E461" s="402"/>
    </row>
    <row r="462" s="392" customFormat="1" ht="12.75">
      <c r="E462" s="402"/>
    </row>
    <row r="463" s="392" customFormat="1" ht="12.75">
      <c r="E463" s="402"/>
    </row>
    <row r="464" s="392" customFormat="1" ht="12.75">
      <c r="E464" s="402"/>
    </row>
    <row r="465" s="392" customFormat="1" ht="12.75">
      <c r="E465" s="402"/>
    </row>
    <row r="466" s="392" customFormat="1" ht="12.75">
      <c r="E466" s="402"/>
    </row>
    <row r="467" s="392" customFormat="1" ht="12.75">
      <c r="E467" s="402"/>
    </row>
    <row r="468" s="392" customFormat="1" ht="12.75">
      <c r="E468" s="402"/>
    </row>
    <row r="469" s="392" customFormat="1" ht="12.75">
      <c r="E469" s="402"/>
    </row>
    <row r="470" s="392" customFormat="1" ht="12.75">
      <c r="E470" s="402"/>
    </row>
    <row r="471" s="392" customFormat="1" ht="12.75">
      <c r="E471" s="402"/>
    </row>
    <row r="472" s="392" customFormat="1" ht="12.75">
      <c r="E472" s="402"/>
    </row>
    <row r="473" s="392" customFormat="1" ht="12.75">
      <c r="E473" s="402"/>
    </row>
    <row r="474" s="392" customFormat="1" ht="12.75">
      <c r="E474" s="402"/>
    </row>
    <row r="475" s="392" customFormat="1" ht="12.75">
      <c r="E475" s="402"/>
    </row>
    <row r="476" s="392" customFormat="1" ht="12.75">
      <c r="E476" s="402"/>
    </row>
    <row r="477" s="392" customFormat="1" ht="12.75">
      <c r="E477" s="402"/>
    </row>
    <row r="478" s="392" customFormat="1" ht="12.75">
      <c r="E478" s="402"/>
    </row>
    <row r="479" s="392" customFormat="1" ht="12.75">
      <c r="E479" s="402"/>
    </row>
    <row r="480" s="392" customFormat="1" ht="12.75">
      <c r="E480" s="402"/>
    </row>
    <row r="481" s="392" customFormat="1" ht="12.75">
      <c r="E481" s="402"/>
    </row>
    <row r="482" s="392" customFormat="1" ht="12.75">
      <c r="E482" s="402"/>
    </row>
    <row r="483" s="392" customFormat="1" ht="12.75">
      <c r="E483" s="402"/>
    </row>
    <row r="484" s="392" customFormat="1" ht="12.75">
      <c r="E484" s="402"/>
    </row>
    <row r="485" s="392" customFormat="1" ht="12.75">
      <c r="E485" s="402"/>
    </row>
    <row r="486" s="392" customFormat="1" ht="12.75">
      <c r="E486" s="402"/>
    </row>
    <row r="487" s="392" customFormat="1" ht="12.75">
      <c r="E487" s="402"/>
    </row>
    <row r="488" s="392" customFormat="1" ht="12.75">
      <c r="E488" s="402"/>
    </row>
    <row r="489" s="392" customFormat="1" ht="12.75">
      <c r="E489" s="402"/>
    </row>
    <row r="490" s="392" customFormat="1" ht="12.75">
      <c r="E490" s="402"/>
    </row>
    <row r="491" s="392" customFormat="1" ht="12.75">
      <c r="E491" s="402"/>
    </row>
    <row r="492" s="392" customFormat="1" ht="12.75">
      <c r="E492" s="402"/>
    </row>
    <row r="493" s="392" customFormat="1" ht="12.75">
      <c r="E493" s="402"/>
    </row>
    <row r="494" s="392" customFormat="1" ht="12.75">
      <c r="E494" s="402"/>
    </row>
    <row r="495" s="392" customFormat="1" ht="12.75">
      <c r="E495" s="402"/>
    </row>
    <row r="496" s="392" customFormat="1" ht="12.75">
      <c r="E496" s="402"/>
    </row>
    <row r="497" s="392" customFormat="1" ht="12.75">
      <c r="E497" s="402"/>
    </row>
    <row r="498" s="392" customFormat="1" ht="12.75">
      <c r="E498" s="402"/>
    </row>
    <row r="499" s="392" customFormat="1" ht="12.75">
      <c r="E499" s="402"/>
    </row>
    <row r="500" s="392" customFormat="1" ht="12.75">
      <c r="E500" s="402"/>
    </row>
    <row r="501" s="392" customFormat="1" ht="12.75">
      <c r="E501" s="402"/>
    </row>
    <row r="502" s="392" customFormat="1" ht="12.75">
      <c r="E502" s="402"/>
    </row>
    <row r="503" s="392" customFormat="1" ht="12.75">
      <c r="E503" s="402"/>
    </row>
    <row r="504" s="392" customFormat="1" ht="12.75">
      <c r="E504" s="402"/>
    </row>
    <row r="505" s="392" customFormat="1" ht="12.75">
      <c r="E505" s="402"/>
    </row>
    <row r="506" s="392" customFormat="1" ht="12.75">
      <c r="E506" s="402"/>
    </row>
    <row r="507" s="392" customFormat="1" ht="12.75">
      <c r="E507" s="402"/>
    </row>
    <row r="508" s="392" customFormat="1" ht="12.75">
      <c r="E508" s="402"/>
    </row>
    <row r="509" s="392" customFormat="1" ht="12.75">
      <c r="E509" s="402"/>
    </row>
    <row r="510" s="392" customFormat="1" ht="12.75">
      <c r="E510" s="402"/>
    </row>
    <row r="511" s="392" customFormat="1" ht="12.75">
      <c r="E511" s="402"/>
    </row>
    <row r="512" s="392" customFormat="1" ht="12.75">
      <c r="E512" s="402"/>
    </row>
    <row r="513" s="392" customFormat="1" ht="12.75">
      <c r="E513" s="402"/>
    </row>
    <row r="514" s="392" customFormat="1" ht="12.75">
      <c r="E514" s="402"/>
    </row>
    <row r="515" s="392" customFormat="1" ht="12.75">
      <c r="E515" s="402"/>
    </row>
    <row r="516" s="392" customFormat="1" ht="12.75">
      <c r="E516" s="402"/>
    </row>
    <row r="517" s="392" customFormat="1" ht="12.75">
      <c r="E517" s="402"/>
    </row>
    <row r="518" s="392" customFormat="1" ht="12.75">
      <c r="E518" s="402"/>
    </row>
    <row r="519" s="392" customFormat="1" ht="12.75">
      <c r="E519" s="402"/>
    </row>
    <row r="520" s="392" customFormat="1" ht="12.75">
      <c r="E520" s="402"/>
    </row>
    <row r="521" s="392" customFormat="1" ht="12.75">
      <c r="E521" s="402"/>
    </row>
    <row r="522" s="392" customFormat="1" ht="12.75">
      <c r="E522" s="402"/>
    </row>
    <row r="523" s="392" customFormat="1" ht="12.75">
      <c r="E523" s="402"/>
    </row>
    <row r="524" s="392" customFormat="1" ht="12.75">
      <c r="E524" s="402"/>
    </row>
    <row r="525" s="392" customFormat="1" ht="12.75">
      <c r="E525" s="402"/>
    </row>
    <row r="526" s="392" customFormat="1" ht="12.75">
      <c r="E526" s="402"/>
    </row>
    <row r="527" s="392" customFormat="1" ht="12.75">
      <c r="E527" s="402"/>
    </row>
    <row r="528" s="392" customFormat="1" ht="12.75">
      <c r="E528" s="402"/>
    </row>
    <row r="529" s="392" customFormat="1" ht="12.75">
      <c r="E529" s="402"/>
    </row>
    <row r="530" s="392" customFormat="1" ht="12.75">
      <c r="E530" s="402"/>
    </row>
    <row r="531" s="392" customFormat="1" ht="12.75">
      <c r="E531" s="402"/>
    </row>
    <row r="532" s="392" customFormat="1" ht="12.75">
      <c r="E532" s="402"/>
    </row>
    <row r="533" s="392" customFormat="1" ht="12.75">
      <c r="E533" s="402"/>
    </row>
    <row r="534" s="392" customFormat="1" ht="12.75">
      <c r="E534" s="402"/>
    </row>
    <row r="535" s="392" customFormat="1" ht="12.75">
      <c r="E535" s="402"/>
    </row>
    <row r="536" s="392" customFormat="1" ht="12.75">
      <c r="E536" s="402"/>
    </row>
    <row r="537" s="392" customFormat="1" ht="12.75">
      <c r="E537" s="402"/>
    </row>
    <row r="538" s="392" customFormat="1" ht="12.75">
      <c r="E538" s="402"/>
    </row>
    <row r="539" s="392" customFormat="1" ht="12.75">
      <c r="E539" s="402"/>
    </row>
    <row r="540" s="392" customFormat="1" ht="12.75">
      <c r="E540" s="402"/>
    </row>
    <row r="541" s="392" customFormat="1" ht="12.75">
      <c r="E541" s="402"/>
    </row>
    <row r="542" s="392" customFormat="1" ht="12.75">
      <c r="E542" s="402"/>
    </row>
    <row r="543" s="392" customFormat="1" ht="12.75">
      <c r="E543" s="402"/>
    </row>
    <row r="544" s="392" customFormat="1" ht="12.75">
      <c r="E544" s="402"/>
    </row>
    <row r="545" s="392" customFormat="1" ht="12.75">
      <c r="E545" s="402"/>
    </row>
    <row r="546" s="392" customFormat="1" ht="12.75">
      <c r="E546" s="402"/>
    </row>
    <row r="547" s="392" customFormat="1" ht="12.75">
      <c r="E547" s="402"/>
    </row>
    <row r="548" s="392" customFormat="1" ht="12.75">
      <c r="E548" s="402"/>
    </row>
    <row r="549" s="392" customFormat="1" ht="12.75">
      <c r="E549" s="402"/>
    </row>
    <row r="550" s="392" customFormat="1" ht="12.75">
      <c r="E550" s="402"/>
    </row>
    <row r="551" s="392" customFormat="1" ht="12.75">
      <c r="E551" s="402"/>
    </row>
    <row r="552" s="392" customFormat="1" ht="12.75">
      <c r="E552" s="402"/>
    </row>
    <row r="553" s="392" customFormat="1" ht="12.75">
      <c r="E553" s="402"/>
    </row>
    <row r="554" s="392" customFormat="1" ht="12.75">
      <c r="E554" s="402"/>
    </row>
    <row r="555" s="392" customFormat="1" ht="12.75">
      <c r="E555" s="402"/>
    </row>
    <row r="556" s="392" customFormat="1" ht="12.75">
      <c r="E556" s="402"/>
    </row>
    <row r="557" s="392" customFormat="1" ht="12.75">
      <c r="E557" s="402"/>
    </row>
    <row r="558" s="392" customFormat="1" ht="12.75">
      <c r="E558" s="402"/>
    </row>
    <row r="559" s="392" customFormat="1" ht="12.75">
      <c r="E559" s="402"/>
    </row>
    <row r="560" s="392" customFormat="1" ht="12.75">
      <c r="E560" s="402"/>
    </row>
    <row r="561" s="392" customFormat="1" ht="12.75">
      <c r="E561" s="402"/>
    </row>
    <row r="562" s="392" customFormat="1" ht="12.75">
      <c r="E562" s="402"/>
    </row>
    <row r="563" s="392" customFormat="1" ht="12.75">
      <c r="E563" s="402"/>
    </row>
    <row r="564" s="392" customFormat="1" ht="12.75">
      <c r="E564" s="402"/>
    </row>
    <row r="565" s="392" customFormat="1" ht="12.75">
      <c r="E565" s="402"/>
    </row>
    <row r="566" s="392" customFormat="1" ht="12.75">
      <c r="E566" s="402"/>
    </row>
    <row r="567" s="392" customFormat="1" ht="12.75">
      <c r="E567" s="402"/>
    </row>
    <row r="568" s="392" customFormat="1" ht="12.75">
      <c r="E568" s="402"/>
    </row>
    <row r="569" spans="1:5" ht="12.75">
      <c r="A569" s="392"/>
      <c r="B569" s="392"/>
      <c r="C569" s="392"/>
      <c r="D569" s="392"/>
      <c r="E569" s="402"/>
    </row>
  </sheetData>
  <sheetProtection formatCells="0" formatColumns="0" formatRows="0" insertColumns="0" insertRows="0" insertHyperlinks="0" deleteColumns="0" deleteRows="0" sort="0" autoFilter="0" pivotTables="0"/>
  <mergeCells count="3">
    <mergeCell ref="A7:C7"/>
    <mergeCell ref="A8:C8"/>
    <mergeCell ref="A9:D9"/>
  </mergeCells>
  <printOptions horizontalCentered="1" verticalCentered="1"/>
  <pageMargins left="0.17" right="0.16" top="0.17" bottom="0.52" header="0" footer="0"/>
  <pageSetup horizontalDpi="300" verticalDpi="300" orientation="portrait" paperSize="9" scale="55" r:id="rId2"/>
  <headerFooter alignWithMargins="0">
    <oddFooter>&amp;L&amp;7Plaza de España, 1
38003 Santa Cruz de Tenerife
Teléfono: 901 501 901
www.tenerife.es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1"/>
  <sheetViews>
    <sheetView showGridLines="0" view="pageBreakPreview" zoomScale="110" zoomScaleSheetLayoutView="110" zoomScalePageLayoutView="0" workbookViewId="0" topLeftCell="A1">
      <selection activeCell="C4" sqref="C4"/>
    </sheetView>
  </sheetViews>
  <sheetFormatPr defaultColWidth="11.57421875" defaultRowHeight="12.75"/>
  <cols>
    <col min="1" max="1" width="76.7109375" style="303" customWidth="1"/>
    <col min="2" max="2" width="0.42578125" style="303" hidden="1" customWidth="1"/>
    <col min="3" max="3" width="17.8515625" style="303" customWidth="1"/>
    <col min="4" max="4" width="20.7109375" style="303" customWidth="1"/>
    <col min="5" max="5" width="10.28125" style="303" customWidth="1"/>
    <col min="6" max="6" width="11.57421875" style="305" customWidth="1"/>
    <col min="7" max="16384" width="11.57421875" style="303" customWidth="1"/>
  </cols>
  <sheetData>
    <row r="1" spans="1:7" ht="12.75">
      <c r="A1" s="652"/>
      <c r="B1" s="652"/>
      <c r="C1" s="653" t="s">
        <v>534</v>
      </c>
      <c r="E1" s="652"/>
      <c r="F1" s="652"/>
      <c r="G1" s="652"/>
    </row>
    <row r="2" spans="1:7" ht="25.5" customHeight="1">
      <c r="A2" s="652"/>
      <c r="B2" s="652"/>
      <c r="C2" s="1025" t="s">
        <v>535</v>
      </c>
      <c r="D2" s="1025"/>
      <c r="E2" s="652"/>
      <c r="F2" s="652"/>
      <c r="G2" s="652"/>
    </row>
    <row r="3" spans="1:7" ht="12.75">
      <c r="A3" s="652"/>
      <c r="B3" s="654"/>
      <c r="C3" s="652"/>
      <c r="D3" s="652"/>
      <c r="E3" s="652"/>
      <c r="F3" s="652"/>
      <c r="G3" s="652"/>
    </row>
    <row r="4" spans="1:6" ht="12.75">
      <c r="A4" s="652" t="s">
        <v>296</v>
      </c>
      <c r="B4" s="652"/>
      <c r="C4" s="655">
        <v>42339</v>
      </c>
      <c r="D4" s="652"/>
      <c r="E4" s="652"/>
      <c r="F4" s="652"/>
    </row>
    <row r="5" spans="1:6" ht="12.75">
      <c r="A5" s="652" t="s">
        <v>533</v>
      </c>
      <c r="B5" s="652"/>
      <c r="C5" s="656" t="s">
        <v>536</v>
      </c>
      <c r="D5" s="652"/>
      <c r="E5" s="652"/>
      <c r="F5" s="652"/>
    </row>
    <row r="6" spans="1:4" ht="13.5" thickBot="1">
      <c r="A6" s="304"/>
      <c r="B6" s="304"/>
      <c r="C6" s="304"/>
      <c r="D6" s="304"/>
    </row>
    <row r="7" spans="1:6" s="307" customFormat="1" ht="35.25" customHeight="1">
      <c r="A7" s="1028" t="s">
        <v>77</v>
      </c>
      <c r="B7" s="1029"/>
      <c r="C7" s="1030"/>
      <c r="D7" s="306">
        <v>2016</v>
      </c>
      <c r="F7" s="308"/>
    </row>
    <row r="8" spans="1:4" ht="25.5" customHeight="1" thickBot="1">
      <c r="A8" s="1031" t="str">
        <f>CPYG!A8</f>
        <v>EMPRESA PÚBLICA: INSTITUTO TECNOLOGICO DE ENERGIAS RENOVABLES SA</v>
      </c>
      <c r="B8" s="1032"/>
      <c r="C8" s="1032"/>
      <c r="D8" s="309" t="s">
        <v>186</v>
      </c>
    </row>
    <row r="9" spans="1:4" ht="30" customHeight="1">
      <c r="A9" s="1033" t="s">
        <v>528</v>
      </c>
      <c r="B9" s="1034"/>
      <c r="C9" s="1034"/>
      <c r="D9" s="1035"/>
    </row>
    <row r="10" spans="1:4" ht="36" customHeight="1" thickBot="1">
      <c r="A10" s="310"/>
      <c r="B10" s="311"/>
      <c r="C10" s="312" t="s">
        <v>646</v>
      </c>
      <c r="D10" s="313" t="s">
        <v>647</v>
      </c>
    </row>
    <row r="11" spans="1:4" ht="15" customHeight="1" thickBot="1">
      <c r="A11" s="314" t="s">
        <v>540</v>
      </c>
      <c r="B11" s="315"/>
      <c r="C11" s="316"/>
      <c r="D11" s="317"/>
    </row>
    <row r="12" spans="1:4" ht="15" customHeight="1">
      <c r="A12" s="318" t="s">
        <v>187</v>
      </c>
      <c r="B12" s="319"/>
      <c r="C12" s="471">
        <f>+CPYG!D106</f>
        <v>50079.89000000188</v>
      </c>
      <c r="D12" s="472">
        <f>+CPYG!C106</f>
        <v>756267.4899999979</v>
      </c>
    </row>
    <row r="13" spans="1:4" ht="15" customHeight="1">
      <c r="A13" s="320" t="s">
        <v>188</v>
      </c>
      <c r="B13" s="321"/>
      <c r="C13" s="481">
        <f>SUM(C14:C24)</f>
        <v>853764.0299999996</v>
      </c>
      <c r="D13" s="590">
        <f>SUM(D14:D24)</f>
        <v>878774.8200000002</v>
      </c>
    </row>
    <row r="14" spans="1:4" ht="15" customHeight="1">
      <c r="A14" s="322" t="s">
        <v>189</v>
      </c>
      <c r="B14" s="321"/>
      <c r="C14" s="875">
        <v>3415297.59</v>
      </c>
      <c r="D14" s="874">
        <v>3491223.89</v>
      </c>
    </row>
    <row r="15" spans="1:4" ht="15" customHeight="1">
      <c r="A15" s="322" t="s">
        <v>190</v>
      </c>
      <c r="B15" s="321"/>
      <c r="C15" s="473"/>
      <c r="D15" s="474"/>
    </row>
    <row r="16" spans="1:4" ht="15" customHeight="1">
      <c r="A16" s="322" t="s">
        <v>191</v>
      </c>
      <c r="B16" s="321"/>
      <c r="C16" s="473"/>
      <c r="D16" s="474"/>
    </row>
    <row r="17" spans="1:4" ht="15" customHeight="1">
      <c r="A17" s="322" t="s">
        <v>192</v>
      </c>
      <c r="B17" s="321"/>
      <c r="C17" s="875">
        <v>-404670.89</v>
      </c>
      <c r="D17" s="874">
        <v>-413686.05</v>
      </c>
    </row>
    <row r="18" spans="1:4" ht="15" customHeight="1">
      <c r="A18" s="322" t="s">
        <v>193</v>
      </c>
      <c r="B18" s="321"/>
      <c r="C18" s="473"/>
      <c r="D18" s="474"/>
    </row>
    <row r="19" spans="1:4" ht="15" customHeight="1">
      <c r="A19" s="322" t="s">
        <v>194</v>
      </c>
      <c r="B19" s="321"/>
      <c r="C19" s="473"/>
      <c r="D19" s="474"/>
    </row>
    <row r="20" spans="1:4" ht="15" customHeight="1">
      <c r="A20" s="322" t="s">
        <v>195</v>
      </c>
      <c r="B20" s="321"/>
      <c r="C20" s="875">
        <v>-1088380.66</v>
      </c>
      <c r="D20" s="874">
        <v>-2518196.47</v>
      </c>
    </row>
    <row r="21" spans="1:4" ht="15" customHeight="1">
      <c r="A21" s="322" t="s">
        <v>196</v>
      </c>
      <c r="B21" s="321"/>
      <c r="C21" s="875">
        <v>282177.48</v>
      </c>
      <c r="D21" s="874">
        <v>544066.89</v>
      </c>
    </row>
    <row r="22" spans="1:4" ht="15" customHeight="1">
      <c r="A22" s="322" t="s">
        <v>197</v>
      </c>
      <c r="B22" s="321"/>
      <c r="C22" s="473"/>
      <c r="D22" s="874">
        <v>84.66</v>
      </c>
    </row>
    <row r="23" spans="1:4" ht="15" customHeight="1">
      <c r="A23" s="323" t="s">
        <v>198</v>
      </c>
      <c r="B23" s="321"/>
      <c r="C23" s="473"/>
      <c r="D23" s="474"/>
    </row>
    <row r="24" spans="1:4" ht="15" customHeight="1">
      <c r="A24" s="323" t="s">
        <v>199</v>
      </c>
      <c r="B24" s="321"/>
      <c r="C24" s="875">
        <v>-1350659.49</v>
      </c>
      <c r="D24" s="874">
        <v>-224718.1</v>
      </c>
    </row>
    <row r="25" spans="1:5" ht="15" customHeight="1">
      <c r="A25" s="320" t="s">
        <v>200</v>
      </c>
      <c r="B25" s="321"/>
      <c r="C25" s="481">
        <f>SUM(C26:C31)</f>
        <v>-3226950.33</v>
      </c>
      <c r="D25" s="590">
        <f>SUM(D26:D31)</f>
        <v>-4480945.17</v>
      </c>
      <c r="E25" s="324"/>
    </row>
    <row r="26" spans="1:5" ht="15" customHeight="1">
      <c r="A26" s="322" t="s">
        <v>201</v>
      </c>
      <c r="B26" s="321"/>
      <c r="C26" s="875">
        <v>252270</v>
      </c>
      <c r="D26" s="874">
        <v>4515</v>
      </c>
      <c r="E26" s="324"/>
    </row>
    <row r="27" spans="1:5" ht="15" customHeight="1">
      <c r="A27" s="322" t="s">
        <v>202</v>
      </c>
      <c r="B27" s="321"/>
      <c r="C27" s="875">
        <v>1188781.78</v>
      </c>
      <c r="D27" s="874">
        <v>754937.56</v>
      </c>
      <c r="E27" s="324"/>
    </row>
    <row r="28" spans="1:5" ht="15" customHeight="1">
      <c r="A28" s="322" t="s">
        <v>203</v>
      </c>
      <c r="B28" s="321"/>
      <c r="C28" s="875">
        <v>2800578.09</v>
      </c>
      <c r="D28" s="874">
        <v>2277694.05</v>
      </c>
      <c r="E28" s="324"/>
    </row>
    <row r="29" spans="1:5" ht="15" customHeight="1">
      <c r="A29" s="322" t="s">
        <v>204</v>
      </c>
      <c r="B29" s="321"/>
      <c r="C29" s="875">
        <v>72500</v>
      </c>
      <c r="D29" s="874">
        <v>122190.93</v>
      </c>
      <c r="E29" s="324"/>
    </row>
    <row r="30" spans="1:5" ht="15" customHeight="1">
      <c r="A30" s="322" t="s">
        <v>205</v>
      </c>
      <c r="B30" s="321"/>
      <c r="C30" s="875">
        <v>-7541080.2</v>
      </c>
      <c r="D30" s="874">
        <v>-7640282.71</v>
      </c>
      <c r="E30" s="324"/>
    </row>
    <row r="31" spans="1:5" ht="15" customHeight="1">
      <c r="A31" s="322" t="s">
        <v>206</v>
      </c>
      <c r="B31" s="321"/>
      <c r="C31" s="473"/>
      <c r="D31" s="874"/>
      <c r="E31" s="324"/>
    </row>
    <row r="32" spans="1:5" ht="15" customHeight="1">
      <c r="A32" s="320" t="s">
        <v>209</v>
      </c>
      <c r="B32" s="321"/>
      <c r="C32" s="481">
        <f>SUM(C33:C37)</f>
        <v>428930.37</v>
      </c>
      <c r="D32" s="590">
        <f>SUM(D33:D37)</f>
        <v>1306676.3599999999</v>
      </c>
      <c r="E32" s="324"/>
    </row>
    <row r="33" spans="1:5" ht="15" customHeight="1">
      <c r="A33" s="322" t="s">
        <v>210</v>
      </c>
      <c r="B33" s="321"/>
      <c r="C33" s="875">
        <v>-190877.48</v>
      </c>
      <c r="D33" s="874">
        <v>-542866.89</v>
      </c>
      <c r="E33" s="324"/>
    </row>
    <row r="34" spans="1:5" ht="15" customHeight="1">
      <c r="A34" s="322" t="s">
        <v>211</v>
      </c>
      <c r="B34" s="321"/>
      <c r="C34" s="875">
        <v>485320</v>
      </c>
      <c r="D34" s="874">
        <v>1847406.6</v>
      </c>
      <c r="E34" s="324"/>
    </row>
    <row r="35" spans="1:4" ht="15" customHeight="1">
      <c r="A35" s="322" t="s">
        <v>212</v>
      </c>
      <c r="B35" s="321"/>
      <c r="C35" s="875">
        <v>134487.85</v>
      </c>
      <c r="D35" s="874">
        <v>2136.65</v>
      </c>
    </row>
    <row r="36" spans="1:4" ht="15" customHeight="1">
      <c r="A36" s="322" t="s">
        <v>213</v>
      </c>
      <c r="B36" s="321"/>
      <c r="C36" s="473"/>
      <c r="D36" s="874"/>
    </row>
    <row r="37" spans="1:4" ht="15" customHeight="1" thickBot="1">
      <c r="A37" s="322" t="s">
        <v>214</v>
      </c>
      <c r="B37" s="325"/>
      <c r="C37" s="473"/>
      <c r="D37" s="874"/>
    </row>
    <row r="38" spans="1:4" ht="15" customHeight="1" thickBot="1" thickTop="1">
      <c r="A38" s="1036" t="s">
        <v>215</v>
      </c>
      <c r="B38" s="1037"/>
      <c r="C38" s="482">
        <f>C12+C13+C25+C32</f>
        <v>-1894176.0399999986</v>
      </c>
      <c r="D38" s="483">
        <f>D12+D13+D25+D32</f>
        <v>-1539226.5000000019</v>
      </c>
    </row>
    <row r="39" spans="1:4" ht="15" customHeight="1" thickBot="1">
      <c r="A39" s="314" t="s">
        <v>223</v>
      </c>
      <c r="B39" s="315"/>
      <c r="C39" s="484"/>
      <c r="D39" s="485"/>
    </row>
    <row r="40" spans="1:4" ht="15" customHeight="1">
      <c r="A40" s="318" t="s">
        <v>224</v>
      </c>
      <c r="B40" s="326"/>
      <c r="C40" s="486">
        <f>SUM(C41:C48)</f>
        <v>-9978143.07</v>
      </c>
      <c r="D40" s="591">
        <f>SUM(D41:D48)</f>
        <v>-367719.78</v>
      </c>
    </row>
    <row r="41" spans="1:4" ht="15" customHeight="1">
      <c r="A41" s="322" t="s">
        <v>225</v>
      </c>
      <c r="B41" s="327"/>
      <c r="C41" s="473"/>
      <c r="D41" s="474"/>
    </row>
    <row r="42" spans="1:4" ht="15" customHeight="1">
      <c r="A42" s="322" t="s">
        <v>226</v>
      </c>
      <c r="B42" s="327"/>
      <c r="C42" s="473"/>
      <c r="D42" s="874">
        <v>-143.7</v>
      </c>
    </row>
    <row r="43" spans="1:4" ht="15" customHeight="1">
      <c r="A43" s="322" t="s">
        <v>227</v>
      </c>
      <c r="B43" s="327"/>
      <c r="C43" s="875">
        <v>-9978143.07</v>
      </c>
      <c r="D43" s="874">
        <v>-367576.08</v>
      </c>
    </row>
    <row r="44" spans="1:4" ht="15" customHeight="1">
      <c r="A44" s="322" t="s">
        <v>228</v>
      </c>
      <c r="B44" s="327"/>
      <c r="C44" s="473"/>
      <c r="D44" s="474"/>
    </row>
    <row r="45" spans="1:4" ht="15" customHeight="1">
      <c r="A45" s="322" t="s">
        <v>229</v>
      </c>
      <c r="B45" s="327"/>
      <c r="C45" s="473"/>
      <c r="D45" s="474"/>
    </row>
    <row r="46" spans="1:4" ht="15" customHeight="1">
      <c r="A46" s="322" t="s">
        <v>230</v>
      </c>
      <c r="B46" s="327"/>
      <c r="C46" s="473"/>
      <c r="D46" s="474"/>
    </row>
    <row r="47" spans="1:4" ht="15" customHeight="1">
      <c r="A47" s="322" t="s">
        <v>231</v>
      </c>
      <c r="B47" s="327"/>
      <c r="C47" s="473"/>
      <c r="D47" s="474"/>
    </row>
    <row r="48" spans="1:4" ht="15" customHeight="1">
      <c r="A48" s="322" t="s">
        <v>232</v>
      </c>
      <c r="B48" s="327"/>
      <c r="C48" s="473"/>
      <c r="D48" s="474"/>
    </row>
    <row r="49" spans="1:4" ht="15" customHeight="1">
      <c r="A49" s="320" t="s">
        <v>233</v>
      </c>
      <c r="B49" s="327"/>
      <c r="C49" s="481">
        <f>SUM(C50:C57)</f>
        <v>963800</v>
      </c>
      <c r="D49" s="590">
        <f>SUM(D50:D57)</f>
        <v>898183.2</v>
      </c>
    </row>
    <row r="50" spans="1:4" ht="15" customHeight="1">
      <c r="A50" s="322" t="s">
        <v>234</v>
      </c>
      <c r="B50" s="327"/>
      <c r="C50" s="473"/>
      <c r="D50" s="474"/>
    </row>
    <row r="51" spans="1:4" ht="15" customHeight="1">
      <c r="A51" s="322" t="s">
        <v>226</v>
      </c>
      <c r="B51" s="327"/>
      <c r="C51" s="473"/>
      <c r="D51" s="474"/>
    </row>
    <row r="52" spans="1:4" ht="15" customHeight="1">
      <c r="A52" s="322" t="s">
        <v>227</v>
      </c>
      <c r="B52" s="327"/>
      <c r="C52" s="473"/>
      <c r="D52" s="474"/>
    </row>
    <row r="53" spans="1:4" ht="15" customHeight="1">
      <c r="A53" s="322" t="s">
        <v>228</v>
      </c>
      <c r="B53" s="327"/>
      <c r="C53" s="473"/>
      <c r="D53" s="474"/>
    </row>
    <row r="54" spans="1:4" ht="15" customHeight="1">
      <c r="A54" s="322" t="s">
        <v>229</v>
      </c>
      <c r="B54" s="327"/>
      <c r="C54" s="875">
        <v>963800</v>
      </c>
      <c r="D54" s="874">
        <v>898183.2</v>
      </c>
    </row>
    <row r="55" spans="1:4" ht="15" customHeight="1">
      <c r="A55" s="322" t="s">
        <v>230</v>
      </c>
      <c r="B55" s="327"/>
      <c r="C55" s="473"/>
      <c r="D55" s="474"/>
    </row>
    <row r="56" spans="1:4" ht="15" customHeight="1">
      <c r="A56" s="322" t="s">
        <v>231</v>
      </c>
      <c r="B56" s="327"/>
      <c r="C56" s="473"/>
      <c r="D56" s="474"/>
    </row>
    <row r="57" spans="1:4" ht="15" customHeight="1">
      <c r="A57" s="322" t="s">
        <v>232</v>
      </c>
      <c r="B57" s="327"/>
      <c r="C57" s="473"/>
      <c r="D57" s="474"/>
    </row>
    <row r="58" spans="1:4" ht="15" customHeight="1" thickBot="1">
      <c r="A58" s="328" t="s">
        <v>235</v>
      </c>
      <c r="B58" s="329"/>
      <c r="C58" s="482">
        <f>C40+C49</f>
        <v>-9014343.07</v>
      </c>
      <c r="D58" s="483">
        <f>D40+D49</f>
        <v>530463.4199999999</v>
      </c>
    </row>
    <row r="59" spans="1:4" ht="15" customHeight="1" thickBot="1">
      <c r="A59" s="314" t="s">
        <v>236</v>
      </c>
      <c r="B59" s="315"/>
      <c r="C59" s="484"/>
      <c r="D59" s="485"/>
    </row>
    <row r="60" spans="1:4" ht="15" customHeight="1">
      <c r="A60" s="330" t="s">
        <v>237</v>
      </c>
      <c r="B60" s="331"/>
      <c r="C60" s="487">
        <f>SUM(C61:C65)</f>
        <v>11132385</v>
      </c>
      <c r="D60" s="592">
        <f>SUM(D61:D65)</f>
        <v>0</v>
      </c>
    </row>
    <row r="61" spans="1:4" ht="15" customHeight="1">
      <c r="A61" s="322" t="s">
        <v>238</v>
      </c>
      <c r="B61" s="327"/>
      <c r="C61" s="875">
        <v>1000000</v>
      </c>
      <c r="D61" s="474"/>
    </row>
    <row r="62" spans="1:4" ht="15" customHeight="1">
      <c r="A62" s="322" t="s">
        <v>239</v>
      </c>
      <c r="B62" s="327"/>
      <c r="C62" s="473"/>
      <c r="D62" s="474"/>
    </row>
    <row r="63" spans="1:4" ht="15" customHeight="1">
      <c r="A63" s="322" t="s">
        <v>240</v>
      </c>
      <c r="B63" s="327"/>
      <c r="C63" s="473"/>
      <c r="D63" s="474"/>
    </row>
    <row r="64" spans="1:4" ht="15" customHeight="1">
      <c r="A64" s="322" t="s">
        <v>241</v>
      </c>
      <c r="B64" s="327"/>
      <c r="C64" s="473"/>
      <c r="D64" s="474"/>
    </row>
    <row r="65" spans="1:4" ht="15" customHeight="1">
      <c r="A65" s="322" t="s">
        <v>242</v>
      </c>
      <c r="B65" s="327"/>
      <c r="C65" s="875">
        <v>10132385</v>
      </c>
      <c r="D65" s="474"/>
    </row>
    <row r="66" spans="1:4" ht="15" customHeight="1">
      <c r="A66" s="320" t="s">
        <v>243</v>
      </c>
      <c r="B66" s="327"/>
      <c r="C66" s="481">
        <f>C67+C73</f>
        <v>506.16</v>
      </c>
      <c r="D66" s="590">
        <f>D67+D73</f>
        <v>27041.540000000037</v>
      </c>
    </row>
    <row r="67" spans="1:4" ht="15" customHeight="1">
      <c r="A67" s="322" t="s">
        <v>244</v>
      </c>
      <c r="B67" s="327"/>
      <c r="C67" s="481">
        <f>SUM(C68:C72)</f>
        <v>506.16</v>
      </c>
      <c r="D67" s="590">
        <f>SUM(D68:D72)</f>
        <v>3156795.15</v>
      </c>
    </row>
    <row r="68" spans="1:4" ht="15" customHeight="1">
      <c r="A68" s="322" t="s">
        <v>245</v>
      </c>
      <c r="B68" s="327"/>
      <c r="C68" s="473"/>
      <c r="D68" s="474"/>
    </row>
    <row r="69" spans="1:4" ht="15" customHeight="1">
      <c r="A69" s="322" t="s">
        <v>246</v>
      </c>
      <c r="B69" s="327"/>
      <c r="C69" s="875">
        <v>506.16</v>
      </c>
      <c r="D69" s="874">
        <v>3156795.15</v>
      </c>
    </row>
    <row r="70" spans="1:4" ht="15" customHeight="1">
      <c r="A70" s="322" t="s">
        <v>247</v>
      </c>
      <c r="B70" s="327"/>
      <c r="C70" s="473"/>
      <c r="D70" s="474"/>
    </row>
    <row r="71" spans="1:4" ht="15" customHeight="1">
      <c r="A71" s="322" t="s">
        <v>248</v>
      </c>
      <c r="B71" s="327"/>
      <c r="C71" s="473"/>
      <c r="D71" s="474"/>
    </row>
    <row r="72" spans="1:4" ht="15" customHeight="1">
      <c r="A72" s="322" t="s">
        <v>249</v>
      </c>
      <c r="B72" s="327"/>
      <c r="C72" s="473"/>
      <c r="D72" s="474"/>
    </row>
    <row r="73" spans="1:4" ht="15" customHeight="1">
      <c r="A73" s="322" t="s">
        <v>250</v>
      </c>
      <c r="B73" s="327"/>
      <c r="C73" s="481">
        <f>SUM(C74:C78)</f>
        <v>0</v>
      </c>
      <c r="D73" s="590">
        <f>SUM(D74:D78)</f>
        <v>-3129753.61</v>
      </c>
    </row>
    <row r="74" spans="1:4" ht="15" customHeight="1">
      <c r="A74" s="322" t="s">
        <v>251</v>
      </c>
      <c r="B74" s="327"/>
      <c r="C74" s="473"/>
      <c r="D74" s="474"/>
    </row>
    <row r="75" spans="1:4" ht="15" customHeight="1">
      <c r="A75" s="322" t="s">
        <v>252</v>
      </c>
      <c r="B75" s="327"/>
      <c r="C75" s="473"/>
      <c r="D75" s="874">
        <v>-3129753.61</v>
      </c>
    </row>
    <row r="76" spans="1:4" ht="15" customHeight="1">
      <c r="A76" s="322" t="s">
        <v>253</v>
      </c>
      <c r="B76" s="327"/>
      <c r="C76" s="473"/>
      <c r="D76" s="474"/>
    </row>
    <row r="77" spans="1:4" ht="15" customHeight="1">
      <c r="A77" s="322" t="s">
        <v>254</v>
      </c>
      <c r="B77" s="327"/>
      <c r="C77" s="473"/>
      <c r="D77" s="474"/>
    </row>
    <row r="78" spans="1:4" ht="15" customHeight="1">
      <c r="A78" s="322" t="s">
        <v>255</v>
      </c>
      <c r="B78" s="327"/>
      <c r="C78" s="473"/>
      <c r="D78" s="474"/>
    </row>
    <row r="79" spans="1:4" ht="15" customHeight="1">
      <c r="A79" s="320" t="s">
        <v>256</v>
      </c>
      <c r="B79" s="327"/>
      <c r="C79" s="481">
        <f>SUM(C80:C81)</f>
        <v>0</v>
      </c>
      <c r="D79" s="590">
        <f>SUM(D80:D81)</f>
        <v>0</v>
      </c>
    </row>
    <row r="80" spans="1:4" ht="15" customHeight="1">
      <c r="A80" s="322" t="s">
        <v>257</v>
      </c>
      <c r="B80" s="332" t="s">
        <v>238</v>
      </c>
      <c r="C80" s="473"/>
      <c r="D80" s="474"/>
    </row>
    <row r="81" spans="1:4" ht="15" customHeight="1">
      <c r="A81" s="322" t="s">
        <v>258</v>
      </c>
      <c r="B81" s="332" t="s">
        <v>239</v>
      </c>
      <c r="C81" s="473"/>
      <c r="D81" s="474"/>
    </row>
    <row r="82" spans="1:4" ht="15" customHeight="1" thickBot="1">
      <c r="A82" s="1026" t="s">
        <v>259</v>
      </c>
      <c r="B82" s="1027"/>
      <c r="C82" s="488">
        <f>C60+C66+C79</f>
        <v>11132891.16</v>
      </c>
      <c r="D82" s="489">
        <f>D60+D66+D79</f>
        <v>27041.540000000037</v>
      </c>
    </row>
    <row r="83" spans="1:4" ht="15" customHeight="1" thickBot="1">
      <c r="A83" s="333" t="s">
        <v>260</v>
      </c>
      <c r="B83" s="334"/>
      <c r="C83" s="475"/>
      <c r="D83" s="476"/>
    </row>
    <row r="84" spans="1:4" ht="15" customHeight="1" thickBot="1">
      <c r="A84" s="335" t="s">
        <v>261</v>
      </c>
      <c r="B84" s="336"/>
      <c r="C84" s="490">
        <f>C38+C58+C82+C83</f>
        <v>224372.05000000075</v>
      </c>
      <c r="D84" s="491">
        <f>D38+D58+D82+D83</f>
        <v>-981721.5400000019</v>
      </c>
    </row>
    <row r="85" spans="1:4" ht="15" customHeight="1">
      <c r="A85" s="337" t="s">
        <v>262</v>
      </c>
      <c r="B85" s="338"/>
      <c r="C85" s="477">
        <f>+ACTIVO!C46</f>
        <v>825798.03</v>
      </c>
      <c r="D85" s="478">
        <v>1807519.56</v>
      </c>
    </row>
    <row r="86" spans="1:4" ht="15" customHeight="1" thickBot="1">
      <c r="A86" s="339" t="s">
        <v>263</v>
      </c>
      <c r="B86" s="340"/>
      <c r="C86" s="479">
        <f>+ACTIVO!D46</f>
        <v>1050170.08</v>
      </c>
      <c r="D86" s="480">
        <v>825798.03</v>
      </c>
    </row>
    <row r="87" spans="3:4" ht="12.75">
      <c r="C87" s="923"/>
      <c r="D87" s="341"/>
    </row>
    <row r="88" spans="3:4" ht="12.75">
      <c r="C88" s="341"/>
      <c r="D88" s="341"/>
    </row>
    <row r="89" spans="3:4" ht="12.75">
      <c r="C89" s="341"/>
      <c r="D89" s="341"/>
    </row>
    <row r="90" spans="3:4" ht="12.75">
      <c r="C90" s="341"/>
      <c r="D90" s="341"/>
    </row>
    <row r="91" spans="3:4" ht="12.75">
      <c r="C91" s="341"/>
      <c r="D91" s="341"/>
    </row>
    <row r="92" spans="3:4" ht="12.75">
      <c r="C92" s="341"/>
      <c r="D92" s="341"/>
    </row>
    <row r="93" spans="3:4" ht="12.75">
      <c r="C93" s="341"/>
      <c r="D93" s="341"/>
    </row>
    <row r="94" spans="3:4" ht="12.75">
      <c r="C94" s="341"/>
      <c r="D94" s="341"/>
    </row>
    <row r="95" spans="3:4" ht="12.75">
      <c r="C95" s="341"/>
      <c r="D95" s="341"/>
    </row>
    <row r="96" spans="3:4" ht="12.75">
      <c r="C96" s="341"/>
      <c r="D96" s="341"/>
    </row>
    <row r="97" spans="3:4" ht="12.75">
      <c r="C97" s="341"/>
      <c r="D97" s="341"/>
    </row>
    <row r="98" spans="3:4" ht="12.75">
      <c r="C98" s="341"/>
      <c r="D98" s="341"/>
    </row>
    <row r="99" spans="3:4" ht="12.75">
      <c r="C99" s="341"/>
      <c r="D99" s="341"/>
    </row>
    <row r="100" spans="3:4" ht="12.75">
      <c r="C100" s="341"/>
      <c r="D100" s="341"/>
    </row>
    <row r="101" spans="3:4" ht="12.75">
      <c r="C101" s="341"/>
      <c r="D101" s="341"/>
    </row>
  </sheetData>
  <sheetProtection/>
  <mergeCells count="6">
    <mergeCell ref="C2:D2"/>
    <mergeCell ref="A82:B82"/>
    <mergeCell ref="A7:C7"/>
    <mergeCell ref="A8:C8"/>
    <mergeCell ref="A9:D9"/>
    <mergeCell ref="A38:B38"/>
  </mergeCells>
  <printOptions horizontalCentered="1" verticalCentered="1"/>
  <pageMargins left="0.7480314960629921" right="0.2362204724409449" top="0.22" bottom="0.19" header="0" footer="0"/>
  <pageSetup orientation="portrait" paperSize="9" scale="60" r:id="rId2"/>
  <headerFooter alignWithMargins="0">
    <oddFooter>&amp;L&amp;7Plaza de España, 1
38003 Santa Cruz de Tenerife
Teléfono: 901 501 901
www.tenerife.es</oddFooter>
  </headerFooter>
  <colBreaks count="1" manualBreakCount="1">
    <brk id="5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7"/>
  <sheetViews>
    <sheetView showGridLines="0" view="pageBreakPreview" zoomScale="55" zoomScaleNormal="80" zoomScaleSheetLayoutView="55" zoomScalePageLayoutView="0" workbookViewId="0" topLeftCell="A1">
      <selection activeCell="E27" sqref="E27"/>
    </sheetView>
  </sheetViews>
  <sheetFormatPr defaultColWidth="11.57421875" defaultRowHeight="12.75"/>
  <cols>
    <col min="1" max="1" width="14.57421875" style="707" customWidth="1"/>
    <col min="2" max="2" width="38.28125" style="707" customWidth="1"/>
    <col min="3" max="3" width="15.8515625" style="707" customWidth="1"/>
    <col min="4" max="4" width="12.8515625" style="707" customWidth="1"/>
    <col min="5" max="5" width="16.8515625" style="707" customWidth="1"/>
    <col min="6" max="6" width="23.28125" style="707" customWidth="1"/>
    <col min="7" max="7" width="16.8515625" style="707" customWidth="1"/>
    <col min="8" max="16" width="11.140625" style="707" customWidth="1"/>
    <col min="17" max="16384" width="11.57421875" style="707" customWidth="1"/>
  </cols>
  <sheetData>
    <row r="1" spans="1:16" ht="15">
      <c r="A1" s="133"/>
      <c r="B1" s="133"/>
      <c r="C1" s="653" t="s">
        <v>534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16" ht="15">
      <c r="A2" s="133"/>
      <c r="B2" s="133"/>
      <c r="C2" s="654" t="s">
        <v>535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1:16" ht="15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</row>
    <row r="5" spans="1:16" ht="15">
      <c r="A5" s="652" t="s">
        <v>296</v>
      </c>
      <c r="B5" s="133"/>
      <c r="C5" s="655">
        <v>42339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</row>
    <row r="6" spans="1:16" ht="15">
      <c r="A6" s="652" t="s">
        <v>533</v>
      </c>
      <c r="B6" s="133"/>
      <c r="C6" s="656" t="s">
        <v>536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</row>
    <row r="7" spans="1:16" ht="15.75" thickBot="1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</row>
    <row r="8" spans="1:16" ht="15">
      <c r="A8" s="1041" t="s">
        <v>264</v>
      </c>
      <c r="B8" s="1042"/>
      <c r="C8" s="1042"/>
      <c r="D8" s="1042"/>
      <c r="E8" s="1042"/>
      <c r="F8" s="1042"/>
      <c r="G8" s="1042"/>
      <c r="H8" s="1042"/>
      <c r="I8" s="1042"/>
      <c r="J8" s="1042"/>
      <c r="K8" s="1042"/>
      <c r="L8" s="1042"/>
      <c r="M8" s="1042"/>
      <c r="N8" s="1041">
        <v>2016</v>
      </c>
      <c r="O8" s="1042"/>
      <c r="P8" s="1043"/>
    </row>
    <row r="9" spans="1:16" ht="15.75" customHeight="1">
      <c r="A9" s="1044" t="s">
        <v>265</v>
      </c>
      <c r="B9" s="1045"/>
      <c r="C9" s="1045"/>
      <c r="D9" s="1045"/>
      <c r="E9" s="1045"/>
      <c r="F9" s="1045"/>
      <c r="G9" s="1045"/>
      <c r="H9" s="1045"/>
      <c r="I9" s="1045"/>
      <c r="J9" s="1045"/>
      <c r="K9" s="1045"/>
      <c r="L9" s="1045"/>
      <c r="M9" s="1045"/>
      <c r="N9" s="1044"/>
      <c r="O9" s="1045"/>
      <c r="P9" s="1046"/>
    </row>
    <row r="10" spans="1:16" ht="19.5" customHeight="1" thickBot="1">
      <c r="A10" s="1051" t="str">
        <f>CPYG!A8</f>
        <v>EMPRESA PÚBLICA: INSTITUTO TECNOLOGICO DE ENERGIAS RENOVABLES SA</v>
      </c>
      <c r="B10" s="1052"/>
      <c r="C10" s="1052"/>
      <c r="D10" s="1052"/>
      <c r="E10" s="1052"/>
      <c r="F10" s="1052"/>
      <c r="G10" s="1052"/>
      <c r="H10" s="1052"/>
      <c r="I10" s="1052"/>
      <c r="J10" s="1052"/>
      <c r="K10" s="1052"/>
      <c r="L10" s="1052"/>
      <c r="M10" s="1052"/>
      <c r="N10" s="1038" t="s">
        <v>266</v>
      </c>
      <c r="O10" s="1039"/>
      <c r="P10" s="1040"/>
    </row>
    <row r="11" spans="1:16" ht="39.75" customHeight="1">
      <c r="A11" s="1047" t="s">
        <v>267</v>
      </c>
      <c r="B11" s="1048"/>
      <c r="C11" s="756"/>
      <c r="D11" s="756"/>
      <c r="E11" s="756"/>
      <c r="F11" s="757"/>
      <c r="G11" s="1047" t="s">
        <v>268</v>
      </c>
      <c r="H11" s="1048"/>
      <c r="I11" s="1048"/>
      <c r="J11" s="1048"/>
      <c r="K11" s="1049"/>
      <c r="L11" s="1047" t="s">
        <v>269</v>
      </c>
      <c r="M11" s="1048"/>
      <c r="N11" s="1048"/>
      <c r="O11" s="1048"/>
      <c r="P11" s="1049"/>
    </row>
    <row r="12" spans="1:16" ht="84.75" customHeight="1" thickBot="1">
      <c r="A12" s="758" t="s">
        <v>270</v>
      </c>
      <c r="B12" s="759" t="s">
        <v>271</v>
      </c>
      <c r="C12" s="760" t="s">
        <v>272</v>
      </c>
      <c r="D12" s="760" t="s">
        <v>273</v>
      </c>
      <c r="E12" s="760" t="s">
        <v>274</v>
      </c>
      <c r="F12" s="761" t="s">
        <v>648</v>
      </c>
      <c r="G12" s="759">
        <v>2016</v>
      </c>
      <c r="H12" s="759">
        <v>2017</v>
      </c>
      <c r="I12" s="759">
        <v>2018</v>
      </c>
      <c r="J12" s="759">
        <v>2019</v>
      </c>
      <c r="K12" s="762" t="s">
        <v>275</v>
      </c>
      <c r="L12" s="759">
        <v>2016</v>
      </c>
      <c r="M12" s="759">
        <v>2017</v>
      </c>
      <c r="N12" s="759">
        <v>2018</v>
      </c>
      <c r="O12" s="759">
        <v>2019</v>
      </c>
      <c r="P12" s="762" t="s">
        <v>275</v>
      </c>
    </row>
    <row r="13" spans="1:16" ht="19.5" customHeight="1">
      <c r="A13" s="763"/>
      <c r="B13" s="492" t="s">
        <v>476</v>
      </c>
      <c r="C13" s="492">
        <v>2015</v>
      </c>
      <c r="D13" s="492">
        <v>2016</v>
      </c>
      <c r="E13" s="764">
        <v>8861496.86</v>
      </c>
      <c r="F13" s="765">
        <v>57150.72</v>
      </c>
      <c r="G13" s="766">
        <v>8804346.139999999</v>
      </c>
      <c r="H13" s="764"/>
      <c r="I13" s="764"/>
      <c r="J13" s="764"/>
      <c r="K13" s="765"/>
      <c r="L13" s="766"/>
      <c r="M13" s="764"/>
      <c r="N13" s="764"/>
      <c r="O13" s="764"/>
      <c r="P13" s="765"/>
    </row>
    <row r="14" spans="1:16" ht="19.5" customHeight="1">
      <c r="A14" s="767"/>
      <c r="B14" s="768" t="s">
        <v>477</v>
      </c>
      <c r="C14" s="768">
        <v>2015</v>
      </c>
      <c r="D14" s="768">
        <v>2016</v>
      </c>
      <c r="E14" s="769">
        <v>88800</v>
      </c>
      <c r="F14" s="770"/>
      <c r="G14" s="771">
        <v>88800</v>
      </c>
      <c r="H14" s="769"/>
      <c r="I14" s="769"/>
      <c r="J14" s="769"/>
      <c r="K14" s="770"/>
      <c r="L14" s="771"/>
      <c r="M14" s="769"/>
      <c r="N14" s="769"/>
      <c r="O14" s="769"/>
      <c r="P14" s="770"/>
    </row>
    <row r="15" spans="1:16" ht="19.5" customHeight="1">
      <c r="A15" s="767"/>
      <c r="B15" s="768" t="s">
        <v>478</v>
      </c>
      <c r="C15" s="768">
        <v>2015</v>
      </c>
      <c r="D15" s="768">
        <v>2016</v>
      </c>
      <c r="E15" s="769">
        <v>260160</v>
      </c>
      <c r="F15" s="770">
        <v>11109.12</v>
      </c>
      <c r="G15" s="771">
        <v>249050.88</v>
      </c>
      <c r="H15" s="769"/>
      <c r="I15" s="769"/>
      <c r="J15" s="769"/>
      <c r="K15" s="770"/>
      <c r="L15" s="771"/>
      <c r="M15" s="769"/>
      <c r="N15" s="769"/>
      <c r="O15" s="769"/>
      <c r="P15" s="770"/>
    </row>
    <row r="16" spans="1:16" ht="19.5" customHeight="1">
      <c r="A16" s="767"/>
      <c r="B16" s="768" t="s">
        <v>479</v>
      </c>
      <c r="C16" s="768">
        <v>2015</v>
      </c>
      <c r="D16" s="768">
        <v>2016</v>
      </c>
      <c r="E16" s="769">
        <v>58128</v>
      </c>
      <c r="F16" s="770">
        <v>2356.48</v>
      </c>
      <c r="G16" s="771">
        <v>55771.52</v>
      </c>
      <c r="H16" s="769"/>
      <c r="I16" s="769"/>
      <c r="J16" s="769"/>
      <c r="K16" s="770"/>
      <c r="L16" s="771"/>
      <c r="M16" s="769"/>
      <c r="N16" s="769"/>
      <c r="O16" s="769"/>
      <c r="P16" s="770"/>
    </row>
    <row r="17" spans="1:16" ht="19.5" customHeight="1">
      <c r="A17" s="767"/>
      <c r="B17" s="768" t="s">
        <v>480</v>
      </c>
      <c r="C17" s="768">
        <v>2015</v>
      </c>
      <c r="D17" s="768">
        <v>2016</v>
      </c>
      <c r="E17" s="769">
        <v>315000</v>
      </c>
      <c r="F17" s="770"/>
      <c r="G17" s="771">
        <v>315000</v>
      </c>
      <c r="H17" s="769"/>
      <c r="I17" s="769"/>
      <c r="J17" s="769"/>
      <c r="K17" s="770"/>
      <c r="L17" s="771"/>
      <c r="M17" s="769"/>
      <c r="N17" s="769"/>
      <c r="O17" s="769"/>
      <c r="P17" s="770"/>
    </row>
    <row r="18" spans="1:16" ht="19.5" customHeight="1">
      <c r="A18" s="767"/>
      <c r="B18" s="768" t="s">
        <v>481</v>
      </c>
      <c r="C18" s="768">
        <v>2015</v>
      </c>
      <c r="D18" s="768">
        <v>2016</v>
      </c>
      <c r="E18" s="769">
        <v>340357.14</v>
      </c>
      <c r="F18" s="770">
        <v>7589.12</v>
      </c>
      <c r="G18" s="771">
        <v>332768.02</v>
      </c>
      <c r="H18" s="769"/>
      <c r="I18" s="769"/>
      <c r="J18" s="769"/>
      <c r="K18" s="770"/>
      <c r="L18" s="771"/>
      <c r="M18" s="769"/>
      <c r="N18" s="769"/>
      <c r="O18" s="769"/>
      <c r="P18" s="770"/>
    </row>
    <row r="19" spans="1:16" ht="19.5" customHeight="1">
      <c r="A19" s="767"/>
      <c r="B19" s="768" t="s">
        <v>482</v>
      </c>
      <c r="C19" s="768">
        <v>2014</v>
      </c>
      <c r="D19" s="768">
        <v>2016</v>
      </c>
      <c r="E19" s="769">
        <v>1255126.39</v>
      </c>
      <c r="F19" s="770">
        <v>212160.39</v>
      </c>
      <c r="G19" s="771">
        <v>1042965.9999999999</v>
      </c>
      <c r="H19" s="769"/>
      <c r="I19" s="769"/>
      <c r="J19" s="769"/>
      <c r="K19" s="770"/>
      <c r="L19" s="771"/>
      <c r="M19" s="769"/>
      <c r="N19" s="769"/>
      <c r="O19" s="769"/>
      <c r="P19" s="770"/>
    </row>
    <row r="20" spans="1:16" ht="19.5" customHeight="1">
      <c r="A20" s="767"/>
      <c r="B20" s="768" t="s">
        <v>483</v>
      </c>
      <c r="C20" s="768">
        <v>2015</v>
      </c>
      <c r="D20" s="768">
        <v>2016</v>
      </c>
      <c r="E20" s="769">
        <v>183443</v>
      </c>
      <c r="F20" s="770">
        <v>158343</v>
      </c>
      <c r="G20" s="771">
        <v>25100</v>
      </c>
      <c r="H20" s="769"/>
      <c r="I20" s="769"/>
      <c r="J20" s="769"/>
      <c r="K20" s="770"/>
      <c r="L20" s="771"/>
      <c r="M20" s="769"/>
      <c r="N20" s="769"/>
      <c r="O20" s="769"/>
      <c r="P20" s="770"/>
    </row>
    <row r="21" spans="1:16" ht="19.5" customHeight="1">
      <c r="A21" s="767"/>
      <c r="B21" s="768" t="s">
        <v>484</v>
      </c>
      <c r="C21" s="768">
        <v>2015</v>
      </c>
      <c r="D21" s="768">
        <v>2016</v>
      </c>
      <c r="E21" s="769">
        <v>395342.38</v>
      </c>
      <c r="F21" s="770">
        <v>5342.38</v>
      </c>
      <c r="G21" s="771">
        <v>390000</v>
      </c>
      <c r="H21" s="769"/>
      <c r="I21" s="769"/>
      <c r="J21" s="769"/>
      <c r="K21" s="770"/>
      <c r="L21" s="771"/>
      <c r="M21" s="769"/>
      <c r="N21" s="769"/>
      <c r="O21" s="769"/>
      <c r="P21" s="770"/>
    </row>
    <row r="22" spans="1:16" ht="19.5" customHeight="1">
      <c r="A22" s="767"/>
      <c r="B22" s="768" t="s">
        <v>485</v>
      </c>
      <c r="C22" s="768"/>
      <c r="D22" s="768">
        <v>2016</v>
      </c>
      <c r="E22" s="769">
        <v>25000</v>
      </c>
      <c r="F22" s="770"/>
      <c r="G22" s="771">
        <v>25000</v>
      </c>
      <c r="H22" s="769"/>
      <c r="I22" s="769"/>
      <c r="J22" s="769"/>
      <c r="K22" s="770"/>
      <c r="L22" s="771"/>
      <c r="M22" s="769"/>
      <c r="N22" s="769"/>
      <c r="O22" s="769"/>
      <c r="P22" s="770"/>
    </row>
    <row r="23" spans="1:16" ht="19.5" customHeight="1">
      <c r="A23" s="767"/>
      <c r="B23" s="768"/>
      <c r="C23" s="768"/>
      <c r="D23" s="768"/>
      <c r="E23" s="769"/>
      <c r="F23" s="770"/>
      <c r="G23" s="771"/>
      <c r="H23" s="769"/>
      <c r="I23" s="769"/>
      <c r="J23" s="769"/>
      <c r="K23" s="770"/>
      <c r="L23" s="771"/>
      <c r="M23" s="769"/>
      <c r="N23" s="769"/>
      <c r="O23" s="769"/>
      <c r="P23" s="770"/>
    </row>
    <row r="24" spans="1:16" ht="19.5" customHeight="1">
      <c r="A24" s="767"/>
      <c r="B24" s="768"/>
      <c r="C24" s="768"/>
      <c r="D24" s="768"/>
      <c r="E24" s="769"/>
      <c r="F24" s="770"/>
      <c r="G24" s="771"/>
      <c r="H24" s="769"/>
      <c r="I24" s="769"/>
      <c r="J24" s="769"/>
      <c r="K24" s="770"/>
      <c r="L24" s="771"/>
      <c r="M24" s="769"/>
      <c r="N24" s="769"/>
      <c r="O24" s="769"/>
      <c r="P24" s="770"/>
    </row>
    <row r="25" spans="1:16" ht="19.5" customHeight="1">
      <c r="A25" s="767"/>
      <c r="B25" s="768"/>
      <c r="C25" s="768"/>
      <c r="D25" s="768"/>
      <c r="E25" s="769"/>
      <c r="F25" s="770"/>
      <c r="G25" s="771"/>
      <c r="H25" s="769"/>
      <c r="I25" s="769"/>
      <c r="J25" s="769"/>
      <c r="K25" s="770"/>
      <c r="L25" s="771"/>
      <c r="M25" s="769"/>
      <c r="N25" s="769"/>
      <c r="O25" s="769"/>
      <c r="P25" s="770"/>
    </row>
    <row r="26" spans="1:16" ht="19.5" customHeight="1">
      <c r="A26" s="767"/>
      <c r="B26" s="768"/>
      <c r="C26" s="768"/>
      <c r="D26" s="768"/>
      <c r="E26" s="769"/>
      <c r="F26" s="770"/>
      <c r="G26" s="771"/>
      <c r="H26" s="769"/>
      <c r="I26" s="769"/>
      <c r="J26" s="769"/>
      <c r="K26" s="770"/>
      <c r="L26" s="771"/>
      <c r="M26" s="769"/>
      <c r="N26" s="769"/>
      <c r="O26" s="769"/>
      <c r="P26" s="770"/>
    </row>
    <row r="27" spans="1:16" ht="19.5" customHeight="1">
      <c r="A27" s="767"/>
      <c r="B27" s="768"/>
      <c r="C27" s="768"/>
      <c r="D27" s="768"/>
      <c r="E27" s="769"/>
      <c r="F27" s="770"/>
      <c r="G27" s="771"/>
      <c r="H27" s="769"/>
      <c r="I27" s="769"/>
      <c r="J27" s="769"/>
      <c r="K27" s="770"/>
      <c r="L27" s="771"/>
      <c r="M27" s="769"/>
      <c r="N27" s="769"/>
      <c r="O27" s="769"/>
      <c r="P27" s="770"/>
    </row>
    <row r="28" spans="1:16" ht="19.5" customHeight="1">
      <c r="A28" s="767"/>
      <c r="B28" s="768"/>
      <c r="C28" s="768"/>
      <c r="D28" s="768"/>
      <c r="E28" s="769"/>
      <c r="F28" s="770"/>
      <c r="G28" s="771"/>
      <c r="H28" s="769"/>
      <c r="I28" s="769"/>
      <c r="J28" s="769"/>
      <c r="K28" s="770"/>
      <c r="L28" s="771"/>
      <c r="M28" s="769"/>
      <c r="N28" s="769"/>
      <c r="O28" s="769"/>
      <c r="P28" s="770"/>
    </row>
    <row r="29" spans="1:16" ht="19.5" customHeight="1">
      <c r="A29" s="767"/>
      <c r="B29" s="768"/>
      <c r="C29" s="768"/>
      <c r="D29" s="768"/>
      <c r="E29" s="769"/>
      <c r="F29" s="770"/>
      <c r="G29" s="771"/>
      <c r="H29" s="769"/>
      <c r="I29" s="769"/>
      <c r="J29" s="769"/>
      <c r="K29" s="770"/>
      <c r="L29" s="771"/>
      <c r="M29" s="769"/>
      <c r="N29" s="769"/>
      <c r="O29" s="769"/>
      <c r="P29" s="770"/>
    </row>
    <row r="30" spans="1:16" ht="19.5" customHeight="1">
      <c r="A30" s="767"/>
      <c r="B30" s="768"/>
      <c r="C30" s="768"/>
      <c r="D30" s="768"/>
      <c r="E30" s="769"/>
      <c r="F30" s="770"/>
      <c r="G30" s="771"/>
      <c r="H30" s="769"/>
      <c r="I30" s="769"/>
      <c r="J30" s="769"/>
      <c r="K30" s="770"/>
      <c r="L30" s="771"/>
      <c r="M30" s="769"/>
      <c r="N30" s="769"/>
      <c r="O30" s="769"/>
      <c r="P30" s="770"/>
    </row>
    <row r="31" spans="1:16" ht="19.5" customHeight="1">
      <c r="A31" s="767"/>
      <c r="B31" s="768"/>
      <c r="C31" s="768"/>
      <c r="D31" s="768"/>
      <c r="E31" s="769"/>
      <c r="F31" s="770"/>
      <c r="G31" s="771"/>
      <c r="H31" s="769"/>
      <c r="I31" s="769"/>
      <c r="J31" s="769"/>
      <c r="K31" s="770"/>
      <c r="L31" s="771"/>
      <c r="M31" s="769"/>
      <c r="N31" s="769"/>
      <c r="O31" s="769"/>
      <c r="P31" s="770"/>
    </row>
    <row r="32" spans="1:16" ht="19.5" customHeight="1">
      <c r="A32" s="767"/>
      <c r="B32" s="768"/>
      <c r="C32" s="768"/>
      <c r="D32" s="768"/>
      <c r="E32" s="769"/>
      <c r="F32" s="770"/>
      <c r="G32" s="771"/>
      <c r="H32" s="769"/>
      <c r="I32" s="769"/>
      <c r="J32" s="769"/>
      <c r="K32" s="770"/>
      <c r="L32" s="771"/>
      <c r="M32" s="769"/>
      <c r="N32" s="769"/>
      <c r="O32" s="769"/>
      <c r="P32" s="770"/>
    </row>
    <row r="33" spans="1:16" ht="19.5" customHeight="1" thickBot="1">
      <c r="A33" s="772"/>
      <c r="B33" s="773"/>
      <c r="C33" s="773"/>
      <c r="D33" s="773"/>
      <c r="E33" s="774"/>
      <c r="F33" s="775"/>
      <c r="G33" s="776"/>
      <c r="H33" s="774"/>
      <c r="I33" s="774"/>
      <c r="J33" s="774"/>
      <c r="K33" s="775"/>
      <c r="L33" s="776"/>
      <c r="M33" s="774"/>
      <c r="N33" s="774"/>
      <c r="O33" s="774"/>
      <c r="P33" s="775"/>
    </row>
    <row r="34" spans="1:6" ht="15">
      <c r="A34" s="708"/>
      <c r="B34" s="708"/>
      <c r="C34" s="708"/>
      <c r="D34" s="708"/>
      <c r="E34" s="708"/>
      <c r="F34" s="708"/>
    </row>
    <row r="35" s="935" customFormat="1" ht="15" hidden="1">
      <c r="A35" s="935" t="s">
        <v>276</v>
      </c>
    </row>
    <row r="36" spans="1:10" s="935" customFormat="1" ht="15" hidden="1">
      <c r="A36" s="1050" t="s">
        <v>277</v>
      </c>
      <c r="B36" s="1050"/>
      <c r="C36" s="1050"/>
      <c r="D36" s="1050"/>
      <c r="E36" s="1050"/>
      <c r="F36" s="1050"/>
      <c r="G36" s="1050"/>
      <c r="H36" s="1050"/>
      <c r="I36" s="1050"/>
      <c r="J36" s="1050"/>
    </row>
    <row r="37" spans="1:9" s="935" customFormat="1" ht="15" hidden="1">
      <c r="A37" s="1050" t="s">
        <v>278</v>
      </c>
      <c r="B37" s="1050"/>
      <c r="C37" s="1050"/>
      <c r="D37" s="1050"/>
      <c r="E37" s="1050"/>
      <c r="F37" s="1050"/>
      <c r="G37" s="1050"/>
      <c r="H37" s="1050"/>
      <c r="I37" s="1050"/>
    </row>
    <row r="38" s="935" customFormat="1" ht="15" hidden="1"/>
  </sheetData>
  <sheetProtection/>
  <mergeCells count="10">
    <mergeCell ref="A37:I37"/>
    <mergeCell ref="A8:M8"/>
    <mergeCell ref="A9:M9"/>
    <mergeCell ref="A10:M10"/>
    <mergeCell ref="A36:J36"/>
    <mergeCell ref="N10:P10"/>
    <mergeCell ref="N8:P9"/>
    <mergeCell ref="A11:B11"/>
    <mergeCell ref="G11:K11"/>
    <mergeCell ref="L11:P11"/>
  </mergeCells>
  <printOptions horizontalCentered="1" verticalCentered="1"/>
  <pageMargins left="0.2755905511811024" right="0.2362204724409449" top="0.3937007874015748" bottom="0.7086614173228347" header="0" footer="0"/>
  <pageSetup horizontalDpi="600" verticalDpi="600" orientation="landscape" paperSize="9" scale="50" r:id="rId2"/>
  <headerFooter alignWithMargins="0">
    <oddFooter>&amp;L&amp;7Plaza de España, 1
38003 Santa Cruz de Tenerife
Teléfono: 901 501 901
www.tenerife.es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Insular de Tenerife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García Oramas</dc:creator>
  <cp:keywords/>
  <dc:description/>
  <cp:lastModifiedBy>jruiz</cp:lastModifiedBy>
  <cp:lastPrinted>2016-01-22T09:53:46Z</cp:lastPrinted>
  <dcterms:created xsi:type="dcterms:W3CDTF">2004-09-28T16:33:32Z</dcterms:created>
  <dcterms:modified xsi:type="dcterms:W3CDTF">2016-03-07T10:26:09Z</dcterms:modified>
  <cp:category/>
  <cp:version/>
  <cp:contentType/>
  <cp:contentStatus/>
</cp:coreProperties>
</file>