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1980" windowHeight="13620" tabRatio="763" firstSheet="20" activeTab="26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F. ADIC. CPYG " sheetId="9" r:id="rId9"/>
    <sheet name="Inversiones reales" sheetId="10" r:id="rId10"/>
    <sheet name="Inv. NO FIN" sheetId="11" r:id="rId11"/>
    <sheet name="Inv. FIN" sheetId="12" r:id="rId12"/>
    <sheet name="No rellenar EP-5 " sheetId="13" state="hidden" r:id="rId13"/>
    <sheet name="Transf. y subv." sheetId="14" r:id="rId14"/>
    <sheet name="Deuda Viva y Prev. Vtos. Deuda" sheetId="15" r:id="rId15"/>
    <sheet name="Perfil Vtos Deuda 10 años" sheetId="16" r:id="rId16"/>
    <sheet name="Deuda L.P." sheetId="17" r:id="rId17"/>
    <sheet name="EP7 A" sheetId="18" state="hidden" r:id="rId18"/>
    <sheet name="Deuda C.P." sheetId="19" r:id="rId19"/>
    <sheet name="Personal" sheetId="20" r:id="rId20"/>
    <sheet name="PD 2017 (Personal)" sheetId="21" r:id="rId21"/>
    <sheet name="LF 2017 (Personal)" sheetId="22" r:id="rId22"/>
    <sheet name="LT 2017 (Personal)" sheetId="23" r:id="rId23"/>
    <sheet name="PRESTACIONES Y GASTOS SOCIALES" sheetId="24" r:id="rId24"/>
    <sheet name="COMPARATIVA 2016-2017" sheetId="25" r:id="rId25"/>
    <sheet name="Operaciones Internas" sheetId="26" r:id="rId26"/>
    <sheet name="Encomiendas" sheetId="27" r:id="rId27"/>
    <sheet name="Estab. Presup. " sheetId="28" state="hidden" r:id="rId28"/>
    <sheet name="FINANCIACION" sheetId="29" state="hidden" r:id="rId29"/>
    <sheet name="PRESUPUESTO" sheetId="30" state="hidden" r:id="rId30"/>
    <sheet name="PRESUPUESTO CPYG" sheetId="31" state="hidden" r:id="rId31"/>
  </sheets>
  <definedNames>
    <definedName name="_xlnm.Print_Area" localSheetId="2">'ACCIONISTAS'!$A$3:$F$41</definedName>
    <definedName name="_xlnm.Print_Area" localSheetId="5">'ACTIVO'!$B$2:$N$46</definedName>
    <definedName name="_xlnm.Print_Area" localSheetId="24">'COMPARATIVA 2016-2017'!$B$2:$H$14</definedName>
    <definedName name="_xlnm.Print_Area" localSheetId="3">'COMPROBACION'!$B$2:$D$85</definedName>
    <definedName name="_xlnm.Print_Area" localSheetId="4">'CPYG'!$B$2:$E$94</definedName>
    <definedName name="_xlnm.Print_Area" localSheetId="18">'Deuda C.P.'!$A$2:$O$17</definedName>
    <definedName name="_xlnm.Print_Area" localSheetId="16">'Deuda L.P.'!$B$2:$P$24</definedName>
    <definedName name="_xlnm.Print_Area" localSheetId="26">'Encomiendas'!$B$2:$F$23</definedName>
    <definedName name="_xlnm.Print_Area" localSheetId="17">'EP7 A'!$A$1:$H$25</definedName>
    <definedName name="_xlnm.Print_Area" localSheetId="27">'Estab. Presup. '!$A$1:$G$30</definedName>
    <definedName name="_xlnm.Print_Area" localSheetId="7">'Estado de Flujos'!$B$4:$F$83</definedName>
    <definedName name="_xlnm.Print_Area" localSheetId="28">'FINANCIACION'!$A$1:$J$27</definedName>
    <definedName name="_xlnm.Print_Area" localSheetId="8">'INF. ADIC. CPYG '!$B$2:$M$51</definedName>
    <definedName name="_xlnm.Print_Area" localSheetId="11">'Inv. FIN'!$B$2:$M$40</definedName>
    <definedName name="_xlnm.Print_Area" localSheetId="10">'Inv. NO FIN'!$B$1:$L$23</definedName>
    <definedName name="_xlnm.Print_Area" localSheetId="9">'Inversiones reales'!$B$1:$Q$27</definedName>
    <definedName name="_xlnm.Print_Area" localSheetId="0">'No rellenar Consolidación'!$A$1:$D$99</definedName>
    <definedName name="_xlnm.Print_Area" localSheetId="12">'No rellenar EP-5 '!$A$1:$D$81</definedName>
    <definedName name="_xlnm.Print_Area" localSheetId="25">'Operaciones Internas'!$B$2:$E$59</definedName>
    <definedName name="_xlnm.Print_Area" localSheetId="6">'PASIVO'!$B$2:$G$60</definedName>
    <definedName name="_xlnm.Print_Area" localSheetId="15">'Perfil Vtos Deuda 10 años'!#REF!</definedName>
    <definedName name="_xlnm.Print_Area" localSheetId="19">'Personal'!$B$1:$L$55</definedName>
    <definedName name="_xlnm.Print_Area" localSheetId="23">'PRESTACIONES Y GASTOS SOCIALES'!$B$1:$D$24</definedName>
    <definedName name="_xlnm.Print_Area" localSheetId="29">'PRESUPUESTO'!$B$2:$D$61</definedName>
    <definedName name="_xlnm.Print_Area" localSheetId="30">'PRESUPUESTO CPYG'!$B$2:$D$93</definedName>
    <definedName name="_xlnm.Print_Area" localSheetId="13">'Transf. y subv.'!$B$2:$M$28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20.xml><?xml version="1.0" encoding="utf-8"?>
<comments xmlns="http://schemas.openxmlformats.org/spreadsheetml/2006/main">
  <authors>
    <author>eag</author>
  </authors>
  <commentList>
    <comment ref="B35" authorId="0">
      <text>
        <r>
          <rPr>
            <b/>
            <sz val="9"/>
            <rFont val="Tahoma"/>
            <family val="2"/>
          </rPr>
          <t>eag:</t>
        </r>
        <r>
          <rPr>
            <sz val="9"/>
            <rFont val="Tahoma"/>
            <family val="2"/>
          </rPr>
          <t xml:space="preserve">
Es una BOLSA para el Convenio Colectivo que está en fase final de negociación.</t>
        </r>
      </text>
    </comment>
    <comment ref="E35" authorId="0">
      <text>
        <r>
          <rPr>
            <b/>
            <sz val="9"/>
            <rFont val="Tahoma"/>
            <family val="2"/>
          </rPr>
          <t>eag:</t>
        </r>
        <r>
          <rPr>
            <sz val="9"/>
            <rFont val="Tahoma"/>
            <family val="2"/>
          </rPr>
          <t xml:space="preserve">
Es una BOLSA para el Convenio Colectivo que está en fase final de negociación.</t>
        </r>
      </text>
    </comment>
    <comment ref="I35" authorId="0">
      <text>
        <r>
          <rPr>
            <b/>
            <sz val="9"/>
            <rFont val="Tahoma"/>
            <family val="2"/>
          </rPr>
          <t>eag:</t>
        </r>
        <r>
          <rPr>
            <sz val="9"/>
            <rFont val="Tahoma"/>
            <family val="2"/>
          </rPr>
          <t xml:space="preserve">
Es una BOLSA para el Convenio Colectivo que está en fase final de negociación.</t>
        </r>
      </text>
    </comment>
  </commentList>
</comments>
</file>

<file path=xl/comments25.xml><?xml version="1.0" encoding="utf-8"?>
<comments xmlns="http://schemas.openxmlformats.org/spreadsheetml/2006/main">
  <authors>
    <author>eag</author>
  </authors>
  <commentList>
    <comment ref="J7" authorId="0">
      <text>
        <r>
          <rPr>
            <b/>
            <sz val="9"/>
            <rFont val="Tahoma"/>
            <family val="2"/>
          </rPr>
          <t>eag:</t>
        </r>
        <r>
          <rPr>
            <sz val="9"/>
            <rFont val="Tahoma"/>
            <family val="2"/>
          </rPr>
          <t xml:space="preserve">
Bolsa de Convenio</t>
        </r>
      </text>
    </comment>
    <comment ref="K12" authorId="0">
      <text>
        <r>
          <rPr>
            <b/>
            <sz val="9"/>
            <rFont val="Tahoma"/>
            <family val="2"/>
          </rPr>
          <t>eag:</t>
        </r>
        <r>
          <rPr>
            <sz val="9"/>
            <rFont val="Tahoma"/>
            <family val="2"/>
          </rPr>
          <t xml:space="preserve">
Redondeos del PAIF en Porductividad (406,14€) y Otros (100,00€)</t>
        </r>
      </text>
    </comment>
  </commentList>
</comments>
</file>

<file path=xl/sharedStrings.xml><?xml version="1.0" encoding="utf-8"?>
<sst xmlns="http://schemas.openxmlformats.org/spreadsheetml/2006/main" count="1551" uniqueCount="1016">
  <si>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</si>
  <si>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</si>
  <si>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</si>
  <si>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</si>
  <si>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</si>
  <si>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</si>
  <si>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</si>
  <si>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</si>
  <si>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</si>
  <si>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</si>
  <si>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</si>
  <si>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</si>
  <si>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</si>
  <si>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</si>
  <si>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</si>
  <si>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</si>
  <si>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</si>
  <si>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</si>
  <si>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</si>
  <si>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</si>
  <si>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</si>
  <si>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</si>
  <si>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</si>
  <si>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</si>
  <si>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</si>
  <si>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</si>
  <si>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</si>
  <si>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</si>
  <si>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</si>
  <si>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</si>
  <si>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</si>
  <si>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</si>
  <si>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</si>
  <si>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</si>
  <si>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</si>
  <si>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</si>
  <si>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</si>
  <si>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</si>
  <si>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</si>
  <si>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</si>
  <si>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</si>
  <si>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</si>
  <si>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</si>
  <si>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</si>
  <si>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</si>
  <si>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</si>
  <si>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</si>
  <si>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</si>
  <si>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</si>
  <si>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</si>
  <si>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</si>
  <si>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</si>
  <si>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</si>
  <si>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</si>
  <si>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</si>
  <si>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</si>
  <si>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</si>
  <si>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</si>
  <si>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</si>
  <si>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</si>
  <si>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</si>
  <si>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</si>
  <si>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</si>
  <si>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</si>
  <si>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</si>
  <si>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</si>
  <si>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</si>
  <si>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</si>
  <si>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</si>
  <si>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</si>
  <si>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</si>
  <si>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</si>
  <si>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</si>
  <si>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</si>
  <si>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</si>
  <si>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</si>
  <si>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</si>
  <si>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</si>
  <si>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</si>
  <si>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</si>
  <si>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</si>
  <si>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</si>
  <si>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</si>
  <si>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</si>
  <si>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</si>
  <si>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</si>
  <si>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</si>
  <si>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</si>
  <si>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</si>
  <si>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</si>
  <si>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</si>
  <si>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</si>
  <si>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</si>
  <si>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</si>
  <si>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</si>
  <si>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</si>
  <si>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</si>
  <si>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</si>
  <si>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</si>
  <si>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</si>
  <si>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</si>
  <si>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</si>
  <si>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</si>
  <si>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</si>
  <si>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</si>
  <si>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</si>
  <si>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</si>
  <si>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</si>
  <si>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</si>
  <si>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</si>
  <si>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</si>
  <si>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</si>
  <si>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</si>
  <si>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</si>
  <si>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</si>
  <si>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</si>
  <si>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</si>
  <si>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</si>
  <si>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</si>
  <si>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</si>
  <si>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</si>
  <si>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</si>
  <si>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</si>
  <si>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</si>
  <si>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</si>
  <si>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</si>
  <si>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</si>
  <si>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</si>
  <si>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</si>
  <si>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</si>
  <si>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</si>
  <si>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</si>
  <si>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</si>
  <si>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</si>
  <si>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</si>
  <si>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</si>
  <si>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</si>
  <si>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</si>
  <si>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</si>
  <si>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</si>
  <si>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</si>
  <si>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</si>
  <si>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</si>
  <si>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</si>
  <si>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</si>
  <si>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</si>
  <si>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</si>
  <si>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</si>
  <si>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</si>
  <si>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</si>
  <si>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</si>
  <si>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</si>
  <si>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</si>
  <si>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</si>
  <si>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</si>
  <si>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</si>
  <si>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</si>
  <si>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</si>
  <si>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</si>
  <si>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</si>
  <si>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</si>
  <si>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</si>
  <si>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</si>
  <si>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</si>
  <si>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</si>
  <si>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</si>
  <si>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</si>
  <si>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</si>
  <si>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</si>
  <si>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</si>
  <si>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</si>
  <si>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</si>
  <si>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</si>
  <si>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</si>
  <si>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</si>
  <si>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</si>
  <si>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</si>
  <si>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</si>
  <si>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</si>
  <si>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</si>
  <si>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</si>
  <si>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</si>
  <si>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</si>
  <si>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</si>
  <si>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</si>
  <si>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</si>
  <si>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</si>
  <si>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</si>
  <si>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</si>
  <si>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</si>
  <si>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</si>
  <si>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</si>
  <si>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</si>
  <si>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</si>
  <si>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</si>
  <si>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</si>
  <si>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</si>
  <si>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</si>
  <si>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</si>
  <si>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</si>
  <si>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</si>
  <si>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</si>
  <si>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</si>
  <si>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</si>
  <si>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</si>
  <si>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</si>
  <si>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</si>
  <si>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</si>
  <si>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</si>
  <si>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</si>
  <si>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</si>
  <si>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</si>
  <si>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</si>
  <si>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</si>
  <si>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</si>
  <si>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</si>
  <si>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</si>
  <si>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</si>
  <si>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</si>
  <si>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</si>
  <si>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</si>
  <si>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</si>
  <si>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</si>
  <si>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</si>
  <si>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</si>
  <si>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</si>
  <si>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</si>
  <si>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</si>
  <si>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</si>
  <si>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</si>
  <si>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</si>
  <si>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</si>
  <si>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</si>
  <si>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</si>
  <si>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</si>
  <si>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</si>
  <si>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</si>
  <si>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</si>
  <si>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</si>
  <si>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</si>
  <si>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</si>
  <si>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</si>
  <si>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</si>
  <si>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>A) FLUJOS DE EFECTIVO DE LAS ACTIVIDADES DE EXPLOTACION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</si>
  <si>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</si>
  <si>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</si>
  <si>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</si>
  <si>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</si>
  <si>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</si>
  <si>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</si>
  <si>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</si>
  <si>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</si>
  <si>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</si>
  <si>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</si>
  <si>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</si>
  <si>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</si>
  <si>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</si>
  <si>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</si>
  <si>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</si>
  <si>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</si>
  <si>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</si>
  <si>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</si>
  <si>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</si>
  <si>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</si>
  <si>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</si>
  <si>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</si>
  <si>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</si>
  <si>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</si>
  <si>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</si>
  <si>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</si>
  <si>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</si>
  <si>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</si>
  <si>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</si>
  <si>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</si>
  <si>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</si>
  <si>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</si>
  <si>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</si>
  <si>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</si>
  <si>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</si>
  <si>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</si>
  <si>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</si>
  <si>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</si>
  <si>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</si>
  <si>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</si>
  <si>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</si>
  <si>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</si>
  <si>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</si>
  <si>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</si>
  <si>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</si>
  <si>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</si>
  <si>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</si>
  <si>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</si>
  <si>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</si>
  <si>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</si>
  <si>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</si>
  <si>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</si>
  <si>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</si>
  <si>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</si>
  <si>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</si>
  <si>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</si>
  <si>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</si>
  <si>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</si>
  <si>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</si>
  <si>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</si>
  <si>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</si>
  <si>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</si>
  <si>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</si>
  <si>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</si>
  <si>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</si>
  <si>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</si>
  <si>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</si>
  <si>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</si>
  <si>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</si>
  <si>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</si>
  <si>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</si>
  <si>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</si>
  <si>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</si>
  <si>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</si>
  <si>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</si>
  <si>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</si>
  <si>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</si>
  <si>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</si>
  <si>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</si>
  <si>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</si>
  <si>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</si>
  <si>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</si>
  <si>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</si>
  <si>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</si>
  <si>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</si>
  <si>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</si>
  <si>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</si>
  <si>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</si>
  <si>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</si>
  <si>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</si>
  <si>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</si>
  <si>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</si>
  <si>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</si>
  <si>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</si>
  <si>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</si>
  <si>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</si>
  <si>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</si>
  <si>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</si>
  <si>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</si>
  <si>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</si>
  <si>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</si>
  <si>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</si>
  <si>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</si>
  <si>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</si>
  <si>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</si>
  <si>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</si>
  <si>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</si>
  <si>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</si>
  <si>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</si>
  <si>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</si>
  <si>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</si>
  <si>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</si>
  <si>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</si>
  <si>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</si>
  <si>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</si>
  <si>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</si>
  <si>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</si>
  <si>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</si>
  <si>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</si>
  <si>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</si>
  <si>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</si>
  <si>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</si>
  <si>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</si>
  <si>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</si>
  <si>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</si>
  <si>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</si>
  <si>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</si>
  <si>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</si>
  <si>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</si>
  <si>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</si>
  <si>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</si>
  <si>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</si>
  <si>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</si>
  <si>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</si>
  <si>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</si>
  <si>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</si>
  <si>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</si>
  <si>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</si>
  <si>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</si>
  <si>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</si>
  <si>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</si>
  <si>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</si>
  <si>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</si>
  <si>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</si>
  <si>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</si>
  <si>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</si>
  <si>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</si>
  <si>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</si>
  <si>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</si>
  <si>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</si>
  <si>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</si>
  <si>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</si>
  <si>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</si>
  <si>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</si>
  <si>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</si>
  <si>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</si>
  <si>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</si>
  <si>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</si>
  <si>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</si>
  <si>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</si>
  <si>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</si>
  <si>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</si>
  <si>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</si>
  <si>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</si>
  <si>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</si>
  <si>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</si>
  <si>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</si>
  <si>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</si>
  <si>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</si>
  <si>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</si>
  <si>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</si>
  <si>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</si>
  <si>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</si>
  <si>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</si>
  <si>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</si>
  <si>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</si>
  <si>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</si>
  <si>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</si>
  <si>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</si>
  <si>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</si>
  <si>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</si>
  <si>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</si>
  <si>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</si>
  <si>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</si>
  <si>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</si>
  <si>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</si>
  <si>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</si>
  <si>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</si>
  <si>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</si>
  <si>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</si>
  <si>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</si>
  <si>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</si>
  <si>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</si>
  <si>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</si>
  <si>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</si>
  <si>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</si>
  <si>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</si>
  <si>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</si>
  <si>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</si>
  <si>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</si>
  <si>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</si>
  <si>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</si>
  <si>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</si>
  <si>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</si>
  <si>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</si>
  <si>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</si>
  <si>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</si>
  <si>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</si>
  <si>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</si>
  <si>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</si>
  <si>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</si>
  <si>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</si>
  <si>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</si>
  <si>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</si>
  <si>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</si>
  <si>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</si>
  <si>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</si>
  <si>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</si>
  <si>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</si>
  <si>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</si>
  <si>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</si>
  <si>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</si>
  <si>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</si>
  <si>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</si>
  <si>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</si>
  <si>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</si>
  <si>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</si>
  <si>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</si>
  <si>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</si>
  <si>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</si>
  <si>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</si>
  <si>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</si>
  <si>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</si>
  <si>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</si>
  <si>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</si>
  <si>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</si>
  <si>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</si>
  <si>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</si>
  <si>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</si>
  <si>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</si>
  <si>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</si>
  <si>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</si>
  <si>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</si>
  <si>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</si>
  <si>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</si>
  <si>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</si>
  <si>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</si>
  <si>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</si>
  <si>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</si>
  <si>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</si>
  <si>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</si>
  <si>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2017             (previsión)</t>
  </si>
  <si>
    <t>2016        (estimado)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</si>
  <si>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</si>
  <si>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</si>
  <si>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</si>
  <si>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</si>
  <si>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</si>
  <si>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</si>
  <si>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</si>
  <si>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</si>
  <si>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</si>
  <si>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</si>
  <si>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</si>
  <si>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</si>
  <si>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</si>
  <si>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</si>
  <si>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</si>
  <si>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</si>
  <si>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</si>
  <si>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</si>
  <si>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</si>
  <si>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</si>
  <si>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</si>
  <si>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</si>
  <si>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</si>
  <si>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</si>
  <si>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</si>
  <si>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</si>
  <si>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</si>
  <si>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</si>
  <si>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</si>
  <si>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</si>
  <si>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</si>
  <si>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</si>
  <si>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</si>
  <si>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</si>
  <si>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</si>
  <si>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</si>
  <si>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</si>
  <si>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</si>
  <si>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</si>
  <si>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</si>
  <si>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</si>
  <si>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</si>
  <si>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</si>
  <si>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</si>
  <si>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</si>
  <si>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</si>
  <si>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</si>
  <si>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</si>
  <si>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</si>
  <si>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</si>
  <si>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</si>
  <si>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</si>
  <si>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</si>
  <si>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</si>
  <si>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</si>
  <si>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</si>
  <si>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</si>
  <si>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</si>
  <si>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</si>
  <si>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</si>
  <si>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</si>
  <si>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</si>
  <si>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</si>
  <si>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</si>
  <si>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</si>
  <si>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</si>
  <si>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</si>
  <si>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</si>
  <si>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</si>
  <si>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</si>
  <si>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</si>
  <si>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</si>
  <si>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</si>
  <si>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</si>
  <si>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</si>
  <si>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</si>
  <si>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</si>
  <si>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</si>
  <si>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</si>
  <si>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</si>
  <si>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</si>
  <si>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</si>
  <si>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</si>
  <si>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</si>
  <si>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</si>
  <si>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</si>
  <si>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</si>
  <si>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</si>
  <si>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</si>
  <si>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</si>
  <si>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</si>
  <si>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</si>
  <si>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</si>
  <si>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</si>
  <si>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</si>
  <si>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</si>
  <si>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</si>
  <si>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</si>
  <si>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</si>
  <si>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</si>
  <si>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</si>
  <si>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</si>
  <si>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</si>
  <si>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</si>
  <si>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</si>
  <si>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</si>
  <si>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</si>
  <si>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</si>
  <si>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</si>
  <si>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</si>
  <si>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</si>
  <si>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</si>
  <si>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</si>
  <si>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</si>
  <si>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</si>
  <si>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</si>
  <si>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</si>
  <si>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</si>
  <si>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</si>
  <si>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</si>
  <si>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</si>
  <si>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</si>
  <si>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</si>
  <si>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</si>
  <si>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</si>
  <si>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</si>
  <si>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</si>
  <si>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</si>
  <si>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</si>
  <si>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</si>
  <si>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</si>
  <si>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</si>
  <si>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</si>
  <si>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</si>
  <si>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</si>
  <si>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</si>
  <si>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</si>
  <si>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</si>
  <si>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</si>
  <si>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</si>
  <si>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</si>
  <si>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</si>
  <si>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</si>
  <si>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</si>
  <si>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</si>
  <si>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</si>
  <si>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</si>
  <si>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</si>
  <si>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</si>
  <si>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</si>
  <si>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</si>
  <si>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</si>
  <si>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</si>
  <si>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</si>
  <si>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</si>
  <si>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</si>
  <si>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</si>
  <si>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</si>
  <si>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</si>
  <si>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</si>
  <si>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</si>
  <si>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</si>
  <si>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</si>
  <si>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</si>
  <si>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</si>
  <si>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</si>
  <si>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</si>
  <si>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</si>
  <si>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</si>
  <si>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</si>
  <si>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</si>
  <si>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</si>
  <si>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</si>
  <si>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</si>
  <si>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</si>
  <si>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</si>
  <si>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</si>
  <si>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</si>
  <si>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</si>
  <si>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</si>
  <si>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</si>
  <si>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</si>
  <si>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</si>
  <si>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</si>
  <si>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</si>
  <si>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</si>
  <si>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</si>
  <si>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</si>
  <si>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</si>
  <si>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</si>
  <si>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</si>
  <si>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</si>
  <si>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</si>
  <si>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</si>
  <si>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</si>
  <si>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</si>
  <si>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</si>
  <si>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</si>
  <si>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</si>
  <si>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</si>
  <si>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</si>
  <si>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</si>
  <si>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</si>
  <si>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</si>
  <si>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</si>
  <si>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</si>
  <si>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</si>
  <si>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</si>
  <si>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</si>
  <si>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</si>
  <si>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</si>
  <si>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</si>
  <si>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</si>
  <si>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</si>
  <si>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</si>
  <si>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</si>
  <si>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</si>
  <si>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</si>
  <si>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</si>
  <si>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</si>
  <si>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</si>
  <si>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</si>
  <si>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</si>
  <si>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</si>
  <si>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</si>
  <si>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</si>
  <si>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</si>
  <si>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</si>
  <si>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</si>
  <si>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</si>
  <si>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</si>
  <si>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</si>
  <si>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</si>
  <si>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</si>
  <si>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</si>
  <si>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</si>
  <si>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</si>
  <si>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0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</si>
  <si>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</si>
  <si>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</si>
  <si>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</si>
  <si>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</si>
  <si>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</si>
  <si>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</si>
  <si>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</si>
  <si>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</si>
  <si>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</si>
  <si>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</si>
  <si>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</si>
  <si>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</si>
  <si>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</si>
  <si>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</si>
  <si>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</si>
  <si>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</si>
  <si>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</si>
  <si>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</si>
  <si>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</si>
  <si>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</si>
  <si>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</si>
  <si>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</si>
  <si>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</si>
  <si>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</si>
  <si>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</si>
  <si>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</si>
  <si>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</si>
  <si>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</si>
  <si>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</si>
  <si>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</si>
  <si>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</si>
  <si>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</si>
  <si>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</si>
  <si>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</si>
  <si>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</si>
  <si>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</si>
  <si>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</si>
  <si>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</si>
  <si>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</si>
  <si>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</si>
  <si>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</si>
  <si>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</si>
  <si>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</si>
  <si>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</si>
  <si>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</si>
  <si>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</si>
  <si>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</si>
  <si>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</si>
  <si>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</si>
  <si>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</si>
  <si>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</si>
  <si>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</si>
  <si>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</si>
  <si>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</si>
  <si>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</si>
  <si>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</si>
  <si>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</si>
  <si>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</si>
  <si>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</si>
  <si>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</si>
  <si>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</si>
  <si>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</si>
  <si>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</si>
  <si>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</si>
  <si>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</si>
  <si>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</si>
  <si>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</si>
  <si>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</si>
  <si>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</si>
  <si>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</si>
  <si>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</si>
  <si>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</si>
  <si>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</si>
  <si>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</si>
  <si>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</si>
  <si>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</si>
  <si>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</si>
  <si>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</si>
  <si>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</si>
  <si>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</si>
  <si>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</si>
  <si>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</si>
  <si>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</si>
  <si>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</si>
  <si>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</si>
  <si>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</si>
  <si>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</si>
  <si>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</si>
  <si>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</si>
  <si>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</si>
  <si>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</si>
  <si>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</si>
  <si>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</si>
  <si>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</si>
  <si>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</si>
  <si>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</si>
  <si>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</si>
  <si>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</si>
  <si>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</si>
  <si>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</si>
  <si>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t>Ayuda de estudios</t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</si>
  <si>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</si>
  <si>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</si>
  <si>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</si>
  <si>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</si>
  <si>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</si>
  <si>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</si>
  <si>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</si>
  <si>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</si>
  <si>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</si>
  <si>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</si>
  <si>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</si>
  <si>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</si>
  <si>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</si>
  <si>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</si>
  <si>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</si>
  <si>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</si>
  <si>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</si>
  <si>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ENTIDAD PÚBLICA EMPRESARIAL LOCAL BALSAS DE TENERIFE, BALTEN</t>
  </si>
  <si>
    <t xml:space="preserve">          Terrenos</t>
  </si>
  <si>
    <t xml:space="preserve">          Resto del inmovilizadoInversiones financieras</t>
  </si>
  <si>
    <t>EXCMO CABILDO INSULAR DE TENERIFE</t>
  </si>
  <si>
    <t>COMUNIDAD DE AGUAS EL PRIS</t>
  </si>
  <si>
    <t>COMUNIDAD DE AGUAS RISCO ATRAVESADO</t>
  </si>
  <si>
    <t>COMUNIDAD DE AGUAS POZO ABEJONES</t>
  </si>
  <si>
    <t>Carlos E. Alonso Rodríguez</t>
  </si>
  <si>
    <t>José Antonio Duque Díaz</t>
  </si>
  <si>
    <t>Escolástico Aguiar González</t>
  </si>
  <si>
    <t>ASSAP AUDITORES, S.L.</t>
  </si>
  <si>
    <t>Ayuntamientos varios</t>
  </si>
  <si>
    <t>Instituto de Atención Social y Sociosanitaria (IASS)</t>
  </si>
  <si>
    <t>Metropolitano de Tenerife, S.A.</t>
  </si>
  <si>
    <t>Gestión Insular para el Deporte, La Cultura y el OCIO, S.A. (IDECO)</t>
  </si>
  <si>
    <t>Organismo Autónomo Museos Centros</t>
  </si>
  <si>
    <t>Cultivos y Tecnología Agraria de Tenerife, S.A. (CULTESA)</t>
  </si>
  <si>
    <t>Parque Científico y Tecnológico</t>
  </si>
  <si>
    <t>Control INCN</t>
  </si>
  <si>
    <t>Traspaso a resultados de subvenciones por amortización ejerc anteriores inmov material adscrito</t>
  </si>
  <si>
    <t>Amortización de ejercicios anteriores del inmovilizado material adscrito</t>
  </si>
  <si>
    <t>Dotación "provisiones"</t>
  </si>
  <si>
    <t>Paga extra diciembre 2012</t>
  </si>
  <si>
    <t>Compras de agua ejercicios anteriores</t>
  </si>
  <si>
    <t>Liquidación franquicia con entidades aseguradoras por siniestro</t>
  </si>
  <si>
    <t>Recargos por pago fuera de plazo a la Seguridad Social</t>
  </si>
  <si>
    <t>Liquidaciones de impuestos y tasas de ejercicios anteriores</t>
  </si>
  <si>
    <t>Regularización de otros saldos</t>
  </si>
  <si>
    <t>Control ingresos excepcionales</t>
  </si>
  <si>
    <t>Contros gastos excepcionales</t>
  </si>
  <si>
    <t>Control resultado del ejercicio con CPYG:</t>
  </si>
  <si>
    <t>Control resultado con balance:</t>
  </si>
  <si>
    <t>Cuadre Activo-Pasivo:</t>
  </si>
  <si>
    <t>Otros: variación existencias</t>
  </si>
  <si>
    <t>Saldo inicial</t>
  </si>
  <si>
    <t>Saldo final</t>
  </si>
  <si>
    <t>Amort.</t>
  </si>
  <si>
    <t>Comunidad de Aguas El Pris</t>
  </si>
  <si>
    <t>240 / 293</t>
  </si>
  <si>
    <t>Comunidad de Aguas Risco Atravesado</t>
  </si>
  <si>
    <t>Comunidad de Aguas Pozo Abejones</t>
  </si>
  <si>
    <t>Créditos a l/p al personal</t>
  </si>
  <si>
    <t>RED DE RIEGO COAGISORA</t>
  </si>
  <si>
    <t>PLUSVALÍA OFICINAS CENTRALES</t>
  </si>
  <si>
    <t>REEMPLAZAMIENTO CUBIERTA VALLE SAN LORENZO</t>
  </si>
  <si>
    <t>OTRAS INVERSIONES INMOVILIZADO MATERIAL 2016</t>
  </si>
  <si>
    <t>APLICACIONES INFORMÁTICAS Y PÁGINA WEB AÑO 2016</t>
  </si>
  <si>
    <t>OTRAS INVERSIONES INMOVILIZADO MATERIAL 2017</t>
  </si>
  <si>
    <t>APLICACIONES INFORMÁTICAS Y PÁGINA WEB AÑO 2017</t>
  </si>
  <si>
    <t>LÁMINA IMPERMEABILIZACIÓN BALSA CRUZ SANTA 2016</t>
  </si>
  <si>
    <t>INSTALACIÓN LAMINA IMPERMEABILIZACIÓN BALSA CRUZ SANTA 2017</t>
  </si>
  <si>
    <t>COMPRA BALSA ADICIONAL ZONA COAGISORA</t>
  </si>
  <si>
    <t>CONDUCCIÓN CONEXIÓN AGUA BALSA SALTADERO Y COMPLEJO HIDRÁULICO VSL, FASE 1ª</t>
  </si>
  <si>
    <t>RED DE RIEGO COPABONA (ALTA AÑO 2015)</t>
  </si>
  <si>
    <t>TOTALES:</t>
  </si>
  <si>
    <t>Aportación para compra Red de Riego COAGISORA</t>
  </si>
  <si>
    <t>Aportación a solicitar para compra de balsa adicional en zona COAGISORA</t>
  </si>
  <si>
    <t>TOTAL IMPORTE CONCEDIDO: 3.911.560,05€</t>
  </si>
  <si>
    <t>Aportación genérica</t>
  </si>
  <si>
    <t>Aportación paga extra 2012</t>
  </si>
  <si>
    <t>Aportación 1% CAP 1</t>
  </si>
  <si>
    <t>Aportación compensación no subida tarifas</t>
  </si>
  <si>
    <t>Productividad variable:</t>
  </si>
  <si>
    <t>Ayudas médico-farmaceúticas:</t>
  </si>
  <si>
    <t>Subsidio de estudios:</t>
  </si>
  <si>
    <r>
      <t>Sistemas de aportación definida</t>
    </r>
    <r>
      <rPr>
        <sz val="6"/>
        <rFont val="Tahoma"/>
        <family val="2"/>
      </rPr>
      <t xml:space="preserve"> (art. 38 Convenio Colectivo):</t>
    </r>
  </si>
  <si>
    <t>Seguro de salud:</t>
  </si>
  <si>
    <r>
      <t xml:space="preserve">Póliza de vida </t>
    </r>
    <r>
      <rPr>
        <sz val="6"/>
        <rFont val="Tahoma"/>
        <family val="2"/>
      </rPr>
      <t>(s/ convenio):</t>
    </r>
  </si>
  <si>
    <t>Otros:</t>
  </si>
  <si>
    <t>EPEL Balsas de Tenerife, BALTEN</t>
  </si>
  <si>
    <t>Condiciones Trabajo</t>
  </si>
  <si>
    <t>OTRAS RETRIBUCIONES (Especificar, añadiendo tantas columnas como sea necesario)</t>
  </si>
  <si>
    <t>B011</t>
  </si>
  <si>
    <t>A1</t>
  </si>
  <si>
    <t>B024</t>
  </si>
  <si>
    <t>B004</t>
  </si>
  <si>
    <t>A2</t>
  </si>
  <si>
    <t>B007</t>
  </si>
  <si>
    <t>B025</t>
  </si>
  <si>
    <t>B033</t>
  </si>
  <si>
    <t>B043</t>
  </si>
  <si>
    <t>B013</t>
  </si>
  <si>
    <t>C1</t>
  </si>
  <si>
    <t>B008</t>
  </si>
  <si>
    <t>C2</t>
  </si>
  <si>
    <t>B005</t>
  </si>
  <si>
    <t>B003</t>
  </si>
  <si>
    <t>B009</t>
  </si>
  <si>
    <t>B001</t>
  </si>
  <si>
    <t>B010</t>
  </si>
  <si>
    <t>B014</t>
  </si>
  <si>
    <t>B029</t>
  </si>
  <si>
    <t>B047</t>
  </si>
  <si>
    <t>B040</t>
  </si>
  <si>
    <t>E</t>
  </si>
  <si>
    <t>B006</t>
  </si>
  <si>
    <t>B030</t>
  </si>
  <si>
    <t>B031</t>
  </si>
  <si>
    <t>B028</t>
  </si>
  <si>
    <t>B019</t>
  </si>
  <si>
    <t>Relevista</t>
  </si>
  <si>
    <t>B020</t>
  </si>
  <si>
    <t>B021</t>
  </si>
  <si>
    <t>B022</t>
  </si>
  <si>
    <t>B023</t>
  </si>
  <si>
    <t>B026</t>
  </si>
  <si>
    <t>B027</t>
  </si>
  <si>
    <t>B016</t>
  </si>
  <si>
    <t>B018</t>
  </si>
  <si>
    <t>B035</t>
  </si>
  <si>
    <t>B036</t>
  </si>
  <si>
    <t>B037</t>
  </si>
  <si>
    <t>B041</t>
  </si>
  <si>
    <t>B038</t>
  </si>
  <si>
    <t>B039</t>
  </si>
  <si>
    <t>B046</t>
  </si>
  <si>
    <t>Ayudas médico-farmacéuticas</t>
  </si>
  <si>
    <t>Sistemas de aportación definida (art. 38 Convenio Colectivo)</t>
  </si>
  <si>
    <t>Retribuciones sin antigüedad ni productividad:</t>
  </si>
  <si>
    <t>IMPORTES</t>
  </si>
  <si>
    <t>S/ PYG</t>
  </si>
  <si>
    <t>LAS CIFRAS SON LAS ESTIMADAS PARA 2017</t>
  </si>
  <si>
    <t>Otros ingresos de explotación y financieros</t>
  </si>
  <si>
    <t>INCLUYE ANUALIDADES DE 2017 DE APORTACIONES ESPECÍFICAS PLURIANUALES DE CONCEDIDAS EN EJERCICIOS ANTERIORES.</t>
  </si>
  <si>
    <r>
      <t xml:space="preserve">Seguros </t>
    </r>
    <r>
      <rPr>
        <i/>
        <sz val="9"/>
        <color indexed="8"/>
        <rFont val="Arial"/>
        <family val="2"/>
      </rPr>
      <t>(de vida, póliza sanitaria)</t>
    </r>
  </si>
  <si>
    <r>
      <t>Otros gastos sociales (</t>
    </r>
    <r>
      <rPr>
        <i/>
        <sz val="9"/>
        <color indexed="8"/>
        <rFont val="Arial"/>
        <family val="2"/>
      </rPr>
      <t>especificar en tantas filas como proceda)</t>
    </r>
  </si>
  <si>
    <t>Variación 17/16</t>
  </si>
  <si>
    <t>A3-BALTÉN APORTACIÓN GENÉRICA</t>
  </si>
  <si>
    <t>A4-BALTEN ADQ. PRESA R. RIEGO COAGUISORA</t>
  </si>
  <si>
    <t>A4-BALTEN ADQ. RED RIEGO COAGUISORA</t>
  </si>
  <si>
    <t>A4-BALTEN ADQ. RED RIEGO COPABONA</t>
  </si>
  <si>
    <t>A4-BALTEN OBRAS CONDUCCIÓN AGUA</t>
  </si>
  <si>
    <t>2017</t>
  </si>
  <si>
    <t>0604</t>
  </si>
  <si>
    <t>4190</t>
  </si>
  <si>
    <t>44980</t>
  </si>
  <si>
    <t>A3- BALTEN INCREMENTO NO SUBIDA TARIFAS</t>
  </si>
  <si>
    <t>A4- BALTEN ELABORACIÓN INVENTARIO</t>
  </si>
  <si>
    <t>74302</t>
  </si>
  <si>
    <t>Elaboración de inventario</t>
  </si>
  <si>
    <t>Aportación para Obras de conducción de agua</t>
  </si>
  <si>
    <t>OBRAS DE CONDUCCIÓN DE AGUA</t>
  </si>
  <si>
    <t>EN SALDO APERTURA 2017</t>
  </si>
  <si>
    <t>Aportaciones de socios</t>
  </si>
  <si>
    <t>Sobre resultado neto</t>
  </si>
  <si>
    <t>Sobre resultado de explotación</t>
  </si>
  <si>
    <t xml:space="preserve">Fianzas recibidas, básicamente por fianzas de clientes </t>
  </si>
  <si>
    <t>No hay operaciones de tesorería</t>
  </si>
  <si>
    <t>Nota explicativa:</t>
  </si>
  <si>
    <t>Deuda con proveedores de inmovilizado:</t>
  </si>
  <si>
    <t>- Red de riego Copabona</t>
  </si>
  <si>
    <t>- Red de riego Coagisora</t>
  </si>
  <si>
    <t>Deuda transformable en subvenciones</t>
  </si>
  <si>
    <t>- Obra de conducción Valle de San Lorenzo</t>
  </si>
  <si>
    <t>a Llano del Camello. Subvención otorgada</t>
  </si>
  <si>
    <t>su ejecución en 2018</t>
  </si>
  <si>
    <t>en 2015 por el ECIT y se prevé</t>
  </si>
  <si>
    <t>DEUDORES COMERCIALES NO CORRIENTES</t>
  </si>
  <si>
    <t xml:space="preserve"> ADQ. RED RIEGO COPABONA</t>
  </si>
  <si>
    <t xml:space="preserve"> ADQ. RED RIEGO COAGUISORA</t>
  </si>
  <si>
    <t>% Incremento 2016-2017</t>
  </si>
  <si>
    <t>ESTADO DE FLUJOS DE EFECTIVO                                                                                                                                                               (Sólo para sociedades sujetas al P.G. de Contabilidad de Empresas Modelo Ordinario)</t>
  </si>
  <si>
    <t>ENTIDAD: EPEL Balsas de Tenerife, BALTEN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</si>
</sst>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color indexed="40"/>
      <name val="Tahoma"/>
      <family val="2"/>
    </font>
    <font>
      <sz val="6"/>
      <color indexed="10"/>
      <name val="Tahoma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color indexed="10"/>
      <name val="Tahoma"/>
      <family val="2"/>
    </font>
    <font>
      <b/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color rgb="FF000099"/>
      <name val="Arial"/>
      <family val="2"/>
    </font>
    <font>
      <sz val="10"/>
      <color rgb="FFFF0000"/>
      <name val="Arial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6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598">
    <xf numFmtId="0" fontId="0" fillId="0" borderId="0" xfId="0" applyAlignment="1">
      <alignment/>
    </xf>
    <xf numFmtId="3" fontId="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9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9" applyNumberFormat="1" applyFont="1" applyBorder="1" applyAlignment="1">
      <alignment vertical="center"/>
      <protection/>
    </xf>
    <xf numFmtId="3" fontId="0" fillId="0" borderId="0" xfId="69" applyNumberFormat="1" applyFont="1" applyFill="1" applyBorder="1">
      <alignment/>
      <protection/>
    </xf>
    <xf numFmtId="3" fontId="1" fillId="0" borderId="0" xfId="69" applyNumberFormat="1" applyFont="1" applyFill="1" applyBorder="1">
      <alignment/>
      <protection/>
    </xf>
    <xf numFmtId="3" fontId="1" fillId="0" borderId="0" xfId="69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9" applyNumberFormat="1" applyFont="1" applyBorder="1" applyAlignment="1">
      <alignment vertical="center"/>
      <protection/>
    </xf>
    <xf numFmtId="3" fontId="1" fillId="0" borderId="10" xfId="69" applyNumberFormat="1" applyFont="1" applyBorder="1" applyAlignment="1">
      <alignment horizontal="left" vertical="center" wrapText="1"/>
      <protection/>
    </xf>
    <xf numFmtId="3" fontId="0" fillId="0" borderId="10" xfId="69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9" applyNumberFormat="1" applyFont="1" applyBorder="1" applyAlignment="1">
      <alignment horizontal="centerContinuous" vertical="center"/>
      <protection/>
    </xf>
    <xf numFmtId="3" fontId="1" fillId="0" borderId="16" xfId="69" applyNumberFormat="1" applyFont="1" applyBorder="1" applyAlignment="1">
      <alignment vertical="center"/>
      <protection/>
    </xf>
    <xf numFmtId="177" fontId="1" fillId="0" borderId="17" xfId="69" applyNumberFormat="1" applyFont="1" applyBorder="1" applyAlignment="1">
      <alignment horizontal="right" vertical="center"/>
      <protection/>
    </xf>
    <xf numFmtId="177" fontId="1" fillId="0" borderId="12" xfId="69" applyNumberFormat="1" applyFont="1" applyBorder="1" applyAlignment="1">
      <alignment horizontal="right" vertical="center"/>
      <protection/>
    </xf>
    <xf numFmtId="177" fontId="1" fillId="0" borderId="17" xfId="69" applyNumberFormat="1" applyFont="1" applyBorder="1" applyAlignment="1" applyProtection="1">
      <alignment horizontal="right" vertical="center"/>
      <protection locked="0"/>
    </xf>
    <xf numFmtId="177" fontId="1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8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Fill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>
      <alignment horizontal="right" vertical="center"/>
      <protection/>
    </xf>
    <xf numFmtId="177" fontId="0" fillId="0" borderId="12" xfId="69" applyNumberFormat="1" applyFont="1" applyBorder="1" applyAlignment="1">
      <alignment horizontal="right" vertical="center"/>
      <protection/>
    </xf>
    <xf numFmtId="177" fontId="1" fillId="0" borderId="19" xfId="69" applyNumberFormat="1" applyFont="1" applyBorder="1" applyAlignment="1">
      <alignment horizontal="right" vertical="center"/>
      <protection/>
    </xf>
    <xf numFmtId="177" fontId="1" fillId="0" borderId="20" xfId="69" applyNumberFormat="1" applyFont="1" applyBorder="1" applyAlignment="1">
      <alignment horizontal="right" vertical="center"/>
      <protection/>
    </xf>
    <xf numFmtId="177" fontId="0" fillId="0" borderId="0" xfId="69" applyNumberFormat="1" applyFont="1" applyBorder="1">
      <alignment/>
      <protection/>
    </xf>
    <xf numFmtId="177" fontId="0" fillId="0" borderId="0" xfId="69" applyNumberFormat="1" applyFont="1" applyBorder="1" applyAlignment="1">
      <alignment horizontal="center"/>
      <protection/>
    </xf>
    <xf numFmtId="177" fontId="0" fillId="0" borderId="0" xfId="69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9" applyNumberFormat="1" applyFont="1" applyFill="1" applyBorder="1" applyAlignment="1" applyProtection="1">
      <alignment horizontal="right" vertical="center"/>
      <protection locked="0"/>
    </xf>
    <xf numFmtId="10" fontId="0" fillId="0" borderId="0" xfId="72" applyNumberFormat="1" applyFont="1" applyBorder="1" applyAlignment="1">
      <alignment vertical="center"/>
    </xf>
    <xf numFmtId="3" fontId="1" fillId="0" borderId="0" xfId="69" applyNumberFormat="1" applyFont="1" applyBorder="1" applyAlignment="1">
      <alignment vertical="center"/>
      <protection/>
    </xf>
    <xf numFmtId="3" fontId="0" fillId="0" borderId="0" xfId="68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8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8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8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3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57" xfId="65" applyNumberFormat="1" applyFont="1" applyFill="1" applyBorder="1" applyAlignment="1" applyProtection="1">
      <alignment vertical="center"/>
      <protection locked="0"/>
    </xf>
    <xf numFmtId="0" fontId="43" fillId="0" borderId="27" xfId="65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58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58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9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0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1" xfId="66" applyFont="1" applyFill="1" applyBorder="1" applyAlignment="1">
      <alignment vertical="center" wrapText="1"/>
      <protection/>
    </xf>
    <xf numFmtId="4" fontId="43" fillId="0" borderId="62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2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4" fillId="0" borderId="0" xfId="66" applyNumberFormat="1" applyFont="1" applyAlignment="1">
      <alignment vertical="center"/>
      <protection/>
    </xf>
    <xf numFmtId="4" fontId="43" fillId="0" borderId="63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4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63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50" xfId="66" applyNumberFormat="1" applyFont="1" applyBorder="1" applyAlignment="1">
      <alignment horizontal="center" vertical="center"/>
      <protection/>
    </xf>
    <xf numFmtId="0" fontId="43" fillId="0" borderId="65" xfId="66" applyFont="1" applyBorder="1" applyAlignment="1">
      <alignment horizontal="center" vertical="center"/>
      <protection/>
    </xf>
    <xf numFmtId="0" fontId="43" fillId="0" borderId="50" xfId="66" applyFont="1" applyBorder="1" applyAlignment="1">
      <alignment horizontal="center" vertical="center"/>
      <protection/>
    </xf>
    <xf numFmtId="0" fontId="43" fillId="0" borderId="50" xfId="66" applyNumberFormat="1" applyFont="1" applyBorder="1" applyAlignment="1" applyProtection="1">
      <alignment horizontal="center" vertical="center"/>
      <protection locked="0"/>
    </xf>
    <xf numFmtId="4" fontId="43" fillId="0" borderId="50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6" xfId="0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43" fillId="0" borderId="41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61" xfId="0" applyFont="1" applyFill="1" applyBorder="1" applyAlignment="1" applyProtection="1">
      <alignment horizontal="center" vertical="center"/>
      <protection locked="0"/>
    </xf>
    <xf numFmtId="0" fontId="43" fillId="0" borderId="63" xfId="0" applyFont="1" applyBorder="1" applyAlignment="1" applyProtection="1">
      <alignment horizontal="left" vertical="center"/>
      <protection locked="0"/>
    </xf>
    <xf numFmtId="4" fontId="43" fillId="0" borderId="62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6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69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3" fontId="43" fillId="0" borderId="0" xfId="67" applyNumberFormat="1" applyFont="1">
      <alignment/>
      <protection/>
    </xf>
    <xf numFmtId="3" fontId="43" fillId="0" borderId="0" xfId="67" applyNumberFormat="1" applyFont="1" applyBorder="1">
      <alignment/>
      <protection/>
    </xf>
    <xf numFmtId="4" fontId="43" fillId="0" borderId="0" xfId="67" applyNumberFormat="1" applyFont="1">
      <alignment/>
      <protection/>
    </xf>
    <xf numFmtId="1" fontId="47" fillId="8" borderId="70" xfId="61" applyNumberFormat="1" applyFont="1" applyFill="1" applyBorder="1" applyAlignment="1">
      <alignment horizontal="center" vertical="center"/>
      <protection/>
    </xf>
    <xf numFmtId="3" fontId="43" fillId="0" borderId="0" xfId="67" applyNumberFormat="1" applyFont="1" applyAlignment="1">
      <alignment horizontal="centerContinuous"/>
      <protection/>
    </xf>
    <xf numFmtId="4" fontId="43" fillId="0" borderId="0" xfId="67" applyNumberFormat="1" applyFont="1" applyAlignment="1">
      <alignment horizontal="centerContinuous"/>
      <protection/>
    </xf>
    <xf numFmtId="3" fontId="47" fillId="8" borderId="71" xfId="61" applyNumberFormat="1" applyFont="1" applyFill="1" applyBorder="1" applyAlignment="1">
      <alignment horizontal="center" vertical="center" wrapText="1"/>
      <protection/>
    </xf>
    <xf numFmtId="3" fontId="42" fillId="0" borderId="64" xfId="67" applyNumberFormat="1" applyFont="1" applyBorder="1" applyAlignment="1">
      <alignment vertical="center"/>
      <protection/>
    </xf>
    <xf numFmtId="3" fontId="43" fillId="0" borderId="48" xfId="67" applyNumberFormat="1" applyFont="1" applyBorder="1" applyAlignment="1">
      <alignment vertical="center"/>
      <protection/>
    </xf>
    <xf numFmtId="1" fontId="42" fillId="0" borderId="58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1" xfId="67" applyNumberFormat="1" applyFont="1" applyFill="1" applyBorder="1" applyAlignment="1">
      <alignment horizontal="left" vertical="center" wrapText="1"/>
      <protection/>
    </xf>
    <xf numFmtId="3" fontId="43" fillId="0" borderId="52" xfId="67" applyNumberFormat="1" applyFont="1" applyFill="1" applyBorder="1" applyAlignment="1">
      <alignment vertical="center"/>
      <protection/>
    </xf>
    <xf numFmtId="43" fontId="42" fillId="0" borderId="52" xfId="67" applyNumberFormat="1" applyFont="1" applyFill="1" applyBorder="1" applyAlignment="1">
      <alignment vertical="center"/>
      <protection/>
    </xf>
    <xf numFmtId="43" fontId="42" fillId="0" borderId="47" xfId="67" applyNumberFormat="1" applyFont="1" applyFill="1" applyBorder="1" applyAlignment="1">
      <alignment vertical="center"/>
      <protection/>
    </xf>
    <xf numFmtId="3" fontId="42" fillId="0" borderId="72" xfId="67" applyNumberFormat="1" applyFont="1" applyBorder="1" applyAlignment="1">
      <alignment horizontal="left" vertical="center" wrapText="1"/>
      <protection/>
    </xf>
    <xf numFmtId="3" fontId="43" fillId="0" borderId="73" xfId="67" applyNumberFormat="1" applyFont="1" applyBorder="1" applyAlignment="1">
      <alignment vertical="center"/>
      <protection/>
    </xf>
    <xf numFmtId="3" fontId="42" fillId="0" borderId="63" xfId="67" applyNumberFormat="1" applyFont="1" applyBorder="1" applyAlignment="1">
      <alignment horizontal="left" vertical="center" wrapText="1"/>
      <protection/>
    </xf>
    <xf numFmtId="3" fontId="43" fillId="0" borderId="17" xfId="67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43" fillId="0" borderId="10" xfId="70" applyNumberFormat="1" applyFont="1" applyBorder="1" applyAlignment="1">
      <alignment horizontal="left" vertical="center" wrapText="1"/>
      <protection/>
    </xf>
    <xf numFmtId="3" fontId="43" fillId="0" borderId="0" xfId="67" applyNumberFormat="1" applyFont="1" applyFill="1">
      <alignment/>
      <protection/>
    </xf>
    <xf numFmtId="3" fontId="43" fillId="0" borderId="74" xfId="67" applyNumberFormat="1" applyFont="1" applyBorder="1" applyAlignment="1">
      <alignment vertical="center"/>
      <protection/>
    </xf>
    <xf numFmtId="3" fontId="43" fillId="0" borderId="68" xfId="70" applyNumberFormat="1" applyFont="1" applyBorder="1" applyAlignment="1">
      <alignment vertical="center"/>
      <protection/>
    </xf>
    <xf numFmtId="3" fontId="43" fillId="0" borderId="19" xfId="70" applyNumberFormat="1" applyFont="1" applyBorder="1" applyAlignment="1">
      <alignment vertical="center"/>
      <protection/>
    </xf>
    <xf numFmtId="177" fontId="43" fillId="0" borderId="0" xfId="67" applyNumberFormat="1" applyFont="1">
      <alignment/>
      <protection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9" applyNumberFormat="1" applyFont="1" applyBorder="1">
      <alignment/>
      <protection/>
    </xf>
    <xf numFmtId="3" fontId="43" fillId="0" borderId="0" xfId="69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59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3" fontId="44" fillId="0" borderId="58" xfId="69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9" applyNumberFormat="1" applyFont="1" applyBorder="1" applyAlignment="1">
      <alignment horizontal="center" vertical="center" wrapText="1"/>
      <protection/>
    </xf>
    <xf numFmtId="3" fontId="32" fillId="0" borderId="18" xfId="69" applyNumberFormat="1" applyFont="1" applyFill="1" applyBorder="1" applyAlignment="1">
      <alignment vertical="center"/>
      <protection/>
    </xf>
    <xf numFmtId="4" fontId="44" fillId="0" borderId="0" xfId="69" applyNumberFormat="1" applyFont="1" applyBorder="1" applyAlignment="1">
      <alignment horizontal="right" vertical="center"/>
      <protection/>
    </xf>
    <xf numFmtId="3" fontId="43" fillId="0" borderId="0" xfId="69" applyNumberFormat="1" applyFont="1" applyBorder="1" applyAlignment="1">
      <alignment vertical="center"/>
      <protection/>
    </xf>
    <xf numFmtId="3" fontId="4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9" applyNumberFormat="1" applyFont="1" applyBorder="1" applyAlignment="1">
      <alignment vertical="center"/>
      <protection/>
    </xf>
    <xf numFmtId="3" fontId="43" fillId="0" borderId="17" xfId="69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9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9" applyNumberFormat="1" applyFont="1" applyFill="1" applyBorder="1" applyAlignment="1">
      <alignment vertical="center"/>
      <protection/>
    </xf>
    <xf numFmtId="3" fontId="43" fillId="0" borderId="0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9" applyNumberFormat="1" applyFont="1" applyFill="1" applyBorder="1" applyAlignment="1">
      <alignment vertical="center" wrapText="1"/>
      <protection/>
    </xf>
    <xf numFmtId="3" fontId="3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9" applyNumberFormat="1" applyFont="1" applyFill="1" applyBorder="1" applyAlignment="1">
      <alignment vertical="center" wrapText="1"/>
      <protection/>
    </xf>
    <xf numFmtId="3" fontId="44" fillId="0" borderId="17" xfId="69" applyNumberFormat="1" applyFont="1" applyFill="1" applyBorder="1" applyAlignment="1">
      <alignment vertical="center"/>
      <protection/>
    </xf>
    <xf numFmtId="4" fontId="43" fillId="0" borderId="0" xfId="69" applyNumberFormat="1" applyFont="1" applyBorder="1">
      <alignment/>
      <protection/>
    </xf>
    <xf numFmtId="4" fontId="40" fillId="0" borderId="0" xfId="69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9" applyNumberFormat="1" applyFont="1" applyBorder="1">
      <alignment/>
      <protection/>
    </xf>
    <xf numFmtId="4" fontId="43" fillId="0" borderId="0" xfId="69" applyNumberFormat="1" applyFont="1" applyBorder="1" applyAlignment="1">
      <alignment horizontal="center"/>
      <protection/>
    </xf>
    <xf numFmtId="4" fontId="40" fillId="0" borderId="0" xfId="69" applyNumberFormat="1" applyFont="1" applyBorder="1" applyAlignment="1">
      <alignment horizontal="center"/>
      <protection/>
    </xf>
    <xf numFmtId="177" fontId="43" fillId="0" borderId="0" xfId="69" applyNumberFormat="1" applyFont="1" applyBorder="1">
      <alignment/>
      <protection/>
    </xf>
    <xf numFmtId="177" fontId="40" fillId="0" borderId="0" xfId="69" applyNumberFormat="1" applyFont="1" applyBorder="1">
      <alignment/>
      <protection/>
    </xf>
    <xf numFmtId="177" fontId="43" fillId="22" borderId="0" xfId="69" applyNumberFormat="1" applyFont="1" applyFill="1" applyBorder="1">
      <alignment/>
      <protection/>
    </xf>
    <xf numFmtId="177" fontId="40" fillId="22" borderId="0" xfId="69" applyNumberFormat="1" applyFont="1" applyFill="1" applyBorder="1">
      <alignment/>
      <protection/>
    </xf>
    <xf numFmtId="3" fontId="43" fillId="0" borderId="0" xfId="69" applyNumberFormat="1" applyFont="1" applyFill="1" applyBorder="1">
      <alignment/>
      <protection/>
    </xf>
    <xf numFmtId="177" fontId="43" fillId="0" borderId="0" xfId="69" applyNumberFormat="1" applyFont="1" applyFill="1" applyBorder="1">
      <alignment/>
      <protection/>
    </xf>
    <xf numFmtId="177" fontId="40" fillId="0" borderId="0" xfId="69" applyNumberFormat="1" applyFont="1" applyFill="1" applyBorder="1">
      <alignment/>
      <protection/>
    </xf>
    <xf numFmtId="3" fontId="40" fillId="0" borderId="0" xfId="69" applyNumberFormat="1" applyFont="1" applyFill="1" applyBorder="1">
      <alignment/>
      <protection/>
    </xf>
    <xf numFmtId="3" fontId="43" fillId="22" borderId="0" xfId="69" applyNumberFormat="1" applyFont="1" applyFill="1" applyBorder="1" applyAlignment="1">
      <alignment horizontal="right"/>
      <protection/>
    </xf>
    <xf numFmtId="4" fontId="43" fillId="22" borderId="0" xfId="69" applyNumberFormat="1" applyFont="1" applyFill="1" applyBorder="1">
      <alignment/>
      <protection/>
    </xf>
    <xf numFmtId="4" fontId="40" fillId="22" borderId="0" xfId="69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59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2" xfId="59" applyNumberFormat="1" applyFont="1" applyFill="1" applyBorder="1" applyAlignment="1">
      <alignment vertical="center"/>
      <protection/>
    </xf>
    <xf numFmtId="0" fontId="43" fillId="0" borderId="62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9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5" xfId="51" applyNumberFormat="1" applyFont="1" applyBorder="1" applyAlignment="1">
      <alignment vertical="center"/>
    </xf>
    <xf numFmtId="177" fontId="42" fillId="24" borderId="67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6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7" xfId="0" applyNumberFormat="1" applyFont="1" applyFill="1" applyBorder="1" applyAlignment="1">
      <alignment vertical="center"/>
    </xf>
    <xf numFmtId="177" fontId="43" fillId="0" borderId="76" xfId="0" applyNumberFormat="1" applyFont="1" applyBorder="1" applyAlignment="1">
      <alignment vertical="center"/>
    </xf>
    <xf numFmtId="177" fontId="42" fillId="0" borderId="67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5" xfId="0" applyNumberFormat="1" applyFont="1" applyBorder="1" applyAlignment="1">
      <alignment vertical="center"/>
    </xf>
    <xf numFmtId="177" fontId="42" fillId="0" borderId="76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7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3" xfId="55" applyFont="1" applyBorder="1" applyAlignment="1">
      <alignment vertical="center" wrapText="1"/>
      <protection/>
    </xf>
    <xf numFmtId="0" fontId="42" fillId="0" borderId="63" xfId="55" applyFont="1" applyBorder="1" applyAlignment="1">
      <alignment horizontal="left" vertical="center" wrapText="1"/>
      <protection/>
    </xf>
    <xf numFmtId="0" fontId="43" fillId="0" borderId="63" xfId="55" applyFont="1" applyBorder="1" applyAlignment="1">
      <alignment vertical="center"/>
      <protection/>
    </xf>
    <xf numFmtId="0" fontId="42" fillId="0" borderId="68" xfId="55" applyFont="1" applyBorder="1" applyAlignment="1">
      <alignment horizontal="left" vertical="center" wrapText="1"/>
      <protection/>
    </xf>
    <xf numFmtId="171" fontId="42" fillId="0" borderId="50" xfId="66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4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77" xfId="45" applyNumberFormat="1" applyFont="1" applyFill="1" applyBorder="1" applyAlignment="1" applyProtection="1">
      <alignment vertical="center" wrapText="1"/>
      <protection/>
    </xf>
    <xf numFmtId="179" fontId="42" fillId="0" borderId="77" xfId="45" applyNumberFormat="1" applyFont="1" applyFill="1" applyBorder="1" applyAlignment="1" applyProtection="1">
      <alignment vertical="center" wrapText="1"/>
      <protection locked="0"/>
    </xf>
    <xf numFmtId="177" fontId="42" fillId="0" borderId="77" xfId="45" applyNumberFormat="1" applyFont="1" applyFill="1" applyBorder="1" applyAlignment="1" applyProtection="1">
      <alignment vertical="center" wrapText="1"/>
      <protection/>
    </xf>
    <xf numFmtId="179" fontId="42" fillId="0" borderId="78" xfId="45" applyNumberFormat="1" applyFont="1" applyFill="1" applyBorder="1" applyAlignment="1" applyProtection="1">
      <alignment vertical="center" wrapText="1"/>
      <protection/>
    </xf>
    <xf numFmtId="179" fontId="42" fillId="0" borderId="78" xfId="45" applyNumberFormat="1" applyFont="1" applyFill="1" applyBorder="1" applyAlignment="1" applyProtection="1">
      <alignment vertical="center" wrapText="1"/>
      <protection locked="0"/>
    </xf>
    <xf numFmtId="177" fontId="42" fillId="0" borderId="78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43" fontId="42" fillId="0" borderId="73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177" fontId="43" fillId="0" borderId="19" xfId="67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0" fontId="42" fillId="2" borderId="51" xfId="65" applyFont="1" applyFill="1" applyBorder="1" applyAlignment="1" applyProtection="1">
      <alignment horizontal="left" vertical="center" wrapText="1"/>
      <protection/>
    </xf>
    <xf numFmtId="0" fontId="43" fillId="0" borderId="52" xfId="65" applyFont="1" applyBorder="1" applyAlignment="1" applyProtection="1">
      <alignment vertical="center"/>
      <protection/>
    </xf>
    <xf numFmtId="0" fontId="42" fillId="0" borderId="52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79" xfId="65" applyFont="1" applyBorder="1" applyAlignment="1" applyProtection="1">
      <alignment vertical="center"/>
      <protection/>
    </xf>
    <xf numFmtId="0" fontId="43" fillId="0" borderId="69" xfId="65" applyFont="1" applyBorder="1" applyAlignment="1" applyProtection="1">
      <alignment vertical="center"/>
      <protection/>
    </xf>
    <xf numFmtId="4" fontId="43" fillId="28" borderId="80" xfId="65" applyNumberFormat="1" applyFont="1" applyFill="1" applyBorder="1" applyAlignment="1" applyProtection="1">
      <alignment horizontal="center" vertical="center"/>
      <protection/>
    </xf>
    <xf numFmtId="177" fontId="51" fillId="7" borderId="81" xfId="44" applyNumberFormat="1" applyFont="1" applyBorder="1" applyAlignment="1" applyProtection="1">
      <alignment horizontal="right" vertical="center"/>
      <protection/>
    </xf>
    <xf numFmtId="177" fontId="51" fillId="7" borderId="82" xfId="44" applyNumberFormat="1" applyFont="1" applyBorder="1" applyAlignment="1" applyProtection="1">
      <alignment horizontal="right" vertical="center"/>
      <protection/>
    </xf>
    <xf numFmtId="4" fontId="43" fillId="28" borderId="54" xfId="65" applyNumberFormat="1" applyFont="1" applyFill="1" applyBorder="1" applyAlignment="1" applyProtection="1">
      <alignment horizontal="center" vertical="center"/>
      <protection/>
    </xf>
    <xf numFmtId="4" fontId="43" fillId="28" borderId="69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vertical="center"/>
      <protection/>
    </xf>
    <xf numFmtId="0" fontId="43" fillId="0" borderId="83" xfId="65" applyFont="1" applyBorder="1" applyAlignment="1" applyProtection="1">
      <alignment vertical="center"/>
      <protection/>
    </xf>
    <xf numFmtId="4" fontId="43" fillId="28" borderId="50" xfId="65" applyNumberFormat="1" applyFont="1" applyFill="1" applyBorder="1" applyAlignment="1" applyProtection="1">
      <alignment horizontal="center" vertical="center"/>
      <protection/>
    </xf>
    <xf numFmtId="0" fontId="42" fillId="0" borderId="84" xfId="65" applyFont="1" applyFill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177" fontId="52" fillId="7" borderId="85" xfId="44" applyNumberFormat="1" applyFont="1" applyBorder="1" applyAlignment="1" applyProtection="1">
      <alignment horizontal="center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horizontal="center" vertical="center"/>
      <protection/>
    </xf>
    <xf numFmtId="4" fontId="43" fillId="29" borderId="52" xfId="65" applyNumberFormat="1" applyFont="1" applyFill="1" applyBorder="1" applyAlignment="1" applyProtection="1">
      <alignment horizontal="center" vertical="center"/>
      <protection/>
    </xf>
    <xf numFmtId="0" fontId="42" fillId="14" borderId="51" xfId="65" applyFont="1" applyFill="1" applyBorder="1" applyAlignment="1" applyProtection="1">
      <alignment horizontal="left" vertical="center" wrapText="1"/>
      <protection/>
    </xf>
    <xf numFmtId="177" fontId="42" fillId="0" borderId="53" xfId="65" applyNumberFormat="1" applyFont="1" applyBorder="1" applyAlignment="1" applyProtection="1">
      <alignment horizontal="right" vertical="center"/>
      <protection/>
    </xf>
    <xf numFmtId="0" fontId="43" fillId="0" borderId="86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4" xfId="65" applyFont="1" applyBorder="1" applyAlignment="1" applyProtection="1">
      <alignment vertical="center"/>
      <protection locked="0"/>
    </xf>
    <xf numFmtId="0" fontId="43" fillId="0" borderId="68" xfId="65" applyFont="1" applyBorder="1" applyAlignment="1" applyProtection="1">
      <alignment vertical="center"/>
      <protection locked="0"/>
    </xf>
    <xf numFmtId="0" fontId="43" fillId="0" borderId="69" xfId="65" applyFont="1" applyBorder="1" applyAlignment="1" applyProtection="1">
      <alignment vertical="center"/>
      <protection locked="0"/>
    </xf>
    <xf numFmtId="0" fontId="43" fillId="0" borderId="59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2" fillId="0" borderId="19" xfId="0" applyNumberFormat="1" applyFont="1" applyBorder="1" applyAlignment="1">
      <alignment horizontal="right" vertical="center"/>
    </xf>
    <xf numFmtId="0" fontId="43" fillId="0" borderId="87" xfId="65" applyFont="1" applyBorder="1" applyAlignment="1" applyProtection="1">
      <alignment vertical="center"/>
      <protection locked="0"/>
    </xf>
    <xf numFmtId="0" fontId="43" fillId="0" borderId="73" xfId="65" applyFont="1" applyBorder="1" applyAlignment="1" applyProtection="1">
      <alignment vertical="center"/>
      <protection locked="0"/>
    </xf>
    <xf numFmtId="4" fontId="43" fillId="26" borderId="73" xfId="65" applyNumberFormat="1" applyFont="1" applyFill="1" applyBorder="1" applyAlignment="1" applyProtection="1">
      <alignment horizontal="center" vertical="center"/>
      <protection locked="0"/>
    </xf>
    <xf numFmtId="177" fontId="43" fillId="0" borderId="73" xfId="52" applyNumberFormat="1" applyFont="1" applyBorder="1" applyAlignment="1" applyProtection="1">
      <alignment horizontal="right" vertical="center"/>
      <protection locked="0"/>
    </xf>
    <xf numFmtId="0" fontId="43" fillId="0" borderId="17" xfId="65" applyNumberFormat="1" applyFont="1" applyFill="1" applyBorder="1" applyAlignment="1" applyProtection="1">
      <alignment vertical="center"/>
      <protection locked="0"/>
    </xf>
    <xf numFmtId="0" fontId="43" fillId="0" borderId="12" xfId="65" applyNumberFormat="1" applyFont="1" applyFill="1" applyBorder="1" applyAlignment="1" applyProtection="1">
      <alignment vertical="center"/>
      <protection locked="0"/>
    </xf>
    <xf numFmtId="0" fontId="43" fillId="0" borderId="19" xfId="65" applyNumberFormat="1" applyFont="1" applyFill="1" applyBorder="1" applyAlignment="1" applyProtection="1">
      <alignment vertical="center"/>
      <protection locked="0"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3" fontId="43" fillId="0" borderId="0" xfId="0" applyNumberFormat="1" applyFont="1" applyAlignment="1">
      <alignment vertical="center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6" applyNumberFormat="1" applyFont="1" applyFill="1" applyBorder="1" applyAlignment="1">
      <alignment vertical="center" wrapText="1"/>
      <protection/>
    </xf>
    <xf numFmtId="177" fontId="43" fillId="0" borderId="17" xfId="66" applyNumberFormat="1" applyFont="1" applyBorder="1" applyAlignment="1">
      <alignment vertical="center"/>
      <protection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9" applyNumberFormat="1" applyFont="1" applyFill="1" applyBorder="1" applyAlignment="1">
      <alignment vertical="center" wrapText="1"/>
      <protection/>
    </xf>
    <xf numFmtId="3" fontId="43" fillId="0" borderId="18" xfId="69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4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0" fontId="43" fillId="0" borderId="70" xfId="55" applyFont="1" applyFill="1" applyBorder="1" applyAlignment="1">
      <alignment horizontal="left" vertical="center" wrapText="1"/>
      <protection/>
    </xf>
    <xf numFmtId="177" fontId="43" fillId="0" borderId="88" xfId="0" applyNumberFormat="1" applyFont="1" applyFill="1" applyBorder="1" applyAlignment="1">
      <alignment vertical="center"/>
    </xf>
    <xf numFmtId="0" fontId="43" fillId="0" borderId="89" xfId="55" applyFont="1" applyFill="1" applyBorder="1" applyAlignment="1">
      <alignment horizontal="left" vertical="center" wrapText="1"/>
      <protection/>
    </xf>
    <xf numFmtId="177" fontId="43" fillId="0" borderId="61" xfId="0" applyNumberFormat="1" applyFont="1" applyFill="1" applyBorder="1" applyAlignment="1">
      <alignment vertical="center"/>
    </xf>
    <xf numFmtId="0" fontId="43" fillId="0" borderId="71" xfId="55" applyFont="1" applyFill="1" applyBorder="1" applyAlignment="1">
      <alignment horizontal="left" vertical="center" wrapText="1"/>
      <protection/>
    </xf>
    <xf numFmtId="177" fontId="43" fillId="0" borderId="90" xfId="0" applyNumberFormat="1" applyFont="1" applyFill="1" applyBorder="1" applyAlignment="1">
      <alignment vertical="center"/>
    </xf>
    <xf numFmtId="0" fontId="43" fillId="0" borderId="66" xfId="0" applyFont="1" applyFill="1" applyBorder="1" applyAlignment="1">
      <alignment vertical="center"/>
    </xf>
    <xf numFmtId="177" fontId="43" fillId="0" borderId="66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1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177" fontId="42" fillId="0" borderId="91" xfId="65" applyNumberFormat="1" applyFont="1" applyFill="1" applyBorder="1" applyAlignment="1" applyProtection="1">
      <alignment horizontal="right" vertical="center"/>
      <protection/>
    </xf>
    <xf numFmtId="177" fontId="42" fillId="0" borderId="53" xfId="65" applyNumberFormat="1" applyFont="1" applyFill="1" applyBorder="1" applyAlignment="1" applyProtection="1">
      <alignment horizontal="right" vertical="center"/>
      <protection/>
    </xf>
    <xf numFmtId="177" fontId="42" fillId="0" borderId="92" xfId="65" applyNumberFormat="1" applyFont="1" applyFill="1" applyBorder="1" applyAlignment="1" applyProtection="1">
      <alignment vertical="center"/>
      <protection/>
    </xf>
    <xf numFmtId="177" fontId="42" fillId="0" borderId="69" xfId="65" applyNumberFormat="1" applyFont="1" applyFill="1" applyBorder="1" applyAlignment="1" applyProtection="1">
      <alignment horizontal="right" vertical="center"/>
      <protection/>
    </xf>
    <xf numFmtId="0" fontId="43" fillId="0" borderId="6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3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3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0" fontId="42" fillId="0" borderId="11" xfId="66" applyFont="1" applyFill="1" applyBorder="1" applyAlignment="1">
      <alignment vertical="center" wrapText="1"/>
      <protection/>
    </xf>
    <xf numFmtId="4" fontId="43" fillId="0" borderId="62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0" fontId="62" fillId="0" borderId="73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7" xfId="0" applyBorder="1" applyAlignment="1">
      <alignment/>
    </xf>
    <xf numFmtId="4" fontId="0" fillId="0" borderId="0" xfId="0" applyNumberFormat="1" applyAlignment="1">
      <alignment/>
    </xf>
    <xf numFmtId="0" fontId="64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42" fillId="0" borderId="50" xfId="66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2" fontId="58" fillId="0" borderId="15" xfId="63" applyNumberFormat="1" applyFont="1" applyFill="1" applyBorder="1" applyAlignment="1">
      <alignment horizontal="left" vertical="center"/>
      <protection/>
    </xf>
    <xf numFmtId="2" fontId="58" fillId="0" borderId="0" xfId="63" applyNumberFormat="1" applyFont="1" applyFill="1" applyBorder="1" applyAlignment="1">
      <alignment horizontal="left" vertical="center"/>
      <protection/>
    </xf>
    <xf numFmtId="168" fontId="66" fillId="0" borderId="15" xfId="63" applyNumberFormat="1" applyFont="1" applyFill="1" applyBorder="1" applyAlignment="1">
      <alignment horizontal="left" vertical="center"/>
      <protection/>
    </xf>
    <xf numFmtId="0" fontId="67" fillId="0" borderId="15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 vertical="center" wrapText="1"/>
    </xf>
    <xf numFmtId="1" fontId="67" fillId="0" borderId="0" xfId="0" applyNumberFormat="1" applyFont="1" applyBorder="1" applyAlignment="1">
      <alignment horizontal="center" vertical="center"/>
    </xf>
    <xf numFmtId="208" fontId="67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2" fontId="67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67" fillId="0" borderId="0" xfId="0" applyNumberFormat="1" applyFont="1" applyBorder="1" applyAlignment="1">
      <alignment horizontal="center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68" fillId="8" borderId="13" xfId="59" applyNumberFormat="1" applyFont="1" applyFill="1" applyBorder="1" applyAlignment="1">
      <alignment horizontal="center" vertical="center"/>
      <protection/>
    </xf>
    <xf numFmtId="0" fontId="42" fillId="0" borderId="6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/>
      <protection/>
    </xf>
    <xf numFmtId="0" fontId="71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3" fontId="43" fillId="27" borderId="0" xfId="69" applyNumberFormat="1" applyFont="1" applyFill="1" applyBorder="1" applyAlignment="1">
      <alignment vertical="center"/>
      <protection/>
    </xf>
    <xf numFmtId="3" fontId="43" fillId="15" borderId="0" xfId="69" applyNumberFormat="1" applyFont="1" applyFill="1" applyBorder="1" applyAlignment="1">
      <alignment vertical="center"/>
      <protection/>
    </xf>
    <xf numFmtId="3" fontId="43" fillId="7" borderId="0" xfId="69" applyNumberFormat="1" applyFont="1" applyFill="1" applyBorder="1" applyAlignment="1">
      <alignment vertical="center"/>
      <protection/>
    </xf>
    <xf numFmtId="3" fontId="43" fillId="22" borderId="0" xfId="69" applyNumberFormat="1" applyFont="1" applyFill="1" applyBorder="1" applyAlignment="1">
      <alignment vertical="center"/>
      <protection/>
    </xf>
    <xf numFmtId="3" fontId="54" fillId="15" borderId="0" xfId="69" applyNumberFormat="1" applyFont="1" applyFill="1" applyBorder="1" applyAlignment="1">
      <alignment vertical="center"/>
      <protection/>
    </xf>
    <xf numFmtId="3" fontId="43" fillId="11" borderId="0" xfId="69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93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wrapText="1"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4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3" xfId="0" applyFont="1" applyFill="1" applyBorder="1" applyAlignment="1" applyProtection="1">
      <alignment horizontal="left" vertical="center" wrapText="1"/>
      <protection locked="0"/>
    </xf>
    <xf numFmtId="0" fontId="43" fillId="0" borderId="62" xfId="0" applyFont="1" applyBorder="1" applyAlignment="1" applyProtection="1">
      <alignment horizontal="left" vertical="center"/>
      <protection locked="0"/>
    </xf>
    <xf numFmtId="0" fontId="43" fillId="0" borderId="62" xfId="0" applyFont="1" applyBorder="1" applyAlignment="1" applyProtection="1">
      <alignment horizontal="left" vertical="center" wrapText="1"/>
      <protection locked="0"/>
    </xf>
    <xf numFmtId="0" fontId="43" fillId="0" borderId="62" xfId="0" applyFont="1" applyFill="1" applyBorder="1" applyAlignment="1" applyProtection="1">
      <alignment horizontal="left" vertical="center"/>
      <protection locked="0"/>
    </xf>
    <xf numFmtId="0" fontId="43" fillId="0" borderId="62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0" fontId="77" fillId="0" borderId="15" xfId="0" applyFont="1" applyBorder="1" applyAlignment="1">
      <alignment vertical="center"/>
    </xf>
    <xf numFmtId="10" fontId="7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95" fillId="0" borderId="0" xfId="69" applyNumberFormat="1" applyFont="1" applyBorder="1">
      <alignment/>
      <protection/>
    </xf>
    <xf numFmtId="4" fontId="95" fillId="0" borderId="0" xfId="69" applyNumberFormat="1" applyFont="1" applyBorder="1">
      <alignment/>
      <protection/>
    </xf>
    <xf numFmtId="4" fontId="96" fillId="0" borderId="0" xfId="69" applyNumberFormat="1" applyFont="1" applyBorder="1">
      <alignment/>
      <protection/>
    </xf>
    <xf numFmtId="3" fontId="96" fillId="0" borderId="0" xfId="69" applyNumberFormat="1" applyFont="1" applyBorder="1">
      <alignment/>
      <protection/>
    </xf>
    <xf numFmtId="3" fontId="95" fillId="0" borderId="0" xfId="69" applyNumberFormat="1" applyFont="1" applyBorder="1" applyAlignment="1">
      <alignment horizontal="right"/>
      <protection/>
    </xf>
    <xf numFmtId="0" fontId="95" fillId="0" borderId="0" xfId="0" applyFont="1" applyAlignment="1">
      <alignment/>
    </xf>
    <xf numFmtId="4" fontId="95" fillId="0" borderId="0" xfId="0" applyNumberFormat="1" applyFont="1" applyAlignment="1">
      <alignment/>
    </xf>
    <xf numFmtId="4" fontId="95" fillId="0" borderId="0" xfId="56" applyNumberFormat="1" applyFont="1" applyAlignment="1">
      <alignment vertical="center"/>
      <protection/>
    </xf>
    <xf numFmtId="4" fontId="95" fillId="0" borderId="0" xfId="56" applyNumberFormat="1" applyFont="1" applyAlignment="1">
      <alignment horizontal="right" vertical="center"/>
      <protection/>
    </xf>
    <xf numFmtId="0" fontId="42" fillId="0" borderId="15" xfId="56" applyFont="1" applyFill="1" applyBorder="1" applyAlignment="1">
      <alignment horizontal="left" vertical="center"/>
      <protection/>
    </xf>
    <xf numFmtId="0" fontId="42" fillId="0" borderId="55" xfId="56" applyFont="1" applyFill="1" applyBorder="1" applyAlignment="1">
      <alignment horizontal="left" vertical="center"/>
      <protection/>
    </xf>
    <xf numFmtId="0" fontId="42" fillId="0" borderId="44" xfId="56" applyFont="1" applyFill="1" applyBorder="1" applyAlignment="1">
      <alignment horizontal="center" vertical="center" wrapText="1"/>
      <protection/>
    </xf>
    <xf numFmtId="4" fontId="42" fillId="0" borderId="26" xfId="56" applyNumberFormat="1" applyFont="1" applyFill="1" applyBorder="1" applyAlignment="1">
      <alignment horizontal="right" vertical="center" wrapText="1"/>
      <protection/>
    </xf>
    <xf numFmtId="4" fontId="42" fillId="0" borderId="26" xfId="56" applyNumberFormat="1" applyFont="1" applyFill="1" applyBorder="1" applyAlignment="1">
      <alignment vertical="center" wrapText="1"/>
      <protection/>
    </xf>
    <xf numFmtId="0" fontId="42" fillId="0" borderId="27" xfId="56" applyFont="1" applyFill="1" applyBorder="1" applyAlignment="1">
      <alignment horizontal="center" vertical="center" wrapText="1"/>
      <protection/>
    </xf>
    <xf numFmtId="4" fontId="42" fillId="0" borderId="86" xfId="56" applyNumberFormat="1" applyFont="1" applyFill="1" applyBorder="1" applyAlignment="1">
      <alignment horizontal="right" vertical="center" wrapText="1"/>
      <protection/>
    </xf>
    <xf numFmtId="0" fontId="43" fillId="0" borderId="0" xfId="56" applyFont="1" applyFill="1" applyAlignment="1">
      <alignment vertical="center"/>
      <protection/>
    </xf>
    <xf numFmtId="0" fontId="42" fillId="0" borderId="15" xfId="56" applyFont="1" applyFill="1" applyBorder="1" applyAlignment="1">
      <alignment horizontal="center" vertical="center" wrapText="1"/>
      <protection/>
    </xf>
    <xf numFmtId="0" fontId="42" fillId="0" borderId="0" xfId="56" applyFont="1" applyFill="1" applyBorder="1" applyAlignment="1">
      <alignment horizontal="center" vertical="center" wrapText="1"/>
      <protection/>
    </xf>
    <xf numFmtId="0" fontId="43" fillId="0" borderId="26" xfId="56" applyFont="1" applyFill="1" applyBorder="1" applyAlignment="1">
      <alignment horizontal="left" vertical="center" wrapText="1"/>
      <protection/>
    </xf>
    <xf numFmtId="4" fontId="43" fillId="0" borderId="26" xfId="56" applyNumberFormat="1" applyFont="1" applyFill="1" applyBorder="1" applyAlignment="1">
      <alignment horizontal="right" vertical="center" wrapText="1"/>
      <protection/>
    </xf>
    <xf numFmtId="4" fontId="43" fillId="0" borderId="26" xfId="56" applyNumberFormat="1" applyFont="1" applyFill="1" applyBorder="1" applyAlignment="1">
      <alignment vertical="center" wrapText="1"/>
      <protection/>
    </xf>
    <xf numFmtId="4" fontId="43" fillId="0" borderId="86" xfId="56" applyNumberFormat="1" applyFont="1" applyFill="1" applyBorder="1" applyAlignment="1">
      <alignment horizontal="right" vertical="center" wrapText="1"/>
      <protection/>
    </xf>
    <xf numFmtId="0" fontId="42" fillId="0" borderId="26" xfId="56" applyFont="1" applyFill="1" applyBorder="1" applyAlignment="1">
      <alignment horizontal="center" vertical="center" wrapText="1"/>
      <protection/>
    </xf>
    <xf numFmtId="0" fontId="42" fillId="0" borderId="86" xfId="56" applyFont="1" applyFill="1" applyBorder="1" applyAlignment="1">
      <alignment horizontal="center" vertical="center" wrapText="1"/>
      <protection/>
    </xf>
    <xf numFmtId="0" fontId="42" fillId="0" borderId="26" xfId="56" applyFont="1" applyFill="1" applyBorder="1" applyAlignment="1">
      <alignment horizontal="right" vertical="center" wrapText="1"/>
      <protection/>
    </xf>
    <xf numFmtId="0" fontId="43" fillId="0" borderId="0" xfId="56" applyFont="1" applyFill="1" applyBorder="1" applyAlignment="1">
      <alignment horizontal="center" vertical="center" wrapText="1"/>
      <protection/>
    </xf>
    <xf numFmtId="0" fontId="43" fillId="0" borderId="0" xfId="56" applyFont="1" applyFill="1" applyBorder="1" applyAlignment="1">
      <alignment horizontal="left" vertical="center" wrapText="1"/>
      <protection/>
    </xf>
    <xf numFmtId="4" fontId="42" fillId="0" borderId="27" xfId="56" applyNumberFormat="1" applyFont="1" applyFill="1" applyBorder="1" applyAlignment="1">
      <alignment horizontal="center" vertical="center" wrapText="1"/>
      <protection/>
    </xf>
    <xf numFmtId="0" fontId="43" fillId="0" borderId="26" xfId="56" applyFont="1" applyFill="1" applyBorder="1" applyAlignment="1">
      <alignment horizontal="right" vertical="center" wrapText="1"/>
      <protection/>
    </xf>
    <xf numFmtId="0" fontId="43" fillId="0" borderId="86" xfId="56" applyFont="1" applyFill="1" applyBorder="1" applyAlignment="1">
      <alignment horizontal="right" vertical="center" wrapText="1"/>
      <protection/>
    </xf>
    <xf numFmtId="4" fontId="43" fillId="0" borderId="86" xfId="56" applyNumberFormat="1" applyFont="1" applyFill="1" applyBorder="1" applyAlignment="1">
      <alignment vertical="center" wrapText="1"/>
      <protection/>
    </xf>
    <xf numFmtId="4" fontId="42" fillId="0" borderId="86" xfId="56" applyNumberFormat="1" applyFont="1" applyFill="1" applyBorder="1" applyAlignment="1">
      <alignment horizontal="center" vertical="center" wrapText="1"/>
      <protection/>
    </xf>
    <xf numFmtId="4" fontId="42" fillId="0" borderId="19" xfId="56" applyNumberFormat="1" applyFont="1" applyFill="1" applyBorder="1" applyAlignment="1">
      <alignment horizontal="right" vertical="center" wrapText="1"/>
      <protection/>
    </xf>
    <xf numFmtId="177" fontId="42" fillId="0" borderId="20" xfId="52" applyNumberFormat="1" applyFont="1" applyFill="1" applyBorder="1" applyAlignment="1">
      <alignment vertical="center"/>
    </xf>
    <xf numFmtId="4" fontId="42" fillId="0" borderId="19" xfId="56" applyNumberFormat="1" applyFont="1" applyFill="1" applyBorder="1" applyAlignment="1">
      <alignment vertical="center" wrapText="1"/>
      <protection/>
    </xf>
    <xf numFmtId="4" fontId="42" fillId="0" borderId="68" xfId="56" applyNumberFormat="1" applyFont="1" applyFill="1" applyBorder="1" applyAlignment="1">
      <alignment horizontal="right" vertical="center" wrapText="1"/>
      <protection/>
    </xf>
    <xf numFmtId="0" fontId="42" fillId="0" borderId="20" xfId="56" applyFont="1" applyFill="1" applyBorder="1" applyAlignment="1">
      <alignment vertical="center"/>
      <protection/>
    </xf>
    <xf numFmtId="0" fontId="42" fillId="0" borderId="0" xfId="56" applyFont="1" applyFill="1" applyAlignment="1">
      <alignment vertical="center"/>
      <protection/>
    </xf>
    <xf numFmtId="177" fontId="42" fillId="0" borderId="0" xfId="56" applyNumberFormat="1" applyFont="1" applyFill="1" applyBorder="1" applyAlignment="1">
      <alignment vertical="center"/>
      <protection/>
    </xf>
    <xf numFmtId="0" fontId="42" fillId="0" borderId="20" xfId="56" applyFont="1" applyFill="1" applyBorder="1" applyAlignment="1">
      <alignment horizontal="center" vertical="center" wrapText="1"/>
      <protection/>
    </xf>
    <xf numFmtId="0" fontId="42" fillId="0" borderId="60" xfId="56" applyFont="1" applyFill="1" applyBorder="1" applyAlignment="1">
      <alignment horizontal="center" vertical="center" wrapText="1"/>
      <protection/>
    </xf>
    <xf numFmtId="177" fontId="42" fillId="0" borderId="18" xfId="52" applyNumberFormat="1" applyFont="1" applyFill="1" applyBorder="1" applyAlignment="1">
      <alignment vertical="center"/>
    </xf>
    <xf numFmtId="177" fontId="43" fillId="0" borderId="94" xfId="52" applyNumberFormat="1" applyFont="1" applyFill="1" applyBorder="1" applyAlignment="1" applyProtection="1">
      <alignment vertical="center"/>
      <protection locked="0"/>
    </xf>
    <xf numFmtId="177" fontId="43" fillId="0" borderId="58" xfId="52" applyNumberFormat="1" applyFont="1" applyFill="1" applyBorder="1" applyAlignment="1" applyProtection="1">
      <alignment vertical="center"/>
      <protection locked="0"/>
    </xf>
    <xf numFmtId="177" fontId="43" fillId="0" borderId="0" xfId="52" applyNumberFormat="1" applyFont="1" applyFill="1" applyBorder="1" applyAlignment="1" applyProtection="1">
      <alignment vertical="center"/>
      <protection locked="0"/>
    </xf>
    <xf numFmtId="177" fontId="43" fillId="0" borderId="57" xfId="52" applyNumberFormat="1" applyFont="1" applyFill="1" applyBorder="1" applyAlignment="1" applyProtection="1">
      <alignment vertical="center"/>
      <protection locked="0"/>
    </xf>
    <xf numFmtId="0" fontId="43" fillId="0" borderId="57" xfId="56" applyFont="1" applyFill="1" applyBorder="1" applyAlignment="1" applyProtection="1">
      <alignment horizontal="center" vertical="center"/>
      <protection locked="0"/>
    </xf>
    <xf numFmtId="0" fontId="43" fillId="0" borderId="0" xfId="56" applyFont="1" applyFill="1" applyBorder="1" applyAlignment="1" applyProtection="1">
      <alignment horizontal="center" vertical="center"/>
      <protection locked="0"/>
    </xf>
    <xf numFmtId="0" fontId="43" fillId="0" borderId="26" xfId="56" applyFont="1" applyFill="1" applyBorder="1" applyAlignment="1" applyProtection="1">
      <alignment horizontal="center" vertical="center"/>
      <protection locked="0"/>
    </xf>
    <xf numFmtId="177" fontId="43" fillId="0" borderId="56" xfId="52" applyNumberFormat="1" applyFont="1" applyFill="1" applyBorder="1" applyAlignment="1" applyProtection="1">
      <alignment vertical="center"/>
      <protection locked="0"/>
    </xf>
    <xf numFmtId="177" fontId="43" fillId="0" borderId="95" xfId="52" applyNumberFormat="1" applyFont="1" applyFill="1" applyBorder="1" applyAlignment="1" applyProtection="1">
      <alignment vertical="center"/>
      <protection locked="0"/>
    </xf>
    <xf numFmtId="0" fontId="43" fillId="0" borderId="56" xfId="56" applyFont="1" applyFill="1" applyBorder="1" applyAlignment="1">
      <alignment vertical="center" wrapText="1"/>
      <protection/>
    </xf>
    <xf numFmtId="177" fontId="43" fillId="0" borderId="96" xfId="52" applyNumberFormat="1" applyFont="1" applyFill="1" applyBorder="1" applyAlignment="1" applyProtection="1">
      <alignment vertical="center"/>
      <protection locked="0"/>
    </xf>
    <xf numFmtId="0" fontId="43" fillId="0" borderId="0" xfId="56" applyFont="1" applyFill="1" applyBorder="1" applyAlignment="1" applyProtection="1">
      <alignment vertical="center"/>
      <protection locked="0"/>
    </xf>
    <xf numFmtId="4" fontId="43" fillId="0" borderId="58" xfId="56" applyNumberFormat="1" applyFont="1" applyFill="1" applyBorder="1" applyAlignment="1">
      <alignment vertical="center"/>
      <protection/>
    </xf>
    <xf numFmtId="4" fontId="43" fillId="0" borderId="95" xfId="56" applyNumberFormat="1" applyFont="1" applyFill="1" applyBorder="1" applyAlignment="1">
      <alignment vertical="center"/>
      <protection/>
    </xf>
    <xf numFmtId="4" fontId="95" fillId="0" borderId="0" xfId="60" applyNumberFormat="1" applyFont="1" applyAlignment="1">
      <alignment vertical="center"/>
      <protection/>
    </xf>
    <xf numFmtId="0" fontId="95" fillId="0" borderId="0" xfId="60" applyFont="1" applyAlignment="1">
      <alignment horizontal="right" vertical="center"/>
      <protection/>
    </xf>
    <xf numFmtId="4" fontId="95" fillId="0" borderId="0" xfId="55" applyNumberFormat="1" applyFont="1" applyAlignment="1">
      <alignment vertical="center"/>
      <protection/>
    </xf>
    <xf numFmtId="4" fontId="97" fillId="0" borderId="0" xfId="55" applyNumberFormat="1" applyFont="1" applyAlignment="1">
      <alignment vertical="center"/>
      <protection/>
    </xf>
    <xf numFmtId="0" fontId="95" fillId="0" borderId="0" xfId="55" applyFont="1" applyAlignment="1">
      <alignment vertical="center"/>
      <protection/>
    </xf>
    <xf numFmtId="0" fontId="49" fillId="0" borderId="77" xfId="0" applyFont="1" applyFill="1" applyBorder="1" applyAlignment="1" applyProtection="1">
      <alignment vertical="center" wrapText="1"/>
      <protection locked="0"/>
    </xf>
    <xf numFmtId="169" fontId="49" fillId="0" borderId="77" xfId="45" applyFont="1" applyFill="1" applyBorder="1" applyAlignment="1" applyProtection="1">
      <alignment vertical="center" wrapText="1"/>
      <protection locked="0"/>
    </xf>
    <xf numFmtId="169" fontId="43" fillId="0" borderId="77" xfId="45" applyFont="1" applyFill="1" applyBorder="1" applyAlignment="1" applyProtection="1">
      <alignment vertical="center" wrapText="1"/>
      <protection locked="0"/>
    </xf>
    <xf numFmtId="177" fontId="43" fillId="0" borderId="77" xfId="45" applyNumberFormat="1" applyFont="1" applyFill="1" applyBorder="1" applyAlignment="1" applyProtection="1">
      <alignment vertical="center" wrapText="1"/>
      <protection locked="0"/>
    </xf>
    <xf numFmtId="10" fontId="48" fillId="0" borderId="77" xfId="72" applyNumberFormat="1" applyFont="1" applyFill="1" applyBorder="1" applyAlignment="1" applyProtection="1">
      <alignment vertical="center" wrapText="1"/>
      <protection locked="0"/>
    </xf>
    <xf numFmtId="177" fontId="43" fillId="0" borderId="77" xfId="72" applyNumberFormat="1" applyFont="1" applyFill="1" applyBorder="1" applyAlignment="1" applyProtection="1">
      <alignment vertical="center" wrapText="1"/>
      <protection locked="0"/>
    </xf>
    <xf numFmtId="177" fontId="43" fillId="0" borderId="97" xfId="0" applyNumberFormat="1" applyFont="1" applyFill="1" applyBorder="1" applyAlignment="1" applyProtection="1">
      <alignment vertical="center" wrapText="1"/>
      <protection locked="0"/>
    </xf>
    <xf numFmtId="177" fontId="43" fillId="0" borderId="77" xfId="0" applyNumberFormat="1" applyFont="1" applyFill="1" applyBorder="1" applyAlignment="1" applyProtection="1">
      <alignment vertical="center" wrapText="1"/>
      <protection locked="0"/>
    </xf>
    <xf numFmtId="10" fontId="43" fillId="0" borderId="77" xfId="72" applyNumberFormat="1" applyFont="1" applyFill="1" applyBorder="1" applyAlignment="1" applyProtection="1">
      <alignment horizontal="center" vertical="center" wrapText="1"/>
      <protection locked="0"/>
    </xf>
    <xf numFmtId="177" fontId="42" fillId="0" borderId="77" xfId="0" applyNumberFormat="1" applyFont="1" applyFill="1" applyBorder="1" applyAlignment="1" applyProtection="1">
      <alignment horizontal="left" vertical="center" wrapText="1"/>
      <protection locked="0"/>
    </xf>
    <xf numFmtId="177" fontId="42" fillId="0" borderId="77" xfId="45" applyNumberFormat="1" applyFont="1" applyFill="1" applyBorder="1" applyAlignment="1" applyProtection="1">
      <alignment vertical="center" wrapText="1"/>
      <protection locked="0"/>
    </xf>
    <xf numFmtId="177" fontId="42" fillId="0" borderId="97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177" fontId="43" fillId="0" borderId="98" xfId="0" applyNumberFormat="1" applyFont="1" applyFill="1" applyBorder="1" applyAlignment="1" applyProtection="1">
      <alignment vertical="center" wrapText="1"/>
      <protection locked="0"/>
    </xf>
    <xf numFmtId="177" fontId="43" fillId="0" borderId="98" xfId="72" applyNumberFormat="1" applyFont="1" applyFill="1" applyBorder="1" applyAlignment="1" applyProtection="1">
      <alignment vertical="center" wrapText="1"/>
      <protection locked="0"/>
    </xf>
    <xf numFmtId="177" fontId="43" fillId="0" borderId="99" xfId="0" applyNumberFormat="1" applyFont="1" applyFill="1" applyBorder="1" applyAlignment="1" applyProtection="1">
      <alignment vertical="center" wrapText="1"/>
      <protection locked="0"/>
    </xf>
    <xf numFmtId="177" fontId="42" fillId="0" borderId="78" xfId="0" applyNumberFormat="1" applyFont="1" applyFill="1" applyBorder="1" applyAlignment="1" applyProtection="1">
      <alignment horizontal="left" vertical="center" wrapText="1"/>
      <protection locked="0"/>
    </xf>
    <xf numFmtId="177" fontId="42" fillId="0" borderId="78" xfId="45" applyNumberFormat="1" applyFont="1" applyFill="1" applyBorder="1" applyAlignment="1" applyProtection="1">
      <alignment vertical="center" wrapText="1"/>
      <protection locked="0"/>
    </xf>
    <xf numFmtId="177" fontId="42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Fill="1" applyAlignment="1">
      <alignment horizontal="right" vertical="center"/>
    </xf>
    <xf numFmtId="4" fontId="95" fillId="0" borderId="0" xfId="0" applyNumberFormat="1" applyFont="1" applyFill="1" applyAlignment="1">
      <alignment vertical="center"/>
    </xf>
    <xf numFmtId="0" fontId="43" fillId="0" borderId="17" xfId="0" applyFont="1" applyFill="1" applyBorder="1" applyAlignment="1" applyProtection="1">
      <alignment vertical="center"/>
      <protection locked="0"/>
    </xf>
    <xf numFmtId="0" fontId="43" fillId="0" borderId="59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3" fillId="0" borderId="101" xfId="0" applyFont="1" applyFill="1" applyBorder="1" applyAlignment="1" applyProtection="1">
      <alignment vertical="center"/>
      <protection locked="0"/>
    </xf>
    <xf numFmtId="0" fontId="43" fillId="0" borderId="11" xfId="0" applyFont="1" applyFill="1" applyBorder="1" applyAlignment="1" applyProtection="1">
      <alignment vertical="center"/>
      <protection locked="0"/>
    </xf>
    <xf numFmtId="43" fontId="43" fillId="0" borderId="11" xfId="0" applyNumberFormat="1" applyFont="1" applyFill="1" applyBorder="1" applyAlignment="1" applyProtection="1">
      <alignment vertical="center"/>
      <protection locked="0"/>
    </xf>
    <xf numFmtId="43" fontId="43" fillId="0" borderId="14" xfId="0" applyNumberFormat="1" applyFont="1" applyFill="1" applyBorder="1" applyAlignment="1" applyProtection="1">
      <alignment vertical="center"/>
      <protection locked="0"/>
    </xf>
    <xf numFmtId="43" fontId="43" fillId="0" borderId="101" xfId="0" applyNumberFormat="1" applyFont="1" applyFill="1" applyBorder="1" applyAlignment="1" applyProtection="1">
      <alignment vertical="center"/>
      <protection locked="0"/>
    </xf>
    <xf numFmtId="0" fontId="43" fillId="0" borderId="63" xfId="0" applyFont="1" applyFill="1" applyBorder="1" applyAlignment="1" applyProtection="1">
      <alignment vertical="center"/>
      <protection locked="0"/>
    </xf>
    <xf numFmtId="43" fontId="43" fillId="0" borderId="17" xfId="0" applyNumberFormat="1" applyFont="1" applyFill="1" applyBorder="1" applyAlignment="1" applyProtection="1">
      <alignment vertical="center"/>
      <protection locked="0"/>
    </xf>
    <xf numFmtId="43" fontId="43" fillId="0" borderId="12" xfId="0" applyNumberFormat="1" applyFont="1" applyFill="1" applyBorder="1" applyAlignment="1" applyProtection="1">
      <alignment vertical="center"/>
      <protection locked="0"/>
    </xf>
    <xf numFmtId="43" fontId="43" fillId="0" borderId="63" xfId="0" applyNumberFormat="1" applyFont="1" applyFill="1" applyBorder="1" applyAlignment="1" applyProtection="1">
      <alignment vertical="center"/>
      <protection locked="0"/>
    </xf>
    <xf numFmtId="0" fontId="42" fillId="0" borderId="68" xfId="0" applyFont="1" applyFill="1" applyBorder="1" applyAlignment="1" applyProtection="1">
      <alignment vertical="center"/>
      <protection locked="0"/>
    </xf>
    <xf numFmtId="0" fontId="42" fillId="0" borderId="19" xfId="0" applyFont="1" applyFill="1" applyBorder="1" applyAlignment="1" applyProtection="1">
      <alignment horizontal="right" vertical="center"/>
      <protection locked="0"/>
    </xf>
    <xf numFmtId="0" fontId="42" fillId="0" borderId="19" xfId="0" applyFont="1" applyFill="1" applyBorder="1" applyAlignment="1" applyProtection="1">
      <alignment vertical="center"/>
      <protection locked="0"/>
    </xf>
    <xf numFmtId="43" fontId="42" fillId="0" borderId="19" xfId="0" applyNumberFormat="1" applyFont="1" applyFill="1" applyBorder="1" applyAlignment="1" applyProtection="1">
      <alignment vertical="center"/>
      <protection locked="0"/>
    </xf>
    <xf numFmtId="43" fontId="42" fillId="0" borderId="20" xfId="0" applyNumberFormat="1" applyFont="1" applyFill="1" applyBorder="1" applyAlignment="1" applyProtection="1">
      <alignment vertical="center"/>
      <protection locked="0"/>
    </xf>
    <xf numFmtId="43" fontId="42" fillId="0" borderId="68" xfId="0" applyNumberFormat="1" applyFont="1" applyFill="1" applyBorder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/>
    </xf>
    <xf numFmtId="4" fontId="95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horizontal="right" vertical="center"/>
      <protection/>
    </xf>
    <xf numFmtId="0" fontId="43" fillId="0" borderId="0" xfId="65" applyFont="1" applyFill="1" applyAlignment="1">
      <alignment vertical="center"/>
      <protection/>
    </xf>
    <xf numFmtId="4" fontId="43" fillId="0" borderId="0" xfId="65" applyNumberFormat="1" applyFont="1" applyFill="1" applyAlignment="1">
      <alignment vertical="center"/>
      <protection/>
    </xf>
    <xf numFmtId="3" fontId="43" fillId="0" borderId="0" xfId="65" applyNumberFormat="1" applyFont="1" applyFill="1" applyAlignment="1">
      <alignment vertical="center"/>
      <protection/>
    </xf>
    <xf numFmtId="0" fontId="43" fillId="0" borderId="68" xfId="65" applyFont="1" applyFill="1" applyBorder="1" applyAlignment="1" applyProtection="1">
      <alignment vertical="center"/>
      <protection locked="0"/>
    </xf>
    <xf numFmtId="0" fontId="43" fillId="0" borderId="69" xfId="65" applyFont="1" applyFill="1" applyBorder="1" applyAlignment="1" applyProtection="1">
      <alignment vertical="center"/>
      <protection locked="0"/>
    </xf>
    <xf numFmtId="4" fontId="43" fillId="0" borderId="69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Fill="1" applyBorder="1" applyAlignment="1" applyProtection="1">
      <alignment horizontal="right" vertical="center"/>
      <protection locked="0"/>
    </xf>
    <xf numFmtId="0" fontId="43" fillId="0" borderId="101" xfId="65" applyFont="1" applyFill="1" applyBorder="1" applyAlignment="1" applyProtection="1">
      <alignment horizontal="left" vertical="center" wrapText="1"/>
      <protection/>
    </xf>
    <xf numFmtId="0" fontId="43" fillId="0" borderId="11" xfId="65" applyFont="1" applyFill="1" applyBorder="1" applyAlignment="1" applyProtection="1">
      <alignment vertical="center"/>
      <protection/>
    </xf>
    <xf numFmtId="177" fontId="43" fillId="0" borderId="11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/>
    </xf>
    <xf numFmtId="0" fontId="43" fillId="0" borderId="64" xfId="65" applyFont="1" applyFill="1" applyBorder="1" applyAlignment="1" applyProtection="1">
      <alignment vertical="center"/>
      <protection/>
    </xf>
    <xf numFmtId="4" fontId="43" fillId="0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65" applyNumberFormat="1" applyFont="1" applyFill="1" applyBorder="1" applyAlignment="1" applyProtection="1">
      <alignment horizontal="right" vertical="center"/>
      <protection locked="0"/>
    </xf>
    <xf numFmtId="177" fontId="43" fillId="0" borderId="12" xfId="65" applyNumberFormat="1" applyFont="1" applyFill="1" applyBorder="1" applyAlignment="1" applyProtection="1">
      <alignment horizontal="right" vertical="center"/>
      <protection locked="0"/>
    </xf>
    <xf numFmtId="0" fontId="43" fillId="0" borderId="59" xfId="65" applyFont="1" applyFill="1" applyBorder="1" applyAlignment="1" applyProtection="1">
      <alignment vertical="center"/>
      <protection/>
    </xf>
    <xf numFmtId="4" fontId="43" fillId="0" borderId="48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65" applyNumberFormat="1" applyFont="1" applyFill="1" applyBorder="1" applyAlignment="1" applyProtection="1">
      <alignment horizontal="right" vertical="center"/>
      <protection locked="0"/>
    </xf>
    <xf numFmtId="0" fontId="42" fillId="0" borderId="102" xfId="65" applyFont="1" applyFill="1" applyBorder="1" applyAlignment="1" applyProtection="1">
      <alignment vertical="center"/>
      <protection/>
    </xf>
    <xf numFmtId="0" fontId="43" fillId="0" borderId="92" xfId="65" applyFont="1" applyFill="1" applyBorder="1" applyAlignment="1" applyProtection="1">
      <alignment vertical="center"/>
      <protection/>
    </xf>
    <xf numFmtId="2" fontId="43" fillId="0" borderId="0" xfId="65" applyNumberFormat="1" applyFont="1" applyFill="1" applyAlignment="1">
      <alignment vertical="center"/>
      <protection/>
    </xf>
    <xf numFmtId="0" fontId="43" fillId="0" borderId="86" xfId="65" applyFont="1" applyFill="1" applyBorder="1" applyAlignment="1" applyProtection="1">
      <alignment vertical="center"/>
      <protection locked="0"/>
    </xf>
    <xf numFmtId="177" fontId="43" fillId="0" borderId="11" xfId="52" applyNumberFormat="1" applyFont="1" applyFill="1" applyBorder="1" applyAlignment="1" applyProtection="1">
      <alignment horizontal="right" vertical="center"/>
      <protection locked="0"/>
    </xf>
    <xf numFmtId="0" fontId="42" fillId="0" borderId="66" xfId="65" applyFont="1" applyFill="1" applyBorder="1" applyAlignment="1" applyProtection="1">
      <alignment horizontal="center" vertical="center"/>
      <protection/>
    </xf>
    <xf numFmtId="0" fontId="43" fillId="0" borderId="69" xfId="65" applyFont="1" applyFill="1" applyBorder="1" applyAlignment="1" applyProtection="1">
      <alignment vertical="center"/>
      <protection/>
    </xf>
    <xf numFmtId="4" fontId="43" fillId="0" borderId="69" xfId="65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Alignment="1">
      <alignment vertical="center"/>
    </xf>
    <xf numFmtId="4" fontId="43" fillId="0" borderId="17" xfId="0" applyNumberFormat="1" applyFont="1" applyFill="1" applyBorder="1" applyAlignment="1">
      <alignment horizontal="right" vertical="center" wrapText="1"/>
    </xf>
    <xf numFmtId="4" fontId="78" fillId="0" borderId="17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4" fontId="43" fillId="0" borderId="14" xfId="0" applyNumberFormat="1" applyFont="1" applyFill="1" applyBorder="1" applyAlignment="1">
      <alignment horizontal="right" vertical="center"/>
    </xf>
    <xf numFmtId="4" fontId="43" fillId="0" borderId="12" xfId="0" applyNumberFormat="1" applyFont="1" applyFill="1" applyBorder="1" applyAlignment="1">
      <alignment horizontal="right" vertical="center"/>
    </xf>
    <xf numFmtId="4" fontId="41" fillId="0" borderId="21" xfId="0" applyNumberFormat="1" applyFont="1" applyFill="1" applyBorder="1" applyAlignment="1">
      <alignment vertical="center"/>
    </xf>
    <xf numFmtId="4" fontId="79" fillId="0" borderId="0" xfId="0" applyNumberFormat="1" applyFont="1" applyFill="1" applyAlignment="1">
      <alignment horizontal="left" vertical="center"/>
    </xf>
    <xf numFmtId="0" fontId="73" fillId="0" borderId="103" xfId="0" applyFont="1" applyBorder="1" applyAlignment="1">
      <alignment horizontal="center" vertical="center" wrapText="1"/>
    </xf>
    <xf numFmtId="0" fontId="75" fillId="0" borderId="104" xfId="0" applyFont="1" applyBorder="1" applyAlignment="1">
      <alignment horizontal="center" vertical="center" wrapText="1"/>
    </xf>
    <xf numFmtId="0" fontId="73" fillId="0" borderId="104" xfId="0" applyFont="1" applyBorder="1" applyAlignment="1">
      <alignment horizontal="center" vertical="center" wrapText="1"/>
    </xf>
    <xf numFmtId="0" fontId="73" fillId="0" borderId="104" xfId="0" applyFont="1" applyBorder="1" applyAlignment="1">
      <alignment horizontal="center" vertical="center"/>
    </xf>
    <xf numFmtId="0" fontId="73" fillId="0" borderId="105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73" fillId="0" borderId="107" xfId="0" applyFont="1" applyBorder="1" applyAlignment="1">
      <alignment horizontal="center"/>
    </xf>
    <xf numFmtId="0" fontId="74" fillId="0" borderId="92" xfId="0" applyFont="1" applyBorder="1" applyAlignment="1">
      <alignment horizontal="center"/>
    </xf>
    <xf numFmtId="4" fontId="74" fillId="0" borderId="92" xfId="0" applyNumberFormat="1" applyFont="1" applyBorder="1" applyAlignment="1">
      <alignment horizontal="right" indent="1"/>
    </xf>
    <xf numFmtId="4" fontId="74" fillId="0" borderId="92" xfId="0" applyNumberFormat="1" applyFont="1" applyBorder="1" applyAlignment="1">
      <alignment horizontal="center"/>
    </xf>
    <xf numFmtId="0" fontId="73" fillId="0" borderId="92" xfId="0" applyFont="1" applyBorder="1" applyAlignment="1">
      <alignment horizontal="center"/>
    </xf>
    <xf numFmtId="0" fontId="73" fillId="0" borderId="108" xfId="0" applyFont="1" applyBorder="1" applyAlignment="1">
      <alignment horizontal="center"/>
    </xf>
    <xf numFmtId="0" fontId="80" fillId="0" borderId="107" xfId="0" applyFont="1" applyBorder="1" applyAlignment="1">
      <alignment horizontal="center"/>
    </xf>
    <xf numFmtId="4" fontId="80" fillId="0" borderId="92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6" fillId="0" borderId="17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20" xfId="0" applyFont="1" applyBorder="1" applyAlignment="1">
      <alignment/>
    </xf>
    <xf numFmtId="0" fontId="98" fillId="0" borderId="0" xfId="0" applyFont="1" applyAlignment="1">
      <alignment/>
    </xf>
    <xf numFmtId="0" fontId="74" fillId="0" borderId="11" xfId="0" applyFont="1" applyBorder="1" applyAlignment="1">
      <alignment horizontal="center"/>
    </xf>
    <xf numFmtId="4" fontId="74" fillId="0" borderId="11" xfId="0" applyNumberFormat="1" applyFont="1" applyBorder="1" applyAlignment="1">
      <alignment horizontal="right" indent="1"/>
    </xf>
    <xf numFmtId="4" fontId="74" fillId="0" borderId="11" xfId="0" applyNumberFormat="1" applyFont="1" applyBorder="1" applyAlignment="1">
      <alignment horizontal="center"/>
    </xf>
    <xf numFmtId="0" fontId="76" fillId="0" borderId="11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0" xfId="0" applyFont="1" applyAlignment="1">
      <alignment horizontal="center"/>
    </xf>
    <xf numFmtId="0" fontId="74" fillId="0" borderId="101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4" fontId="74" fillId="0" borderId="17" xfId="0" applyNumberFormat="1" applyFont="1" applyBorder="1" applyAlignment="1">
      <alignment horizontal="right" indent="1"/>
    </xf>
    <xf numFmtId="4" fontId="74" fillId="0" borderId="17" xfId="0" applyNumberFormat="1" applyFont="1" applyBorder="1" applyAlignment="1">
      <alignment horizontal="center"/>
    </xf>
    <xf numFmtId="0" fontId="74" fillId="0" borderId="63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4" fontId="74" fillId="0" borderId="52" xfId="0" applyNumberFormat="1" applyFont="1" applyBorder="1" applyAlignment="1">
      <alignment horizontal="right" indent="1"/>
    </xf>
    <xf numFmtId="4" fontId="74" fillId="0" borderId="52" xfId="0" applyNumberFormat="1" applyFont="1" applyBorder="1" applyAlignment="1">
      <alignment horizontal="center"/>
    </xf>
    <xf numFmtId="0" fontId="76" fillId="0" borderId="52" xfId="0" applyFont="1" applyBorder="1" applyAlignment="1">
      <alignment/>
    </xf>
    <xf numFmtId="0" fontId="76" fillId="0" borderId="53" xfId="0" applyFont="1" applyBorder="1" applyAlignment="1">
      <alignment/>
    </xf>
    <xf numFmtId="0" fontId="74" fillId="0" borderId="6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4" fontId="74" fillId="0" borderId="19" xfId="0" applyNumberFormat="1" applyFont="1" applyBorder="1" applyAlignment="1">
      <alignment horizontal="right" indent="1"/>
    </xf>
    <xf numFmtId="4" fontId="74" fillId="0" borderId="19" xfId="0" applyNumberFormat="1" applyFont="1" applyBorder="1" applyAlignment="1">
      <alignment horizontal="center"/>
    </xf>
    <xf numFmtId="0" fontId="80" fillId="0" borderId="92" xfId="0" applyFont="1" applyBorder="1" applyAlignment="1">
      <alignment/>
    </xf>
    <xf numFmtId="0" fontId="80" fillId="0" borderId="108" xfId="0" applyFont="1" applyBorder="1" applyAlignment="1">
      <alignment/>
    </xf>
    <xf numFmtId="4" fontId="76" fillId="0" borderId="0" xfId="0" applyNumberFormat="1" applyFont="1" applyAlignment="1">
      <alignment/>
    </xf>
    <xf numFmtId="0" fontId="74" fillId="0" borderId="101" xfId="0" applyFont="1" applyFill="1" applyBorder="1" applyAlignment="1">
      <alignment horizontal="center"/>
    </xf>
    <xf numFmtId="0" fontId="74" fillId="0" borderId="68" xfId="0" applyFont="1" applyFill="1" applyBorder="1" applyAlignment="1">
      <alignment horizontal="center"/>
    </xf>
    <xf numFmtId="0" fontId="74" fillId="0" borderId="63" xfId="0" applyFont="1" applyFill="1" applyBorder="1" applyAlignment="1">
      <alignment horizontal="center"/>
    </xf>
    <xf numFmtId="0" fontId="74" fillId="0" borderId="109" xfId="0" applyFont="1" applyBorder="1" applyAlignment="1">
      <alignment horizontal="center"/>
    </xf>
    <xf numFmtId="4" fontId="74" fillId="0" borderId="109" xfId="0" applyNumberFormat="1" applyFont="1" applyBorder="1" applyAlignment="1">
      <alignment horizontal="right" indent="1"/>
    </xf>
    <xf numFmtId="4" fontId="74" fillId="0" borderId="109" xfId="0" applyNumberFormat="1" applyFont="1" applyBorder="1" applyAlignment="1">
      <alignment horizontal="center"/>
    </xf>
    <xf numFmtId="0" fontId="76" fillId="0" borderId="109" xfId="0" applyFont="1" applyBorder="1" applyAlignment="1">
      <alignment/>
    </xf>
    <xf numFmtId="0" fontId="76" fillId="0" borderId="110" xfId="0" applyFont="1" applyBorder="1" applyAlignment="1">
      <alignment/>
    </xf>
    <xf numFmtId="4" fontId="76" fillId="30" borderId="0" xfId="0" applyNumberFormat="1" applyFont="1" applyFill="1" applyAlignment="1">
      <alignment/>
    </xf>
    <xf numFmtId="4" fontId="42" fillId="30" borderId="12" xfId="0" applyNumberFormat="1" applyFont="1" applyFill="1" applyBorder="1" applyAlignment="1">
      <alignment vertical="center"/>
    </xf>
    <xf numFmtId="4" fontId="43" fillId="0" borderId="22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right" vertical="center" wrapText="1"/>
    </xf>
    <xf numFmtId="4" fontId="42" fillId="0" borderId="19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42" xfId="0" applyFont="1" applyFill="1" applyBorder="1" applyAlignment="1">
      <alignment horizontal="right" vertical="center" wrapText="1"/>
    </xf>
    <xf numFmtId="0" fontId="43" fillId="0" borderId="42" xfId="0" applyFont="1" applyFill="1" applyBorder="1" applyAlignment="1">
      <alignment vertical="center"/>
    </xf>
    <xf numFmtId="4" fontId="42" fillId="0" borderId="2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43" fillId="0" borderId="41" xfId="0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4" fontId="95" fillId="0" borderId="0" xfId="0" applyNumberFormat="1" applyFont="1" applyAlignment="1">
      <alignment horizontal="left" vertical="center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0" fontId="99" fillId="0" borderId="0" xfId="0" applyFont="1" applyAlignment="1">
      <alignment/>
    </xf>
    <xf numFmtId="4" fontId="42" fillId="0" borderId="93" xfId="0" applyNumberFormat="1" applyFont="1" applyFill="1" applyBorder="1" applyAlignment="1">
      <alignment vertical="center"/>
    </xf>
    <xf numFmtId="4" fontId="43" fillId="0" borderId="59" xfId="0" applyNumberFormat="1" applyFont="1" applyFill="1" applyBorder="1" applyAlignment="1">
      <alignment vertical="center"/>
    </xf>
    <xf numFmtId="4" fontId="42" fillId="0" borderId="59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vertical="center"/>
    </xf>
    <xf numFmtId="4" fontId="45" fillId="0" borderId="0" xfId="60" applyNumberFormat="1" applyFont="1" applyFill="1" applyBorder="1" applyAlignment="1">
      <alignment horizontal="left" vertical="center"/>
      <protection/>
    </xf>
    <xf numFmtId="4" fontId="43" fillId="0" borderId="17" xfId="69" applyNumberFormat="1" applyFont="1" applyFill="1" applyBorder="1" applyAlignment="1" applyProtection="1">
      <alignment horizontal="right" vertical="center"/>
      <protection locked="0"/>
    </xf>
    <xf numFmtId="0" fontId="45" fillId="0" borderId="0" xfId="60" applyFont="1" applyFill="1" applyAlignment="1" quotePrefix="1">
      <alignment vertical="center"/>
      <protection/>
    </xf>
    <xf numFmtId="0" fontId="95" fillId="0" borderId="0" xfId="60" applyFont="1" applyFill="1" applyAlignment="1">
      <alignment horizontal="right" vertical="center"/>
      <protection/>
    </xf>
    <xf numFmtId="4" fontId="95" fillId="0" borderId="0" xfId="60" applyNumberFormat="1" applyFont="1" applyFill="1" applyAlignment="1">
      <alignment vertical="center"/>
      <protection/>
    </xf>
    <xf numFmtId="0" fontId="95" fillId="0" borderId="0" xfId="0" applyFont="1" applyAlignment="1">
      <alignment horizontal="left" vertical="center"/>
    </xf>
    <xf numFmtId="0" fontId="74" fillId="0" borderId="79" xfId="0" applyFont="1" applyFill="1" applyBorder="1" applyAlignment="1">
      <alignment horizontal="center"/>
    </xf>
    <xf numFmtId="0" fontId="74" fillId="0" borderId="69" xfId="0" applyFont="1" applyBorder="1" applyAlignment="1">
      <alignment horizontal="center"/>
    </xf>
    <xf numFmtId="4" fontId="74" fillId="0" borderId="69" xfId="0" applyNumberFormat="1" applyFont="1" applyBorder="1" applyAlignment="1">
      <alignment horizontal="right" indent="1"/>
    </xf>
    <xf numFmtId="4" fontId="74" fillId="0" borderId="69" xfId="0" applyNumberFormat="1" applyFont="1" applyBorder="1" applyAlignment="1">
      <alignment horizontal="center"/>
    </xf>
    <xf numFmtId="0" fontId="76" fillId="0" borderId="69" xfId="0" applyFont="1" applyBorder="1" applyAlignment="1">
      <alignment/>
    </xf>
    <xf numFmtId="0" fontId="76" fillId="0" borderId="38" xfId="0" applyFont="1" applyBorder="1" applyAlignment="1">
      <alignment/>
    </xf>
    <xf numFmtId="0" fontId="74" fillId="0" borderId="111" xfId="0" applyFont="1" applyBorder="1" applyAlignment="1">
      <alignment horizontal="center"/>
    </xf>
    <xf numFmtId="4" fontId="74" fillId="0" borderId="111" xfId="0" applyNumberFormat="1" applyFont="1" applyBorder="1" applyAlignment="1">
      <alignment horizontal="right" indent="1"/>
    </xf>
    <xf numFmtId="4" fontId="74" fillId="0" borderId="111" xfId="0" applyNumberFormat="1" applyFont="1" applyBorder="1" applyAlignment="1">
      <alignment horizontal="center"/>
    </xf>
    <xf numFmtId="0" fontId="76" fillId="0" borderId="111" xfId="0" applyFont="1" applyBorder="1" applyAlignment="1">
      <alignment/>
    </xf>
    <xf numFmtId="0" fontId="76" fillId="0" borderId="112" xfId="0" applyFont="1" applyBorder="1" applyAlignment="1">
      <alignment/>
    </xf>
    <xf numFmtId="4" fontId="74" fillId="0" borderId="73" xfId="0" applyNumberFormat="1" applyFont="1" applyBorder="1" applyAlignment="1">
      <alignment horizontal="center"/>
    </xf>
    <xf numFmtId="0" fontId="74" fillId="0" borderId="113" xfId="0" applyFont="1" applyFill="1" applyBorder="1" applyAlignment="1">
      <alignment horizontal="center"/>
    </xf>
    <xf numFmtId="0" fontId="74" fillId="0" borderId="114" xfId="0" applyFont="1" applyBorder="1" applyAlignment="1">
      <alignment horizontal="center"/>
    </xf>
    <xf numFmtId="0" fontId="74" fillId="0" borderId="51" xfId="0" applyFont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80" fillId="0" borderId="17" xfId="0" applyFont="1" applyBorder="1" applyAlignment="1">
      <alignment horizontal="center" wrapText="1"/>
    </xf>
    <xf numFmtId="0" fontId="82" fillId="0" borderId="17" xfId="0" applyFont="1" applyBorder="1" applyAlignment="1">
      <alignment wrapText="1"/>
    </xf>
    <xf numFmtId="0" fontId="83" fillId="0" borderId="17" xfId="0" applyFont="1" applyBorder="1" applyAlignment="1">
      <alignment wrapText="1"/>
    </xf>
    <xf numFmtId="0" fontId="80" fillId="0" borderId="17" xfId="0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2" fillId="0" borderId="0" xfId="0" applyFont="1" applyAlignment="1">
      <alignment/>
    </xf>
    <xf numFmtId="0" fontId="80" fillId="0" borderId="17" xfId="0" applyFont="1" applyBorder="1" applyAlignment="1">
      <alignment horizontal="center"/>
    </xf>
    <xf numFmtId="0" fontId="82" fillId="0" borderId="17" xfId="0" applyFont="1" applyBorder="1" applyAlignment="1">
      <alignment/>
    </xf>
    <xf numFmtId="4" fontId="80" fillId="0" borderId="17" xfId="0" applyNumberFormat="1" applyFont="1" applyBorder="1" applyAlignment="1">
      <alignment horizontal="right"/>
    </xf>
    <xf numFmtId="4" fontId="82" fillId="0" borderId="17" xfId="0" applyNumberFormat="1" applyFont="1" applyBorder="1" applyAlignment="1">
      <alignment/>
    </xf>
    <xf numFmtId="4" fontId="80" fillId="0" borderId="17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7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0" xfId="0" applyFont="1" applyAlignment="1">
      <alignment/>
    </xf>
    <xf numFmtId="0" fontId="29" fillId="0" borderId="51" xfId="0" applyFont="1" applyBorder="1" applyAlignment="1">
      <alignment/>
    </xf>
    <xf numFmtId="4" fontId="29" fillId="0" borderId="52" xfId="0" applyNumberFormat="1" applyFont="1" applyBorder="1" applyAlignment="1">
      <alignment horizontal="right"/>
    </xf>
    <xf numFmtId="4" fontId="82" fillId="0" borderId="11" xfId="0" applyNumberFormat="1" applyFont="1" applyFill="1" applyBorder="1" applyAlignment="1">
      <alignment/>
    </xf>
    <xf numFmtId="4" fontId="82" fillId="0" borderId="11" xfId="0" applyNumberFormat="1" applyFont="1" applyBorder="1" applyAlignment="1">
      <alignment/>
    </xf>
    <xf numFmtId="4" fontId="82" fillId="0" borderId="48" xfId="0" applyNumberFormat="1" applyFont="1" applyBorder="1" applyAlignment="1">
      <alignment/>
    </xf>
    <xf numFmtId="4" fontId="82" fillId="0" borderId="48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80" fillId="0" borderId="72" xfId="0" applyFont="1" applyBorder="1" applyAlignment="1">
      <alignment/>
    </xf>
    <xf numFmtId="0" fontId="80" fillId="0" borderId="63" xfId="0" applyFont="1" applyBorder="1" applyAlignment="1">
      <alignment/>
    </xf>
    <xf numFmtId="0" fontId="80" fillId="0" borderId="64" xfId="0" applyFont="1" applyBorder="1" applyAlignment="1">
      <alignment/>
    </xf>
    <xf numFmtId="0" fontId="80" fillId="0" borderId="68" xfId="0" applyFont="1" applyBorder="1" applyAlignment="1">
      <alignment/>
    </xf>
    <xf numFmtId="4" fontId="7" fillId="0" borderId="0" xfId="0" applyNumberFormat="1" applyFont="1" applyAlignment="1">
      <alignment/>
    </xf>
    <xf numFmtId="4" fontId="76" fillId="31" borderId="0" xfId="0" applyNumberFormat="1" applyFont="1" applyFill="1" applyAlignment="1">
      <alignment/>
    </xf>
    <xf numFmtId="0" fontId="43" fillId="0" borderId="17" xfId="0" applyFont="1" applyFill="1" applyBorder="1" applyAlignment="1" applyProtection="1">
      <alignment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85" fillId="0" borderId="0" xfId="60" applyFont="1" applyAlignment="1">
      <alignment vertical="center"/>
      <protection/>
    </xf>
    <xf numFmtId="0" fontId="85" fillId="0" borderId="0" xfId="60" applyFont="1" applyFill="1" applyAlignment="1">
      <alignment vertical="center"/>
      <protection/>
    </xf>
    <xf numFmtId="0" fontId="85" fillId="0" borderId="0" xfId="60" applyFont="1">
      <alignment/>
      <protection/>
    </xf>
    <xf numFmtId="0" fontId="86" fillId="0" borderId="0" xfId="60" applyFont="1" applyAlignment="1">
      <alignment horizontal="center" vertical="center" wrapText="1"/>
      <protection/>
    </xf>
    <xf numFmtId="4" fontId="85" fillId="0" borderId="0" xfId="60" applyNumberFormat="1" applyFont="1" applyAlignment="1">
      <alignment vertical="center"/>
      <protection/>
    </xf>
    <xf numFmtId="4" fontId="86" fillId="0" borderId="0" xfId="60" applyNumberFormat="1" applyFont="1" applyAlignment="1">
      <alignment vertical="center"/>
      <protection/>
    </xf>
    <xf numFmtId="4" fontId="86" fillId="32" borderId="0" xfId="60" applyNumberFormat="1" applyFont="1" applyFill="1" applyAlignment="1">
      <alignment vertical="center"/>
      <protection/>
    </xf>
    <xf numFmtId="0" fontId="85" fillId="32" borderId="0" xfId="60" applyFont="1" applyFill="1" applyAlignment="1">
      <alignment vertical="center"/>
      <protection/>
    </xf>
    <xf numFmtId="4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177" fontId="43" fillId="0" borderId="115" xfId="52" applyNumberFormat="1" applyFont="1" applyFill="1" applyBorder="1" applyAlignment="1" applyProtection="1">
      <alignment horizontal="right" vertical="center"/>
      <protection locked="0"/>
    </xf>
    <xf numFmtId="177" fontId="43" fillId="0" borderId="18" xfId="52" applyNumberFormat="1" applyFont="1" applyFill="1" applyBorder="1" applyAlignment="1" applyProtection="1">
      <alignment horizontal="right" vertical="center"/>
      <protection locked="0"/>
    </xf>
    <xf numFmtId="179" fontId="42" fillId="0" borderId="18" xfId="50" applyNumberFormat="1" applyFont="1" applyFill="1" applyBorder="1" applyAlignment="1" applyProtection="1">
      <alignment horizontal="right" vertical="center"/>
      <protection locked="0"/>
    </xf>
    <xf numFmtId="177" fontId="43" fillId="0" borderId="60" xfId="52" applyNumberFormat="1" applyFont="1" applyBorder="1" applyAlignment="1" applyProtection="1">
      <alignment horizontal="right" vertical="center"/>
      <protection locked="0"/>
    </xf>
    <xf numFmtId="0" fontId="42" fillId="0" borderId="93" xfId="65" applyFont="1" applyBorder="1" applyAlignment="1" applyProtection="1">
      <alignment horizontal="center" vertical="center"/>
      <protection/>
    </xf>
    <xf numFmtId="0" fontId="42" fillId="0" borderId="76" xfId="65" applyFont="1" applyBorder="1" applyAlignment="1" applyProtection="1">
      <alignment horizontal="center" vertical="center"/>
      <protection/>
    </xf>
    <xf numFmtId="0" fontId="100" fillId="0" borderId="17" xfId="0" applyFont="1" applyBorder="1" applyAlignment="1">
      <alignment horizontal="center" vertical="center"/>
    </xf>
    <xf numFmtId="0" fontId="42" fillId="14" borderId="87" xfId="65" applyFont="1" applyFill="1" applyBorder="1" applyAlignment="1" applyProtection="1">
      <alignment horizontal="left" vertical="center" wrapText="1"/>
      <protection/>
    </xf>
    <xf numFmtId="0" fontId="43" fillId="0" borderId="93" xfId="65" applyFont="1" applyBorder="1" applyAlignment="1" applyProtection="1">
      <alignment vertical="center"/>
      <protection/>
    </xf>
    <xf numFmtId="0" fontId="42" fillId="0" borderId="66" xfId="65" applyFont="1" applyBorder="1" applyAlignment="1" applyProtection="1">
      <alignment horizontal="center" vertical="center"/>
      <protection/>
    </xf>
    <xf numFmtId="4" fontId="43" fillId="29" borderId="69" xfId="65" applyNumberFormat="1" applyFont="1" applyFill="1" applyBorder="1" applyAlignment="1" applyProtection="1">
      <alignment horizontal="center" vertical="center"/>
      <protection/>
    </xf>
    <xf numFmtId="0" fontId="100" fillId="0" borderId="12" xfId="0" applyFont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 vertical="center"/>
      <protection locked="0"/>
    </xf>
    <xf numFmtId="0" fontId="84" fillId="0" borderId="0" xfId="65" applyFont="1" applyFill="1" applyAlignment="1">
      <alignment vertical="center"/>
      <protection/>
    </xf>
    <xf numFmtId="175" fontId="29" fillId="0" borderId="0" xfId="72" applyNumberFormat="1" applyFont="1" applyAlignment="1">
      <alignment horizontal="center"/>
    </xf>
    <xf numFmtId="177" fontId="40" fillId="0" borderId="0" xfId="0" applyNumberFormat="1" applyFont="1" applyAlignment="1">
      <alignment vertical="center"/>
    </xf>
    <xf numFmtId="0" fontId="49" fillId="33" borderId="77" xfId="0" applyFont="1" applyFill="1" applyBorder="1" applyAlignment="1" applyProtection="1">
      <alignment vertical="center" wrapText="1"/>
      <protection locked="0"/>
    </xf>
    <xf numFmtId="169" fontId="43" fillId="33" borderId="77" xfId="45" applyFont="1" applyFill="1" applyBorder="1" applyAlignment="1" applyProtection="1">
      <alignment vertical="center" wrapText="1"/>
      <protection locked="0"/>
    </xf>
    <xf numFmtId="177" fontId="43" fillId="33" borderId="77" xfId="0" applyNumberFormat="1" applyFont="1" applyFill="1" applyBorder="1" applyAlignment="1" applyProtection="1">
      <alignment vertical="center" wrapText="1"/>
      <protection locked="0"/>
    </xf>
    <xf numFmtId="177" fontId="43" fillId="33" borderId="77" xfId="45" applyNumberFormat="1" applyFont="1" applyFill="1" applyBorder="1" applyAlignment="1" applyProtection="1">
      <alignment vertical="center" wrapText="1"/>
      <protection locked="0"/>
    </xf>
    <xf numFmtId="179" fontId="42" fillId="33" borderId="77" xfId="45" applyNumberFormat="1" applyFont="1" applyFill="1" applyBorder="1" applyAlignment="1" applyProtection="1">
      <alignment vertical="center" wrapText="1"/>
      <protection/>
    </xf>
    <xf numFmtId="177" fontId="43" fillId="33" borderId="77" xfId="72" applyNumberFormat="1" applyFont="1" applyFill="1" applyBorder="1" applyAlignment="1" applyProtection="1">
      <alignment vertical="center" wrapText="1"/>
      <protection locked="0"/>
    </xf>
    <xf numFmtId="177" fontId="43" fillId="33" borderId="97" xfId="0" applyNumberFormat="1" applyFont="1" applyFill="1" applyBorder="1" applyAlignment="1" applyProtection="1">
      <alignment vertical="center" wrapText="1"/>
      <protection locked="0"/>
    </xf>
    <xf numFmtId="4" fontId="31" fillId="0" borderId="11" xfId="65" applyNumberFormat="1" applyFont="1" applyFill="1" applyBorder="1" applyAlignment="1" applyProtection="1">
      <alignment horizontal="center" vertical="center"/>
      <protection locked="0"/>
    </xf>
    <xf numFmtId="3" fontId="42" fillId="16" borderId="65" xfId="70" applyNumberFormat="1" applyFont="1" applyFill="1" applyBorder="1" applyAlignment="1">
      <alignment horizontal="left" vertical="center" wrapText="1"/>
      <protection/>
    </xf>
    <xf numFmtId="49" fontId="82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4" fontId="101" fillId="0" borderId="0" xfId="0" applyNumberFormat="1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4" fontId="31" fillId="0" borderId="0" xfId="65" applyNumberFormat="1" applyFont="1" applyFill="1" applyAlignment="1">
      <alignment vertical="center"/>
      <protection/>
    </xf>
    <xf numFmtId="3" fontId="31" fillId="0" borderId="0" xfId="65" applyNumberFormat="1" applyFont="1" applyFill="1" applyAlignment="1">
      <alignment vertical="center"/>
      <protection/>
    </xf>
    <xf numFmtId="177" fontId="43" fillId="34" borderId="11" xfId="52" applyNumberFormat="1" applyFont="1" applyFill="1" applyBorder="1" applyAlignment="1" applyProtection="1">
      <alignment horizontal="right" vertical="center"/>
      <protection locked="0"/>
    </xf>
    <xf numFmtId="177" fontId="43" fillId="34" borderId="17" xfId="52" applyNumberFormat="1" applyFont="1" applyFill="1" applyBorder="1" applyAlignment="1" applyProtection="1">
      <alignment horizontal="right" vertical="center"/>
      <protection locked="0"/>
    </xf>
    <xf numFmtId="177" fontId="43" fillId="34" borderId="19" xfId="52" applyNumberFormat="1" applyFont="1" applyFill="1" applyBorder="1" applyAlignment="1" applyProtection="1">
      <alignment horizontal="right" vertical="center"/>
      <protection locked="0"/>
    </xf>
    <xf numFmtId="177" fontId="42" fillId="34" borderId="38" xfId="65" applyNumberFormat="1" applyFont="1" applyFill="1" applyBorder="1" applyAlignment="1" applyProtection="1">
      <alignment horizontal="right" vertical="center"/>
      <protection/>
    </xf>
    <xf numFmtId="43" fontId="43" fillId="0" borderId="17" xfId="0" applyNumberFormat="1" applyFont="1" applyBorder="1" applyAlignment="1" applyProtection="1">
      <alignment horizontal="center" vertical="center" wrapText="1"/>
      <protection locked="0"/>
    </xf>
    <xf numFmtId="43" fontId="43" fillId="0" borderId="12" xfId="0" applyNumberFormat="1" applyFont="1" applyBorder="1" applyAlignment="1" applyProtection="1">
      <alignment horizontal="center" vertical="center" wrapText="1"/>
      <protection locked="0"/>
    </xf>
    <xf numFmtId="3" fontId="43" fillId="0" borderId="58" xfId="67" applyNumberFormat="1" applyFont="1" applyBorder="1" applyAlignment="1">
      <alignment vertical="center"/>
      <protection/>
    </xf>
    <xf numFmtId="43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43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43" fillId="0" borderId="12" xfId="0" applyNumberFormat="1" applyFont="1" applyFill="1" applyBorder="1" applyAlignment="1" applyProtection="1">
      <alignment horizontal="center" vertical="center" wrapText="1"/>
      <protection/>
    </xf>
    <xf numFmtId="43" fontId="43" fillId="0" borderId="17" xfId="0" applyNumberFormat="1" applyFont="1" applyFill="1" applyBorder="1" applyAlignment="1" applyProtection="1">
      <alignment horizontal="center" vertical="center" wrapText="1"/>
      <protection/>
    </xf>
    <xf numFmtId="43" fontId="42" fillId="0" borderId="17" xfId="0" applyNumberFormat="1" applyFont="1" applyFill="1" applyBorder="1" applyAlignment="1" applyProtection="1">
      <alignment horizontal="center" vertical="center" wrapText="1"/>
      <protection/>
    </xf>
    <xf numFmtId="43" fontId="42" fillId="0" borderId="12" xfId="0" applyNumberFormat="1" applyFont="1" applyFill="1" applyBorder="1" applyAlignment="1" applyProtection="1">
      <alignment horizontal="center" vertical="center" wrapText="1"/>
      <protection/>
    </xf>
    <xf numFmtId="4" fontId="102" fillId="0" borderId="0" xfId="67" applyNumberFormat="1" applyFont="1">
      <alignment/>
      <protection/>
    </xf>
    <xf numFmtId="0" fontId="95" fillId="0" borderId="0" xfId="65" applyFont="1" applyFill="1" applyAlignment="1">
      <alignment vertical="center"/>
      <protection/>
    </xf>
    <xf numFmtId="4" fontId="40" fillId="0" borderId="0" xfId="69" applyNumberFormat="1" applyFont="1" applyBorder="1" applyAlignment="1">
      <alignment vertical="center"/>
      <protection/>
    </xf>
    <xf numFmtId="4" fontId="43" fillId="16" borderId="15" xfId="0" applyNumberFormat="1" applyFont="1" applyFill="1" applyBorder="1" applyAlignment="1">
      <alignment vertical="center"/>
    </xf>
    <xf numFmtId="4" fontId="43" fillId="0" borderId="15" xfId="0" applyNumberFormat="1" applyFont="1" applyBorder="1" applyAlignment="1">
      <alignment vertical="center"/>
    </xf>
    <xf numFmtId="4" fontId="43" fillId="16" borderId="43" xfId="0" applyNumberFormat="1" applyFont="1" applyFill="1" applyBorder="1" applyAlignment="1">
      <alignment vertical="center"/>
    </xf>
    <xf numFmtId="4" fontId="43" fillId="0" borderId="41" xfId="0" applyNumberFormat="1" applyFont="1" applyBorder="1" applyAlignment="1">
      <alignment vertical="center"/>
    </xf>
    <xf numFmtId="0" fontId="95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4" fontId="43" fillId="0" borderId="69" xfId="0" applyNumberFormat="1" applyFont="1" applyBorder="1" applyAlignment="1">
      <alignment vertical="center"/>
    </xf>
    <xf numFmtId="4" fontId="42" fillId="0" borderId="52" xfId="0" applyNumberFormat="1" applyFont="1" applyBorder="1" applyAlignment="1">
      <alignment vertical="center"/>
    </xf>
    <xf numFmtId="0" fontId="43" fillId="0" borderId="0" xfId="0" applyFont="1" applyAlignment="1" quotePrefix="1">
      <alignment vertical="center"/>
    </xf>
    <xf numFmtId="4" fontId="43" fillId="0" borderId="59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97" fillId="33" borderId="0" xfId="0" applyFont="1" applyFill="1" applyAlignment="1">
      <alignment vertical="center"/>
    </xf>
    <xf numFmtId="177" fontId="43" fillId="0" borderId="0" xfId="55" applyNumberFormat="1" applyFont="1" applyAlignment="1">
      <alignment vertical="center"/>
      <protection/>
    </xf>
    <xf numFmtId="4" fontId="82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/>
    </xf>
    <xf numFmtId="0" fontId="0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0" fillId="0" borderId="46" xfId="0" applyBorder="1" applyAlignment="1">
      <alignment/>
    </xf>
    <xf numFmtId="10" fontId="0" fillId="0" borderId="47" xfId="72" applyNumberFormat="1" applyFont="1" applyBorder="1" applyAlignment="1">
      <alignment/>
    </xf>
    <xf numFmtId="4" fontId="89" fillId="0" borderId="17" xfId="0" applyNumberFormat="1" applyFont="1" applyFill="1" applyBorder="1" applyAlignment="1" applyProtection="1">
      <alignment horizontal="right"/>
      <protection locked="0"/>
    </xf>
    <xf numFmtId="3" fontId="43" fillId="0" borderId="17" xfId="70" applyNumberFormat="1" applyFont="1" applyBorder="1" applyAlignment="1">
      <alignment vertical="center"/>
      <protection/>
    </xf>
    <xf numFmtId="3" fontId="43" fillId="0" borderId="17" xfId="67" applyNumberFormat="1" applyFont="1" applyBorder="1">
      <alignment/>
      <protection/>
    </xf>
    <xf numFmtId="3" fontId="42" fillId="0" borderId="87" xfId="67" applyNumberFormat="1" applyFont="1" applyFill="1" applyBorder="1" applyAlignment="1">
      <alignment horizontal="left" vertical="center" wrapText="1"/>
      <protection/>
    </xf>
    <xf numFmtId="3" fontId="43" fillId="0" borderId="93" xfId="67" applyNumberFormat="1" applyFont="1" applyFill="1" applyBorder="1" applyAlignment="1">
      <alignment vertical="center"/>
      <protection/>
    </xf>
    <xf numFmtId="43" fontId="42" fillId="0" borderId="93" xfId="0" applyNumberFormat="1" applyFont="1" applyFill="1" applyBorder="1" applyAlignment="1" applyProtection="1">
      <alignment horizontal="center" vertical="center" wrapText="1"/>
      <protection/>
    </xf>
    <xf numFmtId="43" fontId="42" fillId="0" borderId="49" xfId="0" applyNumberFormat="1" applyFont="1" applyFill="1" applyBorder="1" applyAlignment="1" applyProtection="1">
      <alignment horizontal="center" vertical="center" wrapText="1"/>
      <protection/>
    </xf>
    <xf numFmtId="3" fontId="43" fillId="16" borderId="17" xfId="70" applyNumberFormat="1" applyFont="1" applyFill="1" applyBorder="1" applyAlignment="1">
      <alignment vertical="center"/>
      <protection/>
    </xf>
    <xf numFmtId="43" fontId="42" fillId="16" borderId="17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67" applyNumberFormat="1" applyFont="1" applyFill="1" applyBorder="1" applyAlignment="1">
      <alignment vertical="center"/>
      <protection/>
    </xf>
    <xf numFmtId="3" fontId="42" fillId="16" borderId="17" xfId="70" applyNumberFormat="1" applyFont="1" applyFill="1" applyBorder="1" applyAlignment="1">
      <alignment horizontal="left" vertical="center" wrapText="1"/>
      <protection/>
    </xf>
    <xf numFmtId="3" fontId="43" fillId="26" borderId="17" xfId="67" applyNumberFormat="1" applyFont="1" applyFill="1" applyBorder="1" applyAlignment="1">
      <alignment vertical="center"/>
      <protection/>
    </xf>
    <xf numFmtId="43" fontId="42" fillId="26" borderId="17" xfId="67" applyNumberFormat="1" applyFont="1" applyFill="1" applyBorder="1" applyAlignment="1" applyProtection="1">
      <alignment vertical="center"/>
      <protection locked="0"/>
    </xf>
    <xf numFmtId="3" fontId="43" fillId="16" borderId="17" xfId="67" applyNumberFormat="1" applyFont="1" applyFill="1" applyBorder="1" applyAlignment="1">
      <alignment vertical="center"/>
      <protection/>
    </xf>
    <xf numFmtId="177" fontId="43" fillId="0" borderId="17" xfId="67" applyNumberFormat="1" applyFont="1" applyBorder="1" applyAlignment="1" applyProtection="1">
      <alignment vertical="center" wrapText="1"/>
      <protection locked="0"/>
    </xf>
    <xf numFmtId="0" fontId="43" fillId="0" borderId="63" xfId="70" applyNumberFormat="1" applyFont="1" applyBorder="1" applyAlignment="1">
      <alignment horizontal="left" vertical="center" wrapText="1"/>
      <protection/>
    </xf>
    <xf numFmtId="3" fontId="43" fillId="0" borderId="63" xfId="70" applyNumberFormat="1" applyFont="1" applyBorder="1" applyAlignment="1">
      <alignment vertical="center"/>
      <protection/>
    </xf>
    <xf numFmtId="3" fontId="42" fillId="16" borderId="63" xfId="67" applyNumberFormat="1" applyFont="1" applyFill="1" applyBorder="1" applyAlignment="1">
      <alignment horizontal="left" vertical="center" wrapText="1"/>
      <protection/>
    </xf>
    <xf numFmtId="43" fontId="42" fillId="16" borderId="12" xfId="0" applyNumberFormat="1" applyFont="1" applyFill="1" applyBorder="1" applyAlignment="1" applyProtection="1">
      <alignment horizontal="center" vertical="center" wrapText="1"/>
      <protection/>
    </xf>
    <xf numFmtId="3" fontId="42" fillId="0" borderId="63" xfId="67" applyNumberFormat="1" applyFont="1" applyFill="1" applyBorder="1" applyAlignment="1">
      <alignment horizontal="left" vertical="center" wrapText="1"/>
      <protection/>
    </xf>
    <xf numFmtId="3" fontId="42" fillId="26" borderId="63" xfId="67" applyNumberFormat="1" applyFont="1" applyFill="1" applyBorder="1" applyAlignment="1">
      <alignment horizontal="left" vertical="center" wrapText="1"/>
      <protection/>
    </xf>
    <xf numFmtId="43" fontId="42" fillId="26" borderId="12" xfId="67" applyNumberFormat="1" applyFont="1" applyFill="1" applyBorder="1" applyAlignment="1" applyProtection="1">
      <alignment vertical="center"/>
      <protection locked="0"/>
    </xf>
    <xf numFmtId="177" fontId="43" fillId="0" borderId="12" xfId="67" applyNumberFormat="1" applyFont="1" applyBorder="1" applyAlignment="1" applyProtection="1">
      <alignment vertical="center" wrapText="1"/>
      <protection locked="0"/>
    </xf>
    <xf numFmtId="177" fontId="43" fillId="0" borderId="20" xfId="67" applyNumberFormat="1" applyFont="1" applyBorder="1" applyAlignment="1" applyProtection="1">
      <alignment vertical="center" wrapText="1"/>
      <protection locked="0"/>
    </xf>
    <xf numFmtId="4" fontId="42" fillId="0" borderId="19" xfId="0" applyNumberFormat="1" applyFont="1" applyFill="1" applyBorder="1" applyAlignment="1">
      <alignment vertical="center"/>
    </xf>
    <xf numFmtId="49" fontId="82" fillId="0" borderId="0" xfId="0" applyNumberFormat="1" applyFont="1" applyBorder="1" applyAlignment="1">
      <alignment horizontal="center" vertical="center"/>
    </xf>
    <xf numFmtId="49" fontId="82" fillId="0" borderId="22" xfId="0" applyNumberFormat="1" applyFont="1" applyBorder="1" applyAlignment="1">
      <alignment horizontal="center" vertical="center"/>
    </xf>
    <xf numFmtId="3" fontId="42" fillId="27" borderId="0" xfId="69" applyNumberFormat="1" applyFont="1" applyFill="1" applyBorder="1" applyAlignment="1">
      <alignment vertical="center"/>
      <protection/>
    </xf>
    <xf numFmtId="3" fontId="42" fillId="0" borderId="0" xfId="69" applyNumberFormat="1" applyFont="1" applyBorder="1" applyAlignment="1">
      <alignment vertical="center"/>
      <protection/>
    </xf>
    <xf numFmtId="3" fontId="42" fillId="22" borderId="0" xfId="69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16" xfId="0" applyNumberFormat="1" applyFont="1" applyFill="1" applyBorder="1" applyAlignment="1" applyProtection="1">
      <alignment horizontal="center" vertical="center"/>
      <protection/>
    </xf>
    <xf numFmtId="177" fontId="0" fillId="8" borderId="117" xfId="0" applyNumberFormat="1" applyFont="1" applyFill="1" applyBorder="1" applyAlignment="1">
      <alignment horizontal="center" vertical="center"/>
    </xf>
    <xf numFmtId="177" fontId="0" fillId="8" borderId="118" xfId="0" applyNumberFormat="1" applyFont="1" applyFill="1" applyBorder="1" applyAlignment="1">
      <alignment horizontal="center" vertical="center"/>
    </xf>
    <xf numFmtId="3" fontId="1" fillId="0" borderId="119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20" xfId="0" applyNumberFormat="1" applyFont="1" applyFill="1" applyBorder="1" applyAlignment="1">
      <alignment vertical="center"/>
    </xf>
    <xf numFmtId="177" fontId="0" fillId="0" borderId="121" xfId="0" applyNumberFormat="1" applyFont="1" applyBorder="1" applyAlignment="1">
      <alignment vertical="center"/>
    </xf>
    <xf numFmtId="0" fontId="8" fillId="25" borderId="72" xfId="62" applyFont="1" applyFill="1" applyBorder="1" applyAlignment="1">
      <alignment horizontal="center" vertical="center" wrapText="1"/>
      <protection/>
    </xf>
    <xf numFmtId="0" fontId="8" fillId="25" borderId="73" xfId="62" applyFont="1" applyFill="1" applyBorder="1" applyAlignment="1">
      <alignment horizontal="center" vertical="center" wrapText="1"/>
      <protection/>
    </xf>
    <xf numFmtId="2" fontId="29" fillId="8" borderId="63" xfId="62" applyNumberFormat="1" applyFont="1" applyFill="1" applyBorder="1" applyAlignment="1">
      <alignment horizontal="left" vertical="center"/>
      <protection/>
    </xf>
    <xf numFmtId="2" fontId="29" fillId="8" borderId="17" xfId="62" applyNumberFormat="1" applyFont="1" applyFill="1" applyBorder="1" applyAlignment="1">
      <alignment horizontal="left" vertical="center"/>
      <protection/>
    </xf>
    <xf numFmtId="2" fontId="29" fillId="8" borderId="12" xfId="62" applyNumberFormat="1" applyFont="1" applyFill="1" applyBorder="1" applyAlignment="1">
      <alignment horizontal="left" vertical="center"/>
      <protection/>
    </xf>
    <xf numFmtId="0" fontId="88" fillId="25" borderId="72" xfId="62" applyFont="1" applyFill="1" applyBorder="1" applyAlignment="1">
      <alignment horizontal="center" vertical="center" wrapText="1"/>
      <protection/>
    </xf>
    <xf numFmtId="0" fontId="88" fillId="25" borderId="73" xfId="6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59" fillId="8" borderId="15" xfId="63" applyNumberFormat="1" applyFont="1" applyFill="1" applyBorder="1" applyAlignment="1">
      <alignment horizontal="left" vertical="center"/>
      <protection/>
    </xf>
    <xf numFmtId="2" fontId="59" fillId="8" borderId="0" xfId="63" applyNumberFormat="1" applyFont="1" applyFill="1" applyBorder="1" applyAlignment="1">
      <alignment horizontal="left" vertical="center"/>
      <protection/>
    </xf>
    <xf numFmtId="2" fontId="59" fillId="8" borderId="22" xfId="63" applyNumberFormat="1" applyFont="1" applyFill="1" applyBorder="1" applyAlignment="1">
      <alignment horizontal="left" vertical="center"/>
      <protection/>
    </xf>
    <xf numFmtId="177" fontId="42" fillId="8" borderId="116" xfId="0" applyNumberFormat="1" applyFont="1" applyFill="1" applyBorder="1" applyAlignment="1" applyProtection="1">
      <alignment horizontal="center" vertical="center"/>
      <protection/>
    </xf>
    <xf numFmtId="177" fontId="43" fillId="8" borderId="122" xfId="0" applyNumberFormat="1" applyFont="1" applyFill="1" applyBorder="1" applyAlignment="1">
      <alignment horizontal="center"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17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23" xfId="0" applyNumberFormat="1" applyFont="1" applyFill="1" applyBorder="1" applyAlignment="1" applyProtection="1">
      <alignment horizontal="center" vertical="center"/>
      <protection/>
    </xf>
    <xf numFmtId="177" fontId="43" fillId="8" borderId="124" xfId="0" applyNumberFormat="1" applyFont="1" applyFill="1" applyBorder="1" applyAlignment="1">
      <alignment horizontal="center" vertical="center"/>
    </xf>
    <xf numFmtId="177" fontId="42" fillId="8" borderId="76" xfId="64" applyNumberFormat="1" applyFont="1" applyFill="1" applyBorder="1" applyAlignment="1" applyProtection="1">
      <alignment horizontal="center" vertical="center" wrapText="1"/>
      <protection/>
    </xf>
    <xf numFmtId="177" fontId="43" fillId="8" borderId="67" xfId="64" applyNumberFormat="1" applyFont="1" applyFill="1" applyBorder="1" applyAlignment="1">
      <alignment horizontal="center" vertical="center" wrapText="1"/>
      <protection/>
    </xf>
    <xf numFmtId="2" fontId="59" fillId="0" borderId="48" xfId="60" applyNumberFormat="1" applyFont="1" applyFill="1" applyBorder="1" applyAlignment="1">
      <alignment horizontal="center" vertical="center"/>
      <protection/>
    </xf>
    <xf numFmtId="2" fontId="59" fillId="0" borderId="17" xfId="60" applyNumberFormat="1" applyFont="1" applyFill="1" applyBorder="1" applyAlignment="1">
      <alignment horizontal="center" vertical="center"/>
      <protection/>
    </xf>
    <xf numFmtId="2" fontId="68" fillId="8" borderId="18" xfId="60" applyNumberFormat="1" applyFont="1" applyFill="1" applyBorder="1" applyAlignment="1" applyProtection="1">
      <alignment horizontal="center" vertical="center"/>
      <protection locked="0"/>
    </xf>
    <xf numFmtId="2" fontId="68" fillId="8" borderId="96" xfId="60" applyNumberFormat="1" applyFont="1" applyFill="1" applyBorder="1" applyAlignment="1" applyProtection="1">
      <alignment horizontal="center" vertical="center"/>
      <protection locked="0"/>
    </xf>
    <xf numFmtId="2" fontId="68" fillId="8" borderId="62" xfId="60" applyNumberFormat="1" applyFont="1" applyFill="1" applyBorder="1" applyAlignment="1" applyProtection="1">
      <alignment horizontal="center" vertical="center"/>
      <protection locked="0"/>
    </xf>
    <xf numFmtId="0" fontId="32" fillId="25" borderId="18" xfId="60" applyFont="1" applyFill="1" applyBorder="1" applyAlignment="1">
      <alignment horizontal="center" vertical="center" wrapText="1"/>
      <protection/>
    </xf>
    <xf numFmtId="0" fontId="32" fillId="25" borderId="96" xfId="60" applyFont="1" applyFill="1" applyBorder="1" applyAlignment="1">
      <alignment horizontal="center" vertical="center" wrapText="1"/>
      <protection/>
    </xf>
    <xf numFmtId="0" fontId="32" fillId="25" borderId="62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8" fillId="8" borderId="18" xfId="59" applyNumberFormat="1" applyFont="1" applyFill="1" applyBorder="1" applyAlignment="1">
      <alignment horizontal="center" vertical="center" wrapText="1"/>
      <protection/>
    </xf>
    <xf numFmtId="2" fontId="68" fillId="8" borderId="96" xfId="59" applyNumberFormat="1" applyFont="1" applyFill="1" applyBorder="1" applyAlignment="1">
      <alignment horizontal="center" vertical="center" wrapText="1"/>
      <protection/>
    </xf>
    <xf numFmtId="2" fontId="68" fillId="8" borderId="62" xfId="59" applyNumberFormat="1" applyFont="1" applyFill="1" applyBorder="1" applyAlignment="1">
      <alignment horizontal="center" vertical="center" wrapText="1"/>
      <protection/>
    </xf>
    <xf numFmtId="168" fontId="59" fillId="0" borderId="17" xfId="60" applyNumberFormat="1" applyFont="1" applyFill="1" applyBorder="1" applyAlignment="1">
      <alignment horizontal="center" vertical="center" wrapText="1"/>
      <protection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96" xfId="60" applyFont="1" applyFill="1" applyBorder="1" applyAlignment="1">
      <alignment horizontal="center" vertical="center" wrapText="1"/>
      <protection/>
    </xf>
    <xf numFmtId="0" fontId="58" fillId="25" borderId="62" xfId="60" applyFont="1" applyFill="1" applyBorder="1" applyAlignment="1">
      <alignment horizontal="center" vertical="center" wrapText="1"/>
      <protection/>
    </xf>
    <xf numFmtId="2" fontId="32" fillId="8" borderId="18" xfId="60" applyNumberFormat="1" applyFont="1" applyFill="1" applyBorder="1" applyAlignment="1">
      <alignment horizontal="center" vertical="center"/>
      <protection/>
    </xf>
    <xf numFmtId="2" fontId="32" fillId="8" borderId="96" xfId="60" applyNumberFormat="1" applyFont="1" applyFill="1" applyBorder="1" applyAlignment="1">
      <alignment horizontal="center" vertical="center"/>
      <protection/>
    </xf>
    <xf numFmtId="3" fontId="42" fillId="16" borderId="63" xfId="70" applyNumberFormat="1" applyFont="1" applyFill="1" applyBorder="1" applyAlignment="1">
      <alignment horizontal="left" vertical="center" wrapText="1"/>
      <protection/>
    </xf>
    <xf numFmtId="3" fontId="42" fillId="16" borderId="17" xfId="70" applyNumberFormat="1" applyFont="1" applyFill="1" applyBorder="1" applyAlignment="1">
      <alignment horizontal="left" vertical="center" wrapText="1"/>
      <protection/>
    </xf>
    <xf numFmtId="0" fontId="42" fillId="25" borderId="72" xfId="61" applyFont="1" applyFill="1" applyBorder="1" applyAlignment="1">
      <alignment horizontal="center" vertical="center" wrapText="1"/>
      <protection/>
    </xf>
    <xf numFmtId="0" fontId="42" fillId="25" borderId="73" xfId="61" applyFont="1" applyFill="1" applyBorder="1" applyAlignment="1">
      <alignment horizontal="center" vertical="center" wrapText="1"/>
      <protection/>
    </xf>
    <xf numFmtId="0" fontId="42" fillId="25" borderId="115" xfId="61" applyFont="1" applyFill="1" applyBorder="1" applyAlignment="1">
      <alignment horizontal="center" vertical="center" wrapText="1"/>
      <protection/>
    </xf>
    <xf numFmtId="2" fontId="47" fillId="8" borderId="16" xfId="61" applyNumberFormat="1" applyFont="1" applyFill="1" applyBorder="1" applyAlignment="1">
      <alignment horizontal="left" vertical="center" wrapText="1"/>
      <protection/>
    </xf>
    <xf numFmtId="2" fontId="47" fillId="8" borderId="65" xfId="61" applyNumberFormat="1" applyFont="1" applyFill="1" applyBorder="1" applyAlignment="1">
      <alignment horizontal="left" vertical="center" wrapText="1"/>
      <protection/>
    </xf>
    <xf numFmtId="2" fontId="47" fillId="0" borderId="125" xfId="61" applyNumberFormat="1" applyFont="1" applyFill="1" applyBorder="1" applyAlignment="1">
      <alignment horizontal="center" vertical="center" wrapText="1"/>
      <protection/>
    </xf>
    <xf numFmtId="2" fontId="47" fillId="0" borderId="126" xfId="61" applyNumberFormat="1" applyFont="1" applyFill="1" applyBorder="1" applyAlignment="1">
      <alignment horizontal="center" vertical="center" wrapText="1"/>
      <protection/>
    </xf>
    <xf numFmtId="2" fontId="47" fillId="0" borderId="88" xfId="61" applyNumberFormat="1" applyFont="1" applyFill="1" applyBorder="1" applyAlignment="1">
      <alignment horizontal="center" vertical="center" wrapText="1"/>
      <protection/>
    </xf>
    <xf numFmtId="3" fontId="42" fillId="16" borderId="16" xfId="70" applyNumberFormat="1" applyFont="1" applyFill="1" applyBorder="1" applyAlignment="1">
      <alignment horizontal="left" vertical="center" wrapText="1"/>
      <protection/>
    </xf>
    <xf numFmtId="3" fontId="42" fillId="16" borderId="65" xfId="70" applyNumberFormat="1" applyFont="1" applyFill="1" applyBorder="1" applyAlignment="1">
      <alignment horizontal="left" vertical="center" wrapText="1"/>
      <protection/>
    </xf>
    <xf numFmtId="0" fontId="72" fillId="0" borderId="0" xfId="56" applyFont="1" applyAlignment="1">
      <alignment horizontal="left" vertical="center" wrapText="1"/>
      <protection/>
    </xf>
    <xf numFmtId="0" fontId="42" fillId="0" borderId="18" xfId="56" applyFont="1" applyFill="1" applyBorder="1" applyAlignment="1">
      <alignment horizontal="center" vertical="center" wrapText="1"/>
      <protection/>
    </xf>
    <xf numFmtId="0" fontId="42" fillId="0" borderId="96" xfId="56" applyFont="1" applyFill="1" applyBorder="1" applyAlignment="1">
      <alignment horizontal="center" vertical="center" wrapText="1"/>
      <protection/>
    </xf>
    <xf numFmtId="0" fontId="42" fillId="0" borderId="62" xfId="56" applyFont="1" applyFill="1" applyBorder="1" applyAlignment="1">
      <alignment horizontal="center" vertical="center" wrapText="1"/>
      <protection/>
    </xf>
    <xf numFmtId="0" fontId="42" fillId="0" borderId="58" xfId="56" applyFont="1" applyFill="1" applyBorder="1" applyAlignment="1">
      <alignment horizontal="center" vertical="center"/>
      <protection/>
    </xf>
    <xf numFmtId="0" fontId="42" fillId="0" borderId="94" xfId="56" applyFont="1" applyFill="1" applyBorder="1" applyAlignment="1">
      <alignment horizontal="center" vertical="center"/>
      <protection/>
    </xf>
    <xf numFmtId="0" fontId="42" fillId="0" borderId="24" xfId="56" applyFont="1" applyFill="1" applyBorder="1" applyAlignment="1">
      <alignment horizontal="center" vertical="center"/>
      <protection/>
    </xf>
    <xf numFmtId="0" fontId="42" fillId="0" borderId="18" xfId="56" applyFont="1" applyFill="1" applyBorder="1" applyAlignment="1">
      <alignment horizontal="center" vertical="center"/>
      <protection/>
    </xf>
    <xf numFmtId="0" fontId="42" fillId="0" borderId="96" xfId="56" applyFont="1" applyFill="1" applyBorder="1" applyAlignment="1">
      <alignment horizontal="center" vertical="center"/>
      <protection/>
    </xf>
    <xf numFmtId="0" fontId="42" fillId="0" borderId="62" xfId="56" applyFont="1" applyFill="1" applyBorder="1" applyAlignment="1">
      <alignment horizontal="center" vertical="center"/>
      <protection/>
    </xf>
    <xf numFmtId="0" fontId="43" fillId="0" borderId="58" xfId="56" applyFont="1" applyFill="1" applyBorder="1" applyAlignment="1">
      <alignment horizontal="center" vertical="center"/>
      <protection/>
    </xf>
    <xf numFmtId="0" fontId="43" fillId="0" borderId="94" xfId="56" applyFont="1" applyFill="1" applyBorder="1" applyAlignment="1">
      <alignment horizontal="center" vertical="center"/>
      <protection/>
    </xf>
    <xf numFmtId="0" fontId="43" fillId="0" borderId="24" xfId="56" applyFont="1" applyFill="1" applyBorder="1" applyAlignment="1">
      <alignment horizontal="center" vertical="center"/>
      <protection/>
    </xf>
    <xf numFmtId="0" fontId="42" fillId="0" borderId="73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95" xfId="56" applyFont="1" applyFill="1" applyBorder="1" applyAlignment="1" applyProtection="1">
      <alignment horizontal="center" vertical="center"/>
      <protection locked="0"/>
    </xf>
    <xf numFmtId="0" fontId="43" fillId="0" borderId="56" xfId="56" applyFont="1" applyFill="1" applyBorder="1" applyAlignment="1" applyProtection="1">
      <alignment horizontal="center" vertical="center"/>
      <protection locked="0"/>
    </xf>
    <xf numFmtId="0" fontId="43" fillId="0" borderId="29" xfId="56" applyFont="1" applyFill="1" applyBorder="1" applyAlignment="1" applyProtection="1">
      <alignment horizontal="center" vertical="center"/>
      <protection locked="0"/>
    </xf>
    <xf numFmtId="0" fontId="43" fillId="0" borderId="57" xfId="56" applyFont="1" applyFill="1" applyBorder="1" applyAlignment="1">
      <alignment horizontal="center" vertical="center" wrapText="1"/>
      <protection/>
    </xf>
    <xf numFmtId="0" fontId="43" fillId="0" borderId="0" xfId="56" applyFont="1" applyFill="1" applyBorder="1" applyAlignment="1">
      <alignment horizontal="center" vertical="center" wrapText="1"/>
      <protection/>
    </xf>
    <xf numFmtId="0" fontId="43" fillId="0" borderId="26" xfId="56" applyFont="1" applyFill="1" applyBorder="1" applyAlignment="1">
      <alignment horizontal="center" vertical="center" wrapText="1"/>
      <protection/>
    </xf>
    <xf numFmtId="0" fontId="43" fillId="0" borderId="95" xfId="56" applyFont="1" applyFill="1" applyBorder="1" applyAlignment="1">
      <alignment horizontal="center" vertical="center" wrapText="1"/>
      <protection/>
    </xf>
    <xf numFmtId="0" fontId="43" fillId="0" borderId="56" xfId="56" applyFont="1" applyFill="1" applyBorder="1" applyAlignment="1">
      <alignment horizontal="center" vertical="center" wrapText="1"/>
      <protection/>
    </xf>
    <xf numFmtId="0" fontId="43" fillId="0" borderId="29" xfId="56" applyFont="1" applyFill="1" applyBorder="1" applyAlignment="1">
      <alignment horizontal="center" vertical="center" wrapText="1"/>
      <protection/>
    </xf>
    <xf numFmtId="0" fontId="42" fillId="0" borderId="95" xfId="56" applyFont="1" applyFill="1" applyBorder="1" applyAlignment="1">
      <alignment horizontal="center" vertical="center"/>
      <protection/>
    </xf>
    <xf numFmtId="0" fontId="42" fillId="0" borderId="56" xfId="56" applyFont="1" applyFill="1" applyBorder="1" applyAlignment="1">
      <alignment horizontal="center" vertical="center"/>
      <protection/>
    </xf>
    <xf numFmtId="0" fontId="42" fillId="0" borderId="29" xfId="56" applyFont="1" applyFill="1" applyBorder="1" applyAlignment="1">
      <alignment horizontal="center" vertical="center"/>
      <protection/>
    </xf>
    <xf numFmtId="0" fontId="43" fillId="0" borderId="95" xfId="56" applyFont="1" applyFill="1" applyBorder="1" applyAlignment="1">
      <alignment horizontal="center" vertical="center"/>
      <protection/>
    </xf>
    <xf numFmtId="0" fontId="43" fillId="0" borderId="56" xfId="56" applyFont="1" applyFill="1" applyBorder="1" applyAlignment="1">
      <alignment horizontal="center" vertical="center"/>
      <protection/>
    </xf>
    <xf numFmtId="0" fontId="43" fillId="0" borderId="29" xfId="56" applyFont="1" applyFill="1" applyBorder="1" applyAlignment="1">
      <alignment horizontal="center" vertical="center"/>
      <protection/>
    </xf>
    <xf numFmtId="0" fontId="43" fillId="0" borderId="58" xfId="56" applyFont="1" applyFill="1" applyBorder="1" applyAlignment="1">
      <alignment horizontal="center" vertical="center" wrapText="1"/>
      <protection/>
    </xf>
    <xf numFmtId="0" fontId="43" fillId="0" borderId="94" xfId="56" applyFont="1" applyFill="1" applyBorder="1" applyAlignment="1">
      <alignment horizontal="center" vertical="center" wrapText="1"/>
      <protection/>
    </xf>
    <xf numFmtId="0" fontId="43" fillId="0" borderId="24" xfId="56" applyFont="1" applyFill="1" applyBorder="1" applyAlignment="1">
      <alignment horizontal="center" vertical="center" wrapText="1"/>
      <protection/>
    </xf>
    <xf numFmtId="0" fontId="43" fillId="0" borderId="57" xfId="56" applyFont="1" applyFill="1" applyBorder="1" applyAlignment="1" applyProtection="1">
      <alignment horizontal="center" vertical="center"/>
      <protection locked="0"/>
    </xf>
    <xf numFmtId="0" fontId="43" fillId="0" borderId="0" xfId="56" applyFont="1" applyFill="1" applyBorder="1" applyAlignment="1" applyProtection="1">
      <alignment horizontal="center" vertical="center"/>
      <protection locked="0"/>
    </xf>
    <xf numFmtId="0" fontId="43" fillId="0" borderId="26" xfId="56" applyFont="1" applyFill="1" applyBorder="1" applyAlignment="1" applyProtection="1">
      <alignment horizontal="center" vertical="center"/>
      <protection locked="0"/>
    </xf>
    <xf numFmtId="0" fontId="43" fillId="0" borderId="0" xfId="56" applyFont="1" applyFill="1" applyBorder="1" applyAlignment="1">
      <alignment vertical="center" wrapText="1"/>
      <protection/>
    </xf>
    <xf numFmtId="0" fontId="42" fillId="0" borderId="16" xfId="56" applyFont="1" applyFill="1" applyBorder="1" applyAlignment="1">
      <alignment horizontal="center" vertical="center" wrapText="1"/>
      <protection/>
    </xf>
    <xf numFmtId="0" fontId="42" fillId="0" borderId="65" xfId="56" applyFont="1" applyFill="1" applyBorder="1" applyAlignment="1">
      <alignment horizontal="center" vertical="center" wrapText="1"/>
      <protection/>
    </xf>
    <xf numFmtId="0" fontId="42" fillId="0" borderId="58" xfId="56" applyFont="1" applyFill="1" applyBorder="1" applyAlignment="1">
      <alignment horizontal="center" vertical="center" wrapText="1"/>
      <protection/>
    </xf>
    <xf numFmtId="0" fontId="42" fillId="0" borderId="94" xfId="56" applyFont="1" applyFill="1" applyBorder="1" applyAlignment="1">
      <alignment horizontal="center" vertical="center" wrapText="1"/>
      <protection/>
    </xf>
    <xf numFmtId="0" fontId="42" fillId="0" borderId="24" xfId="56" applyFont="1" applyFill="1" applyBorder="1" applyAlignment="1">
      <alignment horizontal="center" vertical="center" wrapText="1"/>
      <protection/>
    </xf>
    <xf numFmtId="0" fontId="32" fillId="25" borderId="125" xfId="59" applyFont="1" applyFill="1" applyBorder="1" applyAlignment="1">
      <alignment horizontal="center" vertical="center" wrapText="1"/>
      <protection/>
    </xf>
    <xf numFmtId="0" fontId="32" fillId="25" borderId="126" xfId="59" applyFont="1" applyFill="1" applyBorder="1" applyAlignment="1">
      <alignment horizontal="center" vertical="center" wrapText="1"/>
      <protection/>
    </xf>
    <xf numFmtId="0" fontId="32" fillId="25" borderId="127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5" xfId="59" applyNumberFormat="1" applyFont="1" applyFill="1" applyBorder="1" applyAlignment="1">
      <alignment horizontal="center" vertical="center"/>
      <protection/>
    </xf>
    <xf numFmtId="0" fontId="43" fillId="0" borderId="65" xfId="0" applyFont="1" applyBorder="1" applyAlignment="1">
      <alignment vertical="center"/>
    </xf>
    <xf numFmtId="0" fontId="43" fillId="0" borderId="90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96" xfId="59" applyNumberFormat="1" applyFont="1" applyFill="1" applyBorder="1" applyAlignment="1">
      <alignment horizontal="left" vertical="center"/>
      <protection/>
    </xf>
    <xf numFmtId="2" fontId="47" fillId="8" borderId="62" xfId="59" applyNumberFormat="1" applyFont="1" applyFill="1" applyBorder="1" applyAlignment="1">
      <alignment horizontal="left" vertical="center"/>
      <protection/>
    </xf>
    <xf numFmtId="0" fontId="42" fillId="0" borderId="72" xfId="56" applyFont="1" applyBorder="1" applyAlignment="1">
      <alignment horizontal="center" vertical="center" wrapText="1"/>
      <protection/>
    </xf>
    <xf numFmtId="0" fontId="42" fillId="0" borderId="6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3" fillId="0" borderId="58" xfId="56" applyFont="1" applyFill="1" applyBorder="1" applyAlignment="1" applyProtection="1">
      <alignment horizontal="center" vertical="center"/>
      <protection locked="0"/>
    </xf>
    <xf numFmtId="0" fontId="43" fillId="0" borderId="94" xfId="56" applyFont="1" applyFill="1" applyBorder="1" applyAlignment="1" applyProtection="1">
      <alignment horizontal="center" vertical="center"/>
      <protection locked="0"/>
    </xf>
    <xf numFmtId="0" fontId="43" fillId="0" borderId="24" xfId="56" applyFont="1" applyFill="1" applyBorder="1" applyAlignment="1" applyProtection="1">
      <alignment horizontal="center" vertical="center"/>
      <protection locked="0"/>
    </xf>
    <xf numFmtId="177" fontId="42" fillId="0" borderId="58" xfId="52" applyNumberFormat="1" applyFont="1" applyFill="1" applyBorder="1" applyAlignment="1" applyProtection="1">
      <alignment horizontal="center" vertical="center"/>
      <protection locked="0"/>
    </xf>
    <xf numFmtId="177" fontId="42" fillId="0" borderId="94" xfId="52" applyNumberFormat="1" applyFont="1" applyFill="1" applyBorder="1" applyAlignment="1" applyProtection="1">
      <alignment horizontal="center" vertical="center"/>
      <protection locked="0"/>
    </xf>
    <xf numFmtId="177" fontId="42" fillId="0" borderId="24" xfId="52" applyNumberFormat="1" applyFont="1" applyFill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96" xfId="56" applyFont="1" applyFill="1" applyBorder="1" applyAlignment="1">
      <alignment horizontal="center" vertical="center"/>
      <protection/>
    </xf>
    <xf numFmtId="0" fontId="43" fillId="0" borderId="62" xfId="56" applyFont="1" applyFill="1" applyBorder="1" applyAlignment="1">
      <alignment horizontal="center" vertical="center"/>
      <protection/>
    </xf>
    <xf numFmtId="0" fontId="42" fillId="0" borderId="57" xfId="56" applyFont="1" applyFill="1" applyBorder="1" applyAlignment="1">
      <alignment horizontal="center" vertical="center" wrapText="1"/>
      <protection/>
    </xf>
    <xf numFmtId="0" fontId="42" fillId="0" borderId="0" xfId="56" applyFont="1" applyFill="1" applyBorder="1" applyAlignment="1">
      <alignment horizontal="center" vertical="center" wrapText="1"/>
      <protection/>
    </xf>
    <xf numFmtId="0" fontId="42" fillId="0" borderId="26" xfId="56" applyFont="1" applyFill="1" applyBorder="1" applyAlignment="1">
      <alignment horizontal="center" vertical="center" wrapText="1"/>
      <protection/>
    </xf>
    <xf numFmtId="0" fontId="42" fillId="0" borderId="16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10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2" fontId="42" fillId="0" borderId="16" xfId="0" applyNumberFormat="1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3" fillId="8" borderId="63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3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72" xfId="59" applyFont="1" applyFill="1" applyBorder="1" applyAlignment="1">
      <alignment horizontal="center" vertical="center" wrapText="1"/>
      <protection/>
    </xf>
    <xf numFmtId="0" fontId="42" fillId="25" borderId="73" xfId="59" applyFont="1" applyFill="1" applyBorder="1" applyAlignment="1">
      <alignment horizontal="center" vertical="center" wrapText="1"/>
      <protection/>
    </xf>
    <xf numFmtId="1" fontId="42" fillId="25" borderId="73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3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2" fontId="47" fillId="8" borderId="63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177" fontId="43" fillId="0" borderId="128" xfId="0" applyNumberFormat="1" applyFont="1" applyFill="1" applyBorder="1" applyAlignment="1" applyProtection="1">
      <alignment horizontal="left" vertical="center" wrapText="1"/>
      <protection locked="0"/>
    </xf>
    <xf numFmtId="177" fontId="43" fillId="0" borderId="129" xfId="0" applyNumberFormat="1" applyFont="1" applyFill="1" applyBorder="1" applyAlignment="1" applyProtection="1">
      <alignment horizontal="left" vertical="center" wrapText="1"/>
      <protection locked="0"/>
    </xf>
    <xf numFmtId="177" fontId="42" fillId="0" borderId="128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129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96" xfId="59" applyNumberFormat="1" applyFont="1" applyFill="1" applyBorder="1" applyAlignment="1">
      <alignment horizontal="center" vertical="center" wrapText="1"/>
      <protection/>
    </xf>
    <xf numFmtId="2" fontId="47" fillId="0" borderId="61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31" xfId="0" applyFont="1" applyFill="1" applyBorder="1" applyAlignment="1">
      <alignment horizontal="center" vertical="center" wrapText="1"/>
    </xf>
    <xf numFmtId="177" fontId="43" fillId="0" borderId="128" xfId="0" applyNumberFormat="1" applyFont="1" applyFill="1" applyBorder="1" applyAlignment="1" applyProtection="1">
      <alignment horizontal="center" vertical="center" wrapText="1"/>
      <protection locked="0"/>
    </xf>
    <xf numFmtId="177" fontId="43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28" xfId="0" applyFont="1" applyFill="1" applyBorder="1" applyAlignment="1" applyProtection="1">
      <alignment horizontal="center" vertical="center" wrapText="1"/>
      <protection locked="0"/>
    </xf>
    <xf numFmtId="0" fontId="50" fillId="33" borderId="129" xfId="0" applyFont="1" applyFill="1" applyBorder="1" applyAlignment="1" applyProtection="1">
      <alignment horizontal="center" vertical="center" wrapText="1"/>
      <protection locked="0"/>
    </xf>
    <xf numFmtId="177" fontId="49" fillId="0" borderId="132" xfId="0" applyNumberFormat="1" applyFont="1" applyFill="1" applyBorder="1" applyAlignment="1" applyProtection="1">
      <alignment horizontal="center" vertical="center" wrapText="1"/>
      <protection locked="0"/>
    </xf>
    <xf numFmtId="177" fontId="49" fillId="0" borderId="77" xfId="0" applyNumberFormat="1" applyFont="1" applyFill="1" applyBorder="1" applyAlignment="1" applyProtection="1">
      <alignment horizontal="center" vertical="center" wrapText="1"/>
      <protection locked="0"/>
    </xf>
    <xf numFmtId="177" fontId="4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33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134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50" fillId="0" borderId="128" xfId="0" applyFont="1" applyFill="1" applyBorder="1" applyAlignment="1" applyProtection="1">
      <alignment horizontal="center" vertical="center" wrapText="1"/>
      <protection locked="0"/>
    </xf>
    <xf numFmtId="0" fontId="50" fillId="0" borderId="129" xfId="0" applyFont="1" applyFill="1" applyBorder="1" applyAlignment="1" applyProtection="1">
      <alignment horizontal="center" vertical="center" wrapText="1"/>
      <protection locked="0"/>
    </xf>
    <xf numFmtId="0" fontId="49" fillId="0" borderId="132" xfId="0" applyFont="1" applyFill="1" applyBorder="1" applyAlignment="1">
      <alignment horizontal="center" vertical="center" wrapText="1"/>
    </xf>
    <xf numFmtId="0" fontId="49" fillId="0" borderId="77" xfId="0" applyFont="1" applyFill="1" applyBorder="1" applyAlignment="1">
      <alignment horizontal="center" vertical="center" wrapText="1"/>
    </xf>
    <xf numFmtId="0" fontId="49" fillId="0" borderId="97" xfId="0" applyFont="1" applyFill="1" applyBorder="1" applyAlignment="1">
      <alignment horizontal="center" vertical="center" wrapText="1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30" xfId="0" applyFont="1" applyBorder="1" applyAlignment="1">
      <alignment horizontal="center" vertical="center" wrapText="1"/>
    </xf>
    <xf numFmtId="0" fontId="42" fillId="0" borderId="131" xfId="0" applyFont="1" applyBorder="1" applyAlignment="1">
      <alignment horizontal="center" vertical="center" wrapText="1"/>
    </xf>
    <xf numFmtId="0" fontId="49" fillId="0" borderId="132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75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1" fillId="25" borderId="125" xfId="59" applyFont="1" applyFill="1" applyBorder="1" applyAlignment="1">
      <alignment horizontal="center" vertical="center" wrapText="1"/>
      <protection/>
    </xf>
    <xf numFmtId="0" fontId="1" fillId="25" borderId="126" xfId="59" applyFont="1" applyFill="1" applyBorder="1" applyAlignment="1">
      <alignment horizontal="center" vertical="center" wrapText="1"/>
      <protection/>
    </xf>
    <xf numFmtId="0" fontId="1" fillId="25" borderId="127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96" xfId="59" applyNumberFormat="1" applyFont="1" applyFill="1" applyBorder="1" applyAlignment="1">
      <alignment horizontal="left" vertical="center" wrapText="1"/>
      <protection/>
    </xf>
    <xf numFmtId="2" fontId="29" fillId="8" borderId="62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96" xfId="59" applyNumberFormat="1" applyFont="1" applyFill="1" applyBorder="1" applyAlignment="1">
      <alignment horizontal="center" vertical="center"/>
      <protection/>
    </xf>
    <xf numFmtId="2" fontId="29" fillId="0" borderId="61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73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0" xfId="60" applyNumberFormat="1" applyFont="1" applyFill="1" applyBorder="1" applyAlignment="1" applyProtection="1">
      <alignment horizontal="center" vertical="center" wrapText="1"/>
      <protection/>
    </xf>
    <xf numFmtId="2" fontId="47" fillId="8" borderId="65" xfId="60" applyNumberFormat="1" applyFont="1" applyFill="1" applyBorder="1" applyAlignment="1" applyProtection="1">
      <alignment horizontal="center" vertical="center" wrapText="1"/>
      <protection/>
    </xf>
    <xf numFmtId="2" fontId="47" fillId="8" borderId="90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5" xfId="60" applyNumberFormat="1" applyFont="1" applyFill="1" applyBorder="1" applyAlignment="1" applyProtection="1">
      <alignment horizontal="center" vertical="center"/>
      <protection/>
    </xf>
    <xf numFmtId="0" fontId="42" fillId="25" borderId="125" xfId="60" applyFont="1" applyFill="1" applyBorder="1" applyAlignment="1" applyProtection="1">
      <alignment horizontal="center" vertical="center" wrapText="1"/>
      <protection/>
    </xf>
    <xf numFmtId="0" fontId="42" fillId="25" borderId="126" xfId="60" applyFont="1" applyFill="1" applyBorder="1" applyAlignment="1" applyProtection="1">
      <alignment horizontal="center" vertical="center" wrapText="1"/>
      <protection/>
    </xf>
    <xf numFmtId="0" fontId="43" fillId="0" borderId="42" xfId="0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8" borderId="135" xfId="0" applyFont="1" applyFill="1" applyBorder="1" applyAlignment="1">
      <alignment horizontal="center" vertical="center"/>
    </xf>
    <xf numFmtId="0" fontId="42" fillId="8" borderId="66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8" borderId="7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0" borderId="135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7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/>
    </xf>
    <xf numFmtId="0" fontId="42" fillId="0" borderId="126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2" xfId="66" applyNumberFormat="1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58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62" xfId="66" applyNumberFormat="1" applyFont="1" applyBorder="1" applyAlignment="1" applyProtection="1">
      <alignment horizontal="center" vertical="center"/>
      <protection locked="0"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2" xfId="66" applyFont="1" applyFill="1" applyBorder="1" applyAlignment="1">
      <alignment horizontal="center" vertical="center" wrapText="1"/>
      <protection/>
    </xf>
    <xf numFmtId="0" fontId="42" fillId="0" borderId="58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95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3" fillId="0" borderId="61" xfId="66" applyNumberFormat="1" applyFont="1" applyBorder="1" applyAlignment="1" applyProtection="1">
      <alignment horizontal="center" vertical="center"/>
      <protection locked="0"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2" xfId="66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2" fillId="0" borderId="96" xfId="66" applyFont="1" applyFill="1" applyBorder="1" applyAlignment="1">
      <alignment horizontal="center" vertical="center" wrapText="1"/>
      <protection/>
    </xf>
    <xf numFmtId="0" fontId="43" fillId="0" borderId="96" xfId="66" applyNumberFormat="1" applyFont="1" applyBorder="1" applyAlignment="1" applyProtection="1">
      <alignment horizontal="center" vertical="center"/>
      <protection locked="0"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96" xfId="66" applyNumberFormat="1" applyFont="1" applyFill="1" applyBorder="1" applyAlignment="1">
      <alignment horizontal="center" vertical="center" wrapText="1"/>
      <protection/>
    </xf>
    <xf numFmtId="4" fontId="43" fillId="0" borderId="62" xfId="66" applyNumberFormat="1" applyFont="1" applyFill="1" applyBorder="1" applyAlignment="1">
      <alignment horizontal="center" vertical="center" wrapText="1"/>
      <protection/>
    </xf>
    <xf numFmtId="0" fontId="44" fillId="0" borderId="63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horizontal="center" vertical="center" wrapText="1"/>
      <protection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96" xfId="66" applyNumberFormat="1" applyFont="1" applyBorder="1" applyAlignment="1">
      <alignment horizontal="center" vertical="center"/>
      <protection/>
    </xf>
    <xf numFmtId="4" fontId="43" fillId="0" borderId="62" xfId="66" applyNumberFormat="1" applyFont="1" applyBorder="1" applyAlignment="1">
      <alignment horizontal="center" vertical="center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75" xfId="66" applyFont="1" applyFill="1" applyBorder="1" applyAlignment="1">
      <alignment horizontal="center" vertical="center" wrapText="1"/>
      <protection/>
    </xf>
    <xf numFmtId="0" fontId="42" fillId="0" borderId="61" xfId="66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8" fillId="25" borderId="125" xfId="60" applyFont="1" applyFill="1" applyBorder="1" applyAlignment="1">
      <alignment horizontal="center" vertical="center" wrapText="1"/>
      <protection/>
    </xf>
    <xf numFmtId="0" fontId="8" fillId="25" borderId="126" xfId="60" applyFont="1" applyFill="1" applyBorder="1" applyAlignment="1">
      <alignment horizontal="center" vertical="center" wrapText="1"/>
      <protection/>
    </xf>
    <xf numFmtId="0" fontId="8" fillId="25" borderId="127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94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60" xfId="57" applyFont="1" applyBorder="1" applyAlignment="1">
      <alignment horizontal="center"/>
      <protection/>
    </xf>
    <xf numFmtId="0" fontId="3" fillId="0" borderId="136" xfId="57" applyFont="1" applyBorder="1" applyAlignment="1">
      <alignment horizontal="center"/>
      <protection/>
    </xf>
    <xf numFmtId="0" fontId="42" fillId="0" borderId="101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32" fillId="8" borderId="135" xfId="0" applyFont="1" applyFill="1" applyBorder="1" applyAlignment="1">
      <alignment horizontal="center" vertical="center"/>
    </xf>
    <xf numFmtId="0" fontId="32" fillId="8" borderId="66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5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96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23" xfId="0" applyFont="1" applyFill="1" applyBorder="1" applyAlignment="1">
      <alignment vertical="center" wrapText="1"/>
    </xf>
    <xf numFmtId="0" fontId="43" fillId="0" borderId="94" xfId="0" applyFont="1" applyFill="1" applyBorder="1" applyAlignment="1">
      <alignment vertical="center" wrapText="1"/>
    </xf>
    <xf numFmtId="0" fontId="43" fillId="0" borderId="137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vertical="center" wrapText="1"/>
    </xf>
    <xf numFmtId="0" fontId="43" fillId="0" borderId="56" xfId="0" applyFont="1" applyFill="1" applyBorder="1" applyAlignment="1">
      <alignment vertical="center" wrapText="1"/>
    </xf>
    <xf numFmtId="0" fontId="43" fillId="0" borderId="75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45" xfId="0" applyFont="1" applyFill="1" applyBorder="1" applyAlignment="1">
      <alignment horizontal="left" vertical="center" wrapText="1"/>
    </xf>
    <xf numFmtId="0" fontId="42" fillId="0" borderId="46" xfId="0" applyFont="1" applyFill="1" applyBorder="1" applyAlignment="1">
      <alignment horizontal="left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 wrapText="1"/>
    </xf>
    <xf numFmtId="0" fontId="42" fillId="0" borderId="7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25" borderId="125" xfId="59" applyFont="1" applyFill="1" applyBorder="1" applyAlignment="1">
      <alignment horizontal="center" vertical="center" wrapText="1"/>
      <protection/>
    </xf>
    <xf numFmtId="0" fontId="42" fillId="25" borderId="126" xfId="59" applyFont="1" applyFill="1" applyBorder="1" applyAlignment="1">
      <alignment horizontal="center" vertical="center" wrapText="1"/>
      <protection/>
    </xf>
    <xf numFmtId="0" fontId="42" fillId="25" borderId="127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96" xfId="0" applyFont="1" applyBorder="1" applyAlignment="1">
      <alignment/>
    </xf>
    <xf numFmtId="0" fontId="43" fillId="0" borderId="62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96" xfId="59" applyNumberFormat="1" applyFont="1" applyFill="1" applyBorder="1" applyAlignment="1">
      <alignment horizontal="center" vertical="center"/>
      <protection/>
    </xf>
    <xf numFmtId="2" fontId="47" fillId="0" borderId="61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95" xfId="0" applyFont="1" applyFill="1" applyBorder="1" applyAlignment="1" applyProtection="1">
      <alignment horizontal="center" vertical="center"/>
      <protection locked="0"/>
    </xf>
    <xf numFmtId="0" fontId="42" fillId="0" borderId="75" xfId="0" applyFont="1" applyFill="1" applyBorder="1" applyAlignment="1" applyProtection="1">
      <alignment horizontal="center" vertical="center"/>
      <protection locked="0"/>
    </xf>
    <xf numFmtId="2" fontId="47" fillId="8" borderId="96" xfId="59" applyNumberFormat="1" applyFont="1" applyFill="1" applyBorder="1" applyAlignment="1">
      <alignment horizontal="center" vertical="center" wrapText="1"/>
      <protection/>
    </xf>
    <xf numFmtId="2" fontId="47" fillId="8" borderId="62" xfId="59" applyNumberFormat="1" applyFont="1" applyFill="1" applyBorder="1" applyAlignment="1">
      <alignment horizontal="center" vertical="center" wrapText="1"/>
      <protection/>
    </xf>
    <xf numFmtId="0" fontId="43" fillId="0" borderId="96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2" fillId="0" borderId="6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6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Modelos PIAF 2014 (flujo+inversiones+deuda)" xfId="61"/>
    <cellStyle name="Normal_AGBOD-94_PLANTILLAS EPEL+INTEGRA+MAYORITARIA" xfId="62"/>
    <cellStyle name="Normal_AGBOD-94_PLANTILLAS EPEL+INTEGRA+MAYORITARIA_PAIF 2017. Modelo Ordinario (Normal)" xfId="63"/>
    <cellStyle name="Normal_CONSOLIDADO-2002" xfId="64"/>
    <cellStyle name="Normal_CS-96" xfId="65"/>
    <cellStyle name="Normal_CS-96_PAIF EMPRESAS PARA ENVIAR" xfId="66"/>
    <cellStyle name="Normal_PF1-INV" xfId="67"/>
    <cellStyle name="Normal_PF1-INV_1. CASINO TAORO PAIF 2009" xfId="68"/>
    <cellStyle name="Normal_PYG96" xfId="69"/>
    <cellStyle name="Normal_PYG96_Modelos PIAF 2014 (flujo+inversiones+deuda)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  <cellStyle name="Währung" xfId="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4397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12</xdr:col>
      <xdr:colOff>209550</xdr:colOff>
      <xdr:row>36</xdr:row>
      <xdr:rowOff>228600</xdr:rowOff>
    </xdr:to>
    <xdr:pic>
      <xdr:nvPicPr>
        <xdr:cNvPr id="2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12</xdr:col>
      <xdr:colOff>209550</xdr:colOff>
      <xdr:row>36</xdr:row>
      <xdr:rowOff>228600</xdr:rowOff>
    </xdr:to>
    <xdr:pic>
      <xdr:nvPicPr>
        <xdr:cNvPr id="3" name="Object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12</xdr:col>
      <xdr:colOff>209550</xdr:colOff>
      <xdr:row>37</xdr:row>
      <xdr:rowOff>228600</xdr:rowOff>
    </xdr:to>
    <xdr:pic>
      <xdr:nvPicPr>
        <xdr:cNvPr id="4" name="Object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305925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12</xdr:col>
      <xdr:colOff>209550</xdr:colOff>
      <xdr:row>37</xdr:row>
      <xdr:rowOff>228600</xdr:rowOff>
    </xdr:to>
    <xdr:pic>
      <xdr:nvPicPr>
        <xdr:cNvPr id="5" name="Object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05925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421875" style="2" customWidth="1"/>
    <col min="5" max="5" width="17.710937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732</v>
      </c>
      <c r="C1" s="15"/>
    </row>
    <row r="2" spans="1:3" s="4" customFormat="1" ht="12.75">
      <c r="A2" s="4" t="s">
        <v>731</v>
      </c>
      <c r="C2" s="15"/>
    </row>
    <row r="3" ht="12.75"/>
    <row r="4" ht="12.75"/>
    <row r="5" spans="1:4" ht="12.75">
      <c r="A5" s="1144">
        <f>CPYG!A2</f>
        <v>0</v>
      </c>
      <c r="B5" s="1144"/>
      <c r="C5" s="1144"/>
      <c r="D5" s="1144"/>
    </row>
    <row r="6" ht="12.75"/>
    <row r="7" ht="13.5" thickBot="1"/>
    <row r="8" spans="1:3" ht="12.75">
      <c r="A8" s="1145" t="s">
        <v>694</v>
      </c>
      <c r="B8" s="1146"/>
      <c r="C8" s="1154" t="s">
        <v>695</v>
      </c>
    </row>
    <row r="9" spans="1:3" ht="12.75">
      <c r="A9" s="1147"/>
      <c r="B9" s="1148"/>
      <c r="C9" s="1155"/>
    </row>
    <row r="10" spans="1:3" ht="12.75">
      <c r="A10" s="1147"/>
      <c r="B10" s="1148"/>
      <c r="C10" s="1155"/>
    </row>
    <row r="11" spans="1:3" ht="12.75">
      <c r="A11" s="1149"/>
      <c r="B11" s="1150"/>
      <c r="C11" s="1156"/>
    </row>
    <row r="12" spans="1:3" ht="12.75">
      <c r="A12" s="50"/>
      <c r="B12" s="51"/>
      <c r="C12" s="52"/>
    </row>
    <row r="13" spans="1:3" ht="12.75">
      <c r="A13" s="53" t="s">
        <v>696</v>
      </c>
      <c r="B13" s="54" t="s">
        <v>782</v>
      </c>
      <c r="C13" s="55">
        <v>0</v>
      </c>
    </row>
    <row r="14" spans="1:10" ht="12.75" customHeight="1">
      <c r="A14" s="53" t="s">
        <v>697</v>
      </c>
      <c r="B14" s="54" t="s">
        <v>783</v>
      </c>
      <c r="C14" s="55">
        <v>0</v>
      </c>
      <c r="F14" s="1143" t="s">
        <v>734</v>
      </c>
      <c r="G14" s="1143"/>
      <c r="H14" s="1143"/>
      <c r="I14" s="1143"/>
      <c r="J14" s="107"/>
    </row>
    <row r="15" spans="1:10" ht="12.75">
      <c r="A15" s="53" t="s">
        <v>698</v>
      </c>
      <c r="B15" s="54" t="s">
        <v>784</v>
      </c>
      <c r="C15" s="55">
        <f>CPYG!E7</f>
        <v>8255146.54</v>
      </c>
      <c r="F15" s="1143"/>
      <c r="G15" s="1143"/>
      <c r="H15" s="1143"/>
      <c r="I15" s="1143"/>
      <c r="J15" s="107"/>
    </row>
    <row r="16" spans="1:10" ht="12.75">
      <c r="A16" s="53" t="s">
        <v>699</v>
      </c>
      <c r="B16" s="54" t="s">
        <v>785</v>
      </c>
      <c r="C16" s="55" t="e">
        <f>'No rellenar EP-5 '!E29+#REF!</f>
        <v>#REF!</v>
      </c>
      <c r="F16" s="1143"/>
      <c r="G16" s="1143"/>
      <c r="H16" s="1143"/>
      <c r="I16" s="1143"/>
      <c r="J16" s="107"/>
    </row>
    <row r="17" spans="1:9" ht="12.75">
      <c r="A17" s="53" t="s">
        <v>700</v>
      </c>
      <c r="B17" s="54" t="s">
        <v>786</v>
      </c>
      <c r="C17" s="55">
        <f>CPYG!E17+CPYG!E66+CPYG!E62</f>
        <v>80215</v>
      </c>
      <c r="F17" s="1143"/>
      <c r="G17" s="1143"/>
      <c r="H17" s="1143"/>
      <c r="I17" s="1143"/>
    </row>
    <row r="18" spans="1:9" ht="12.75">
      <c r="A18" s="56"/>
      <c r="B18" s="57"/>
      <c r="C18" s="58"/>
      <c r="F18" s="1143"/>
      <c r="G18" s="1143"/>
      <c r="H18" s="1143"/>
      <c r="I18" s="1143"/>
    </row>
    <row r="19" spans="1:9" ht="12.75">
      <c r="A19" s="92" t="s">
        <v>701</v>
      </c>
      <c r="B19" s="93"/>
      <c r="C19" s="94" t="e">
        <f>SUM(C13:C17)</f>
        <v>#REF!</v>
      </c>
      <c r="F19" s="1143"/>
      <c r="G19" s="1143"/>
      <c r="H19" s="1143"/>
      <c r="I19" s="1143"/>
    </row>
    <row r="20" spans="1:9" ht="12.75">
      <c r="A20" s="59"/>
      <c r="B20" s="60"/>
      <c r="C20" s="61"/>
      <c r="F20" s="1143"/>
      <c r="G20" s="1143"/>
      <c r="H20" s="1143"/>
      <c r="I20" s="1143"/>
    </row>
    <row r="21" spans="1:9" ht="12.75">
      <c r="A21" s="56"/>
      <c r="B21" s="57"/>
      <c r="C21" s="58"/>
      <c r="F21" s="1143"/>
      <c r="G21" s="1143"/>
      <c r="H21" s="1143"/>
      <c r="I21" s="1143"/>
    </row>
    <row r="22" spans="1:9" ht="12.75">
      <c r="A22" s="53" t="s">
        <v>702</v>
      </c>
      <c r="B22" s="54" t="s">
        <v>787</v>
      </c>
      <c r="C22" s="58">
        <f>'Inv. NO FIN'!I17+'Inv. NO FIN'!I18+'Inv. NO FIN'!I19+'Inv. NO FIN'!I20</f>
        <v>0</v>
      </c>
      <c r="F22" s="1143"/>
      <c r="G22" s="1143"/>
      <c r="H22" s="1143"/>
      <c r="I22" s="1143"/>
    </row>
    <row r="23" spans="1:9" ht="12.75">
      <c r="A23" s="53" t="s">
        <v>703</v>
      </c>
      <c r="B23" s="54" t="s">
        <v>788</v>
      </c>
      <c r="C23" s="58" t="e">
        <f>'Transf. y subv.'!F15+'Transf. y subv.'!#REF!</f>
        <v>#REF!</v>
      </c>
      <c r="F23" s="1143"/>
      <c r="G23" s="1143"/>
      <c r="H23" s="1143"/>
      <c r="I23" s="1143"/>
    </row>
    <row r="24" spans="1:3" ht="12.75">
      <c r="A24" s="56"/>
      <c r="B24" s="57"/>
      <c r="C24" s="58"/>
    </row>
    <row r="25" spans="1:3" ht="12.75">
      <c r="A25" s="92" t="s">
        <v>704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705</v>
      </c>
      <c r="B28" s="54" t="s">
        <v>789</v>
      </c>
      <c r="C28" s="55">
        <f>'Inv. FIN'!F40</f>
        <v>9462</v>
      </c>
    </row>
    <row r="29" spans="1:3" ht="12.75">
      <c r="A29" s="53" t="s">
        <v>706</v>
      </c>
      <c r="B29" s="54" t="s">
        <v>790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707</v>
      </c>
      <c r="B31" s="93"/>
      <c r="C31" s="95">
        <f>SUM(C28:C29)</f>
        <v>9462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708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157" t="s">
        <v>709</v>
      </c>
      <c r="C38" s="1159">
        <f>CPYG!E81</f>
        <v>0</v>
      </c>
    </row>
    <row r="39" spans="1:3" ht="13.5" thickBot="1">
      <c r="A39" s="77"/>
      <c r="B39" s="1158"/>
      <c r="C39" s="1160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708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1145" t="s">
        <v>694</v>
      </c>
      <c r="B49" s="1146"/>
      <c r="C49" s="1151" t="s">
        <v>695</v>
      </c>
    </row>
    <row r="50" spans="1:3" ht="12.75">
      <c r="A50" s="1147"/>
      <c r="B50" s="1148"/>
      <c r="C50" s="1152"/>
    </row>
    <row r="51" spans="1:3" ht="12.75">
      <c r="A51" s="1147"/>
      <c r="B51" s="1148"/>
      <c r="C51" s="1152"/>
    </row>
    <row r="52" spans="1:3" ht="12.75">
      <c r="A52" s="1149"/>
      <c r="B52" s="1150"/>
      <c r="C52" s="1153"/>
    </row>
    <row r="53" spans="1:3" ht="12.75">
      <c r="A53" s="62"/>
      <c r="B53" s="51"/>
      <c r="C53" s="64"/>
    </row>
    <row r="54" spans="1:3" ht="12.75">
      <c r="A54" s="53" t="s">
        <v>696</v>
      </c>
      <c r="B54" s="82" t="s">
        <v>710</v>
      </c>
      <c r="C54" s="83">
        <f>-CPYG!E29</f>
        <v>1678174.0299999998</v>
      </c>
    </row>
    <row r="55" spans="1:3" ht="12.75">
      <c r="A55" s="53" t="s">
        <v>697</v>
      </c>
      <c r="B55" s="82" t="s">
        <v>711</v>
      </c>
      <c r="C55" s="83">
        <f>-CPYG!E12-CPYG!E37+CPYG!E40-CPYG!E90</f>
        <v>7265091.24</v>
      </c>
    </row>
    <row r="56" spans="1:3" ht="12.75">
      <c r="A56" s="53" t="s">
        <v>698</v>
      </c>
      <c r="B56" s="82" t="s">
        <v>136</v>
      </c>
      <c r="C56" s="83">
        <f>-CPYG!E74</f>
        <v>0</v>
      </c>
    </row>
    <row r="57" spans="1:3" ht="12.75">
      <c r="A57" s="53" t="s">
        <v>699</v>
      </c>
      <c r="B57" s="82" t="s">
        <v>712</v>
      </c>
      <c r="C57" s="83"/>
    </row>
    <row r="58" spans="1:3" ht="12.75">
      <c r="A58" s="62"/>
      <c r="B58" s="63"/>
      <c r="C58" s="83"/>
    </row>
    <row r="59" spans="1:6" ht="12.75">
      <c r="A59" s="92" t="s">
        <v>713</v>
      </c>
      <c r="B59" s="93"/>
      <c r="C59" s="95">
        <f>SUM(C54:C58)</f>
        <v>8943265.27</v>
      </c>
      <c r="E59" s="37" t="e">
        <f>C19-C59</f>
        <v>#REF!</v>
      </c>
      <c r="F59" s="2" t="s">
        <v>714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702</v>
      </c>
      <c r="B62" s="82" t="s">
        <v>715</v>
      </c>
      <c r="C62" s="83">
        <f>'Inv. NO FIN'!D17+'Inv. NO FIN'!D18+'Inv. NO FIN'!D19+'Inv. NO FIN'!D20</f>
        <v>725000</v>
      </c>
      <c r="E62" s="2" t="e">
        <f>-#REF!</f>
        <v>#REF!</v>
      </c>
    </row>
    <row r="63" spans="1:7" ht="12.75">
      <c r="A63" s="53" t="s">
        <v>703</v>
      </c>
      <c r="B63" s="82" t="s">
        <v>716</v>
      </c>
      <c r="C63" s="83"/>
      <c r="E63" s="37" t="e">
        <f>SUM(E59:E62)</f>
        <v>#REF!</v>
      </c>
      <c r="F63" s="2">
        <f>CPYG!E94</f>
        <v>-687242.2499999995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717</v>
      </c>
      <c r="B65" s="93"/>
      <c r="C65" s="95">
        <f>SUM(C62:C63)</f>
        <v>725000</v>
      </c>
      <c r="E65" s="37" t="e">
        <f>C25+C31-C65-C71</f>
        <v>#REF!</v>
      </c>
      <c r="F65" s="2" t="s">
        <v>718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705</v>
      </c>
      <c r="B68" s="82" t="s">
        <v>719</v>
      </c>
      <c r="C68" s="83">
        <f>'Inv. FIN'!H40</f>
        <v>-9462</v>
      </c>
    </row>
    <row r="69" spans="1:3" ht="12.75">
      <c r="A69" s="53" t="s">
        <v>706</v>
      </c>
      <c r="B69" s="82" t="s">
        <v>720</v>
      </c>
      <c r="C69" s="83"/>
    </row>
    <row r="70" spans="1:3" ht="12.75">
      <c r="A70" s="62"/>
      <c r="B70" s="63"/>
      <c r="C70" s="64"/>
    </row>
    <row r="71" spans="1:6" ht="12.75">
      <c r="A71" s="92" t="s">
        <v>721</v>
      </c>
      <c r="B71" s="93"/>
      <c r="C71" s="95">
        <f>SUM(C68:C69)</f>
        <v>-9462</v>
      </c>
      <c r="E71" s="37" t="e">
        <f>SUM(E59:E66)</f>
        <v>#REF!</v>
      </c>
      <c r="F71" s="2" t="s">
        <v>722</v>
      </c>
    </row>
    <row r="72" spans="1:3" ht="13.5" thickBot="1">
      <c r="A72" s="85"/>
      <c r="B72" s="86"/>
      <c r="C72" s="87"/>
    </row>
    <row r="73" spans="1:3" ht="13.5" thickTop="1">
      <c r="A73" s="1161"/>
      <c r="B73" s="1157" t="s">
        <v>723</v>
      </c>
      <c r="C73" s="1163" t="e">
        <f>#REF!+#REF!</f>
        <v>#REF!</v>
      </c>
    </row>
    <row r="74" spans="1:6" ht="13.5" thickBot="1">
      <c r="A74" s="1162"/>
      <c r="B74" s="1158"/>
      <c r="C74" s="1164"/>
      <c r="E74" s="37"/>
      <c r="F74" s="2" t="s">
        <v>137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724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1161"/>
      <c r="B80" s="1157" t="s">
        <v>725</v>
      </c>
      <c r="C80" s="1163" t="e">
        <f>-D97</f>
        <v>#REF!</v>
      </c>
      <c r="E80" s="37" t="e">
        <f>E71-E74</f>
        <v>#REF!</v>
      </c>
      <c r="F80" s="2" t="s">
        <v>623</v>
      </c>
    </row>
    <row r="81" spans="1:3" ht="13.5" thickBot="1">
      <c r="A81" s="1162"/>
      <c r="B81" s="1158"/>
      <c r="C81" s="1164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781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733</v>
      </c>
      <c r="C94" s="2"/>
      <c r="D94" s="38" t="e">
        <f>-#REF!</f>
        <v>#REF!</v>
      </c>
      <c r="E94" s="2" t="s">
        <v>727</v>
      </c>
    </row>
    <row r="95" spans="2:4" ht="12.75">
      <c r="B95" s="49" t="s">
        <v>728</v>
      </c>
      <c r="C95" s="2"/>
      <c r="D95" s="38"/>
    </row>
    <row r="96" spans="2:5" ht="12.75">
      <c r="B96" s="4" t="s">
        <v>729</v>
      </c>
      <c r="C96" s="2"/>
      <c r="D96" s="38" t="e">
        <f>#REF!+#REF!</f>
        <v>#REF!</v>
      </c>
      <c r="E96" s="2" t="s">
        <v>730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31"/>
  <sheetViews>
    <sheetView zoomScale="55" zoomScaleNormal="55" zoomScalePageLayoutView="0" workbookViewId="0" topLeftCell="A1">
      <selection activeCell="E35" sqref="E35"/>
    </sheetView>
  </sheetViews>
  <sheetFormatPr defaultColWidth="11.421875" defaultRowHeight="12.75"/>
  <cols>
    <col min="1" max="1" width="11.421875" style="133" customWidth="1"/>
    <col min="2" max="2" width="15.7109375" style="133" customWidth="1"/>
    <col min="3" max="3" width="70.7109375" style="133" bestFit="1" customWidth="1"/>
    <col min="4" max="4" width="10.7109375" style="133" bestFit="1" customWidth="1"/>
    <col min="5" max="5" width="8.140625" style="133" bestFit="1" customWidth="1"/>
    <col min="6" max="6" width="26.421875" style="133" customWidth="1"/>
    <col min="7" max="7" width="23.421875" style="133" customWidth="1"/>
    <col min="8" max="8" width="18.7109375" style="133" customWidth="1"/>
    <col min="9" max="9" width="20.421875" style="133" customWidth="1"/>
    <col min="10" max="12" width="11.421875" style="133" customWidth="1"/>
    <col min="13" max="13" width="17.421875" style="133" bestFit="1" customWidth="1"/>
    <col min="14" max="14" width="19.00390625" style="133" customWidth="1"/>
    <col min="15" max="15" width="13.00390625" style="133" bestFit="1" customWidth="1"/>
    <col min="16" max="16384" width="11.421875" style="133" customWidth="1"/>
  </cols>
  <sheetData>
    <row r="1" ht="13.5" thickBot="1"/>
    <row r="2" spans="2:17" s="222" customFormat="1" ht="12.75">
      <c r="B2" s="1312" t="s">
        <v>321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2">
        <v>2017</v>
      </c>
      <c r="P2" s="1313"/>
      <c r="Q2" s="1314"/>
    </row>
    <row r="3" spans="2:17" s="222" customFormat="1" ht="15.75" customHeight="1">
      <c r="B3" s="1315" t="s">
        <v>342</v>
      </c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5"/>
      <c r="P3" s="1316"/>
      <c r="Q3" s="1317"/>
    </row>
    <row r="4" spans="2:17" s="222" customFormat="1" ht="19.5" customHeight="1" thickBot="1">
      <c r="B4" s="1322" t="str">
        <f>CPYG!B3</f>
        <v>ENTIDAD: ENTIDAD PÚBLICA EMPRESARIAL LOCAL BALSAS DE TENERIFE, BALTEN</v>
      </c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09" t="s">
        <v>322</v>
      </c>
      <c r="P4" s="1310"/>
      <c r="Q4" s="1311"/>
    </row>
    <row r="5" spans="2:17" s="222" customFormat="1" ht="23.25" customHeight="1">
      <c r="B5" s="1318" t="s">
        <v>323</v>
      </c>
      <c r="C5" s="1319"/>
      <c r="D5" s="828"/>
      <c r="E5" s="828"/>
      <c r="F5" s="828"/>
      <c r="G5" s="829"/>
      <c r="H5" s="1318" t="s">
        <v>324</v>
      </c>
      <c r="I5" s="1319"/>
      <c r="J5" s="1319"/>
      <c r="K5" s="1319"/>
      <c r="L5" s="1320"/>
      <c r="M5" s="1318" t="s">
        <v>502</v>
      </c>
      <c r="N5" s="1319"/>
      <c r="O5" s="1319"/>
      <c r="P5" s="1319"/>
      <c r="Q5" s="1320"/>
    </row>
    <row r="6" spans="2:17" s="222" customFormat="1" ht="53.25" customHeight="1" thickBot="1">
      <c r="B6" s="830" t="s">
        <v>325</v>
      </c>
      <c r="C6" s="691" t="s">
        <v>326</v>
      </c>
      <c r="D6" s="831" t="s">
        <v>327</v>
      </c>
      <c r="E6" s="831" t="s">
        <v>328</v>
      </c>
      <c r="F6" s="831" t="s">
        <v>329</v>
      </c>
      <c r="G6" s="832" t="s">
        <v>497</v>
      </c>
      <c r="H6" s="691">
        <v>2017</v>
      </c>
      <c r="I6" s="691">
        <v>2018</v>
      </c>
      <c r="J6" s="691">
        <v>2019</v>
      </c>
      <c r="K6" s="691">
        <v>2020</v>
      </c>
      <c r="L6" s="692" t="s">
        <v>330</v>
      </c>
      <c r="M6" s="691">
        <v>2017</v>
      </c>
      <c r="N6" s="691">
        <v>2018</v>
      </c>
      <c r="O6" s="691">
        <v>2019</v>
      </c>
      <c r="P6" s="691">
        <v>2020</v>
      </c>
      <c r="Q6" s="692" t="s">
        <v>330</v>
      </c>
    </row>
    <row r="7" spans="2:17" s="222" customFormat="1" ht="19.5" customHeight="1">
      <c r="B7" s="833">
        <v>21</v>
      </c>
      <c r="C7" s="834" t="s">
        <v>895</v>
      </c>
      <c r="D7" s="1031">
        <v>2016</v>
      </c>
      <c r="E7" s="1031">
        <v>2016</v>
      </c>
      <c r="F7" s="835">
        <v>1419456.44</v>
      </c>
      <c r="G7" s="836">
        <f aca="true" t="shared" si="0" ref="G7:G12">F7</f>
        <v>1419456.44</v>
      </c>
      <c r="H7" s="837">
        <v>0</v>
      </c>
      <c r="I7" s="835">
        <v>0</v>
      </c>
      <c r="J7" s="835">
        <v>0</v>
      </c>
      <c r="K7" s="835">
        <v>0</v>
      </c>
      <c r="L7" s="836">
        <v>0</v>
      </c>
      <c r="M7" s="837">
        <v>203122.63</v>
      </c>
      <c r="N7" s="835"/>
      <c r="O7" s="835"/>
      <c r="P7" s="835"/>
      <c r="Q7" s="836"/>
    </row>
    <row r="8" spans="2:17" s="222" customFormat="1" ht="19.5" customHeight="1">
      <c r="B8" s="838">
        <v>210</v>
      </c>
      <c r="C8" s="827" t="s">
        <v>896</v>
      </c>
      <c r="D8" s="1032">
        <v>2016</v>
      </c>
      <c r="E8" s="1032">
        <v>2016</v>
      </c>
      <c r="F8" s="839">
        <v>9687.98</v>
      </c>
      <c r="G8" s="840">
        <f t="shared" si="0"/>
        <v>9687.98</v>
      </c>
      <c r="H8" s="841">
        <v>0</v>
      </c>
      <c r="I8" s="839">
        <v>0</v>
      </c>
      <c r="J8" s="839">
        <v>0</v>
      </c>
      <c r="K8" s="839">
        <v>0</v>
      </c>
      <c r="L8" s="840">
        <v>0</v>
      </c>
      <c r="M8" s="841"/>
      <c r="N8" s="839"/>
      <c r="O8" s="839"/>
      <c r="P8" s="839"/>
      <c r="Q8" s="840"/>
    </row>
    <row r="9" spans="2:17" s="222" customFormat="1" ht="19.5" customHeight="1">
      <c r="B9" s="838">
        <v>21</v>
      </c>
      <c r="C9" s="827" t="s">
        <v>902</v>
      </c>
      <c r="D9" s="1032">
        <v>2016</v>
      </c>
      <c r="E9" s="1032">
        <v>2016</v>
      </c>
      <c r="F9" s="839">
        <v>80400</v>
      </c>
      <c r="G9" s="840">
        <f t="shared" si="0"/>
        <v>80400</v>
      </c>
      <c r="H9" s="841">
        <v>0</v>
      </c>
      <c r="I9" s="839">
        <v>0</v>
      </c>
      <c r="J9" s="839">
        <v>0</v>
      </c>
      <c r="K9" s="839">
        <v>0</v>
      </c>
      <c r="L9" s="840">
        <v>0</v>
      </c>
      <c r="M9" s="841"/>
      <c r="N9" s="839"/>
      <c r="O9" s="839"/>
      <c r="P9" s="839"/>
      <c r="Q9" s="840"/>
    </row>
    <row r="10" spans="2:17" s="222" customFormat="1" ht="19.5" customHeight="1">
      <c r="B10" s="838">
        <v>21</v>
      </c>
      <c r="C10" s="827" t="s">
        <v>897</v>
      </c>
      <c r="D10" s="1032">
        <v>2016</v>
      </c>
      <c r="E10" s="1032">
        <v>2016</v>
      </c>
      <c r="F10" s="839">
        <v>41350</v>
      </c>
      <c r="G10" s="840">
        <f t="shared" si="0"/>
        <v>41350</v>
      </c>
      <c r="H10" s="841">
        <v>0</v>
      </c>
      <c r="I10" s="839">
        <v>0</v>
      </c>
      <c r="J10" s="839">
        <v>0</v>
      </c>
      <c r="K10" s="839">
        <v>0</v>
      </c>
      <c r="L10" s="840">
        <v>0</v>
      </c>
      <c r="M10" s="841"/>
      <c r="N10" s="839"/>
      <c r="O10" s="839"/>
      <c r="P10" s="839"/>
      <c r="Q10" s="840"/>
    </row>
    <row r="11" spans="2:17" s="222" customFormat="1" ht="19.5" customHeight="1">
      <c r="B11" s="838">
        <v>21</v>
      </c>
      <c r="C11" s="827" t="s">
        <v>898</v>
      </c>
      <c r="D11" s="1032">
        <v>2016</v>
      </c>
      <c r="E11" s="1032">
        <v>2016</v>
      </c>
      <c r="F11" s="839">
        <f>95432.53-15672.8-9984.1</f>
        <v>69775.62999999999</v>
      </c>
      <c r="G11" s="840">
        <f t="shared" si="0"/>
        <v>69775.62999999999</v>
      </c>
      <c r="H11" s="841">
        <v>0</v>
      </c>
      <c r="I11" s="839">
        <v>0</v>
      </c>
      <c r="J11" s="839">
        <v>0</v>
      </c>
      <c r="K11" s="839">
        <v>0</v>
      </c>
      <c r="L11" s="840">
        <v>0</v>
      </c>
      <c r="M11" s="841"/>
      <c r="N11" s="839"/>
      <c r="O11" s="839"/>
      <c r="P11" s="839"/>
      <c r="Q11" s="840"/>
    </row>
    <row r="12" spans="2:17" s="222" customFormat="1" ht="19.5" customHeight="1">
      <c r="B12" s="838">
        <v>206</v>
      </c>
      <c r="C12" s="827" t="s">
        <v>899</v>
      </c>
      <c r="D12" s="1032">
        <v>2016</v>
      </c>
      <c r="E12" s="1032">
        <v>2016</v>
      </c>
      <c r="F12" s="839">
        <f>15672.8+9984.1</f>
        <v>25656.9</v>
      </c>
      <c r="G12" s="840">
        <f t="shared" si="0"/>
        <v>25656.9</v>
      </c>
      <c r="H12" s="841">
        <v>0</v>
      </c>
      <c r="I12" s="839">
        <v>0</v>
      </c>
      <c r="J12" s="839">
        <v>0</v>
      </c>
      <c r="K12" s="839">
        <v>0</v>
      </c>
      <c r="L12" s="840">
        <v>0</v>
      </c>
      <c r="M12" s="841"/>
      <c r="N12" s="839"/>
      <c r="O12" s="839"/>
      <c r="P12" s="839"/>
      <c r="Q12" s="840"/>
    </row>
    <row r="13" spans="2:17" s="222" customFormat="1" ht="19.5" customHeight="1">
      <c r="B13" s="838">
        <v>21</v>
      </c>
      <c r="C13" s="827" t="s">
        <v>900</v>
      </c>
      <c r="D13" s="1032">
        <v>2017</v>
      </c>
      <c r="E13" s="1032">
        <v>2017</v>
      </c>
      <c r="F13" s="839">
        <v>100000</v>
      </c>
      <c r="G13" s="840">
        <v>0</v>
      </c>
      <c r="H13" s="841">
        <v>100000</v>
      </c>
      <c r="I13" s="839">
        <v>0</v>
      </c>
      <c r="J13" s="839">
        <v>0</v>
      </c>
      <c r="K13" s="839">
        <v>0</v>
      </c>
      <c r="L13" s="840">
        <v>0</v>
      </c>
      <c r="M13" s="841"/>
      <c r="N13" s="839"/>
      <c r="O13" s="839"/>
      <c r="P13" s="839"/>
      <c r="Q13" s="840"/>
    </row>
    <row r="14" spans="2:17" s="222" customFormat="1" ht="19.5" customHeight="1">
      <c r="B14" s="838">
        <v>206</v>
      </c>
      <c r="C14" s="827" t="s">
        <v>901</v>
      </c>
      <c r="D14" s="1032">
        <v>2017</v>
      </c>
      <c r="E14" s="1032">
        <v>2017</v>
      </c>
      <c r="F14" s="839">
        <v>25000</v>
      </c>
      <c r="G14" s="840">
        <v>0</v>
      </c>
      <c r="H14" s="841">
        <v>25000</v>
      </c>
      <c r="I14" s="839">
        <v>0</v>
      </c>
      <c r="J14" s="839">
        <v>0</v>
      </c>
      <c r="K14" s="839">
        <v>0</v>
      </c>
      <c r="L14" s="840">
        <v>0</v>
      </c>
      <c r="M14" s="841"/>
      <c r="N14" s="839"/>
      <c r="O14" s="839"/>
      <c r="P14" s="839"/>
      <c r="Q14" s="840"/>
    </row>
    <row r="15" spans="2:17" s="222" customFormat="1" ht="19.5" customHeight="1">
      <c r="B15" s="838">
        <v>21</v>
      </c>
      <c r="C15" s="827" t="s">
        <v>903</v>
      </c>
      <c r="D15" s="1032">
        <v>2017</v>
      </c>
      <c r="E15" s="1032">
        <v>2017</v>
      </c>
      <c r="F15" s="839">
        <v>100000</v>
      </c>
      <c r="G15" s="840">
        <v>0</v>
      </c>
      <c r="H15" s="841">
        <v>100000</v>
      </c>
      <c r="I15" s="839">
        <v>0</v>
      </c>
      <c r="J15" s="839">
        <v>0</v>
      </c>
      <c r="K15" s="839">
        <v>0</v>
      </c>
      <c r="L15" s="840">
        <v>0</v>
      </c>
      <c r="M15" s="841"/>
      <c r="N15" s="839"/>
      <c r="O15" s="839"/>
      <c r="P15" s="839"/>
      <c r="Q15" s="840"/>
    </row>
    <row r="16" spans="2:17" s="222" customFormat="1" ht="19.5" customHeight="1">
      <c r="B16" s="838">
        <v>21</v>
      </c>
      <c r="C16" s="827" t="s">
        <v>904</v>
      </c>
      <c r="D16" s="1032">
        <v>2017</v>
      </c>
      <c r="E16" s="1032">
        <v>2017</v>
      </c>
      <c r="F16" s="839">
        <f>600000-400000</f>
        <v>200000</v>
      </c>
      <c r="G16" s="840">
        <v>0</v>
      </c>
      <c r="H16" s="841">
        <f>600000-400000</f>
        <v>200000</v>
      </c>
      <c r="I16" s="839">
        <v>0</v>
      </c>
      <c r="J16" s="839">
        <v>0</v>
      </c>
      <c r="K16" s="839">
        <v>0</v>
      </c>
      <c r="L16" s="840">
        <v>0</v>
      </c>
      <c r="M16" s="841"/>
      <c r="N16" s="839"/>
      <c r="O16" s="839"/>
      <c r="P16" s="839"/>
      <c r="Q16" s="840"/>
    </row>
    <row r="17" spans="2:17" s="222" customFormat="1" ht="30" customHeight="1">
      <c r="B17" s="838">
        <v>21</v>
      </c>
      <c r="C17" s="1030" t="s">
        <v>905</v>
      </c>
      <c r="D17" s="1032">
        <v>2017</v>
      </c>
      <c r="E17" s="1032">
        <v>2018</v>
      </c>
      <c r="F17" s="839">
        <v>3911560.05</v>
      </c>
      <c r="G17" s="840">
        <v>0</v>
      </c>
      <c r="H17" s="841">
        <v>0</v>
      </c>
      <c r="I17" s="839">
        <f>1011560.05+2900000</f>
        <v>3911560.05</v>
      </c>
      <c r="J17" s="839">
        <v>0</v>
      </c>
      <c r="K17" s="839">
        <v>0</v>
      </c>
      <c r="L17" s="840">
        <v>0</v>
      </c>
      <c r="M17" s="841">
        <v>0</v>
      </c>
      <c r="N17" s="839">
        <f>1011560.05+2900000</f>
        <v>3911560.05</v>
      </c>
      <c r="O17" s="839"/>
      <c r="P17" s="839"/>
      <c r="Q17" s="840"/>
    </row>
    <row r="18" spans="2:17" s="222" customFormat="1" ht="19.5" customHeight="1">
      <c r="B18" s="838">
        <v>21</v>
      </c>
      <c r="C18" s="1030" t="s">
        <v>994</v>
      </c>
      <c r="D18" s="827">
        <v>2017</v>
      </c>
      <c r="E18" s="827">
        <v>2017</v>
      </c>
      <c r="F18" s="839">
        <v>300000</v>
      </c>
      <c r="G18" s="840">
        <v>0</v>
      </c>
      <c r="H18" s="841">
        <v>300000</v>
      </c>
      <c r="I18" s="839">
        <v>0</v>
      </c>
      <c r="J18" s="839">
        <v>0</v>
      </c>
      <c r="K18" s="839">
        <v>0</v>
      </c>
      <c r="L18" s="840">
        <v>0</v>
      </c>
      <c r="M18" s="841">
        <v>0</v>
      </c>
      <c r="N18" s="839">
        <v>0</v>
      </c>
      <c r="O18" s="839">
        <v>0</v>
      </c>
      <c r="P18" s="839">
        <v>0</v>
      </c>
      <c r="Q18" s="840">
        <v>0</v>
      </c>
    </row>
    <row r="19" spans="2:17" s="222" customFormat="1" ht="19.5" customHeight="1">
      <c r="B19" s="838"/>
      <c r="C19" s="827"/>
      <c r="D19" s="827"/>
      <c r="E19" s="827"/>
      <c r="F19" s="839"/>
      <c r="G19" s="840"/>
      <c r="H19" s="841"/>
      <c r="I19" s="839"/>
      <c r="J19" s="839"/>
      <c r="K19" s="839"/>
      <c r="L19" s="840"/>
      <c r="M19" s="841"/>
      <c r="N19" s="839"/>
      <c r="O19" s="839"/>
      <c r="P19" s="839"/>
      <c r="Q19" s="840"/>
    </row>
    <row r="20" spans="2:17" s="222" customFormat="1" ht="19.5" customHeight="1">
      <c r="B20" s="838"/>
      <c r="C20" s="827" t="s">
        <v>906</v>
      </c>
      <c r="D20" s="827"/>
      <c r="E20" s="827"/>
      <c r="F20" s="839"/>
      <c r="G20" s="840"/>
      <c r="H20" s="841"/>
      <c r="I20" s="839"/>
      <c r="J20" s="839"/>
      <c r="K20" s="839"/>
      <c r="L20" s="840"/>
      <c r="M20" s="841">
        <v>500000</v>
      </c>
      <c r="N20" s="839">
        <v>500000</v>
      </c>
      <c r="O20" s="839"/>
      <c r="P20" s="839"/>
      <c r="Q20" s="840"/>
    </row>
    <row r="21" spans="2:17" s="222" customFormat="1" ht="19.5" customHeight="1">
      <c r="B21" s="838"/>
      <c r="C21" s="827"/>
      <c r="D21" s="827"/>
      <c r="E21" s="827"/>
      <c r="F21" s="839"/>
      <c r="G21" s="840"/>
      <c r="H21" s="841"/>
      <c r="I21" s="839"/>
      <c r="J21" s="839"/>
      <c r="K21" s="839"/>
      <c r="L21" s="840"/>
      <c r="M21" s="841"/>
      <c r="N21" s="839"/>
      <c r="O21" s="839"/>
      <c r="P21" s="839"/>
      <c r="Q21" s="840"/>
    </row>
    <row r="22" spans="2:17" s="222" customFormat="1" ht="19.5" customHeight="1">
      <c r="B22" s="838"/>
      <c r="C22" s="827"/>
      <c r="D22" s="827"/>
      <c r="E22" s="827"/>
      <c r="F22" s="839"/>
      <c r="G22" s="840"/>
      <c r="H22" s="841"/>
      <c r="I22" s="839"/>
      <c r="J22" s="839"/>
      <c r="K22" s="839"/>
      <c r="L22" s="840"/>
      <c r="M22" s="841"/>
      <c r="N22" s="839"/>
      <c r="O22" s="839"/>
      <c r="P22" s="839"/>
      <c r="Q22" s="840"/>
    </row>
    <row r="23" spans="2:17" s="222" customFormat="1" ht="19.5" customHeight="1">
      <c r="B23" s="838"/>
      <c r="C23" s="827"/>
      <c r="D23" s="827"/>
      <c r="E23" s="827"/>
      <c r="F23" s="839"/>
      <c r="G23" s="840"/>
      <c r="H23" s="841"/>
      <c r="I23" s="839"/>
      <c r="J23" s="839"/>
      <c r="K23" s="839"/>
      <c r="L23" s="840"/>
      <c r="M23" s="841"/>
      <c r="N23" s="839"/>
      <c r="O23" s="839"/>
      <c r="P23" s="839"/>
      <c r="Q23" s="840"/>
    </row>
    <row r="24" spans="2:17" s="222" customFormat="1" ht="19.5" customHeight="1">
      <c r="B24" s="838"/>
      <c r="C24" s="827"/>
      <c r="D24" s="827"/>
      <c r="E24" s="827"/>
      <c r="F24" s="839"/>
      <c r="G24" s="840"/>
      <c r="H24" s="841"/>
      <c r="I24" s="839"/>
      <c r="J24" s="839"/>
      <c r="K24" s="839"/>
      <c r="L24" s="840"/>
      <c r="M24" s="841"/>
      <c r="N24" s="839"/>
      <c r="O24" s="839"/>
      <c r="P24" s="839"/>
      <c r="Q24" s="840"/>
    </row>
    <row r="25" spans="2:17" s="222" customFormat="1" ht="19.5" customHeight="1">
      <c r="B25" s="838"/>
      <c r="C25" s="827"/>
      <c r="D25" s="827"/>
      <c r="E25" s="827"/>
      <c r="F25" s="839"/>
      <c r="G25" s="840"/>
      <c r="H25" s="841"/>
      <c r="I25" s="839"/>
      <c r="J25" s="839"/>
      <c r="K25" s="839"/>
      <c r="L25" s="840"/>
      <c r="M25" s="841"/>
      <c r="N25" s="839"/>
      <c r="O25" s="839"/>
      <c r="P25" s="839"/>
      <c r="Q25" s="840"/>
    </row>
    <row r="26" spans="2:17" s="222" customFormat="1" ht="19.5" customHeight="1">
      <c r="B26" s="838"/>
      <c r="C26" s="827"/>
      <c r="D26" s="827"/>
      <c r="E26" s="827"/>
      <c r="F26" s="839"/>
      <c r="G26" s="840"/>
      <c r="H26" s="841"/>
      <c r="I26" s="839"/>
      <c r="J26" s="839"/>
      <c r="K26" s="839"/>
      <c r="L26" s="840"/>
      <c r="M26" s="841"/>
      <c r="N26" s="839"/>
      <c r="O26" s="839"/>
      <c r="P26" s="839"/>
      <c r="Q26" s="840"/>
    </row>
    <row r="27" spans="2:17" s="815" customFormat="1" ht="19.5" customHeight="1" thickBot="1">
      <c r="B27" s="842"/>
      <c r="C27" s="843" t="s">
        <v>907</v>
      </c>
      <c r="D27" s="844"/>
      <c r="E27" s="844"/>
      <c r="F27" s="845">
        <f aca="true" t="shared" si="1" ref="F27:P27">SUM(F7:F26)</f>
        <v>6282887</v>
      </c>
      <c r="G27" s="846">
        <f t="shared" si="1"/>
        <v>1646326.9499999997</v>
      </c>
      <c r="H27" s="847">
        <f>SUM(H7:H26)</f>
        <v>725000</v>
      </c>
      <c r="I27" s="845">
        <f t="shared" si="1"/>
        <v>3911560.05</v>
      </c>
      <c r="J27" s="845">
        <f t="shared" si="1"/>
        <v>0</v>
      </c>
      <c r="K27" s="845">
        <f t="shared" si="1"/>
        <v>0</v>
      </c>
      <c r="L27" s="846">
        <f t="shared" si="1"/>
        <v>0</v>
      </c>
      <c r="M27" s="847">
        <f t="shared" si="1"/>
        <v>703122.63</v>
      </c>
      <c r="N27" s="845">
        <f t="shared" si="1"/>
        <v>4411560.05</v>
      </c>
      <c r="O27" s="845">
        <f t="shared" si="1"/>
        <v>0</v>
      </c>
      <c r="P27" s="845">
        <f t="shared" si="1"/>
        <v>0</v>
      </c>
      <c r="Q27" s="846"/>
    </row>
    <row r="28" spans="2:7" s="222" customFormat="1" ht="12.75">
      <c r="B28" s="817"/>
      <c r="C28" s="817"/>
      <c r="D28" s="817"/>
      <c r="E28" s="817"/>
      <c r="F28" s="817"/>
      <c r="G28" s="817"/>
    </row>
    <row r="29" s="222" customFormat="1" ht="12.75">
      <c r="B29" s="222" t="s">
        <v>331</v>
      </c>
    </row>
    <row r="30" spans="2:11" s="222" customFormat="1" ht="12.75">
      <c r="B30" s="1321" t="s">
        <v>332</v>
      </c>
      <c r="C30" s="1321"/>
      <c r="D30" s="1321"/>
      <c r="E30" s="1321"/>
      <c r="F30" s="1321"/>
      <c r="G30" s="1321"/>
      <c r="H30" s="1321"/>
      <c r="I30" s="1321"/>
      <c r="J30" s="1321"/>
      <c r="K30" s="1321"/>
    </row>
    <row r="31" spans="2:10" s="222" customFormat="1" ht="12.75">
      <c r="B31" s="1321" t="s">
        <v>333</v>
      </c>
      <c r="C31" s="1321"/>
      <c r="D31" s="1321"/>
      <c r="E31" s="1321"/>
      <c r="F31" s="1321"/>
      <c r="G31" s="1321"/>
      <c r="H31" s="1321"/>
      <c r="I31" s="1321"/>
      <c r="J31" s="1321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fitToHeight="1" fitToWidth="1" horizontalDpi="600" verticalDpi="600" orientation="landscape" paperSize="9" scale="4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4"/>
  <sheetViews>
    <sheetView zoomScale="70" zoomScaleNormal="70" zoomScalePageLayoutView="0" workbookViewId="0" topLeftCell="A1">
      <selection activeCell="O1" sqref="O1:R16384"/>
    </sheetView>
  </sheetViews>
  <sheetFormatPr defaultColWidth="11.421875" defaultRowHeight="12.75"/>
  <cols>
    <col min="1" max="1" width="1.421875" style="216" customWidth="1"/>
    <col min="2" max="2" width="26.00390625" style="216" customWidth="1"/>
    <col min="3" max="3" width="20.28125" style="216" customWidth="1"/>
    <col min="4" max="4" width="18.7109375" style="216" customWidth="1"/>
    <col min="5" max="5" width="15.28125" style="216" customWidth="1"/>
    <col min="6" max="6" width="14.140625" style="216" customWidth="1"/>
    <col min="7" max="7" width="18.00390625" style="216" bestFit="1" customWidth="1"/>
    <col min="8" max="8" width="14.7109375" style="216" customWidth="1"/>
    <col min="9" max="9" width="16.28125" style="216" bestFit="1" customWidth="1"/>
    <col min="10" max="10" width="17.7109375" style="216" customWidth="1"/>
    <col min="11" max="11" width="22.140625" style="216" customWidth="1"/>
    <col min="12" max="12" width="21.421875" style="216" customWidth="1"/>
    <col min="13" max="13" width="2.7109375" style="216" customWidth="1"/>
    <col min="14" max="14" width="13.28125" style="216" bestFit="1" customWidth="1"/>
    <col min="15" max="18" width="0" style="216" hidden="1" customWidth="1"/>
    <col min="19" max="16384" width="11.421875" style="216" customWidth="1"/>
  </cols>
  <sheetData>
    <row r="1" spans="2:12" ht="42" customHeight="1">
      <c r="B1" s="1333" t="s">
        <v>213</v>
      </c>
      <c r="C1" s="1334"/>
      <c r="D1" s="1334"/>
      <c r="E1" s="1334"/>
      <c r="F1" s="1334"/>
      <c r="G1" s="1334"/>
      <c r="H1" s="1334"/>
      <c r="I1" s="1334"/>
      <c r="J1" s="1334"/>
      <c r="K1" s="1335">
        <f>CPYG!E2</f>
        <v>2017</v>
      </c>
      <c r="L1" s="1336"/>
    </row>
    <row r="2" spans="2:12" ht="51" customHeight="1">
      <c r="B2" s="1340" t="str">
        <f>CPYG!B3</f>
        <v>ENTIDAD: ENTIDAD PÚBLICA EMPRESARIAL LOCAL BALSAS DE TENERIFE, BALTEN</v>
      </c>
      <c r="C2" s="1341"/>
      <c r="D2" s="1341"/>
      <c r="E2" s="1341"/>
      <c r="F2" s="1341"/>
      <c r="G2" s="1341"/>
      <c r="H2" s="1341"/>
      <c r="I2" s="1341"/>
      <c r="J2" s="1341"/>
      <c r="K2" s="1325" t="s">
        <v>200</v>
      </c>
      <c r="L2" s="1326"/>
    </row>
    <row r="3" spans="2:12" s="217" customFormat="1" ht="27" customHeight="1">
      <c r="B3" s="1337" t="s">
        <v>792</v>
      </c>
      <c r="C3" s="1338"/>
      <c r="D3" s="1338"/>
      <c r="E3" s="1338"/>
      <c r="F3" s="1338"/>
      <c r="G3" s="1338"/>
      <c r="H3" s="1338"/>
      <c r="I3" s="1338"/>
      <c r="J3" s="1338"/>
      <c r="K3" s="1338"/>
      <c r="L3" s="1339"/>
    </row>
    <row r="4" spans="2:12" ht="19.5" customHeight="1">
      <c r="B4" s="1330" t="s">
        <v>459</v>
      </c>
      <c r="C4" s="1331" t="s">
        <v>503</v>
      </c>
      <c r="D4" s="476"/>
      <c r="E4" s="1331"/>
      <c r="F4" s="1331"/>
      <c r="G4" s="1331"/>
      <c r="H4" s="1331"/>
      <c r="I4" s="1331"/>
      <c r="J4" s="1331"/>
      <c r="K4" s="1331" t="s">
        <v>674</v>
      </c>
      <c r="L4" s="1332" t="s">
        <v>412</v>
      </c>
    </row>
    <row r="5" spans="2:18" ht="64.5" customHeight="1">
      <c r="B5" s="1330"/>
      <c r="C5" s="1331"/>
      <c r="D5" s="476" t="s">
        <v>413</v>
      </c>
      <c r="E5" s="476" t="s">
        <v>612</v>
      </c>
      <c r="F5" s="476" t="s">
        <v>414</v>
      </c>
      <c r="G5" s="476" t="s">
        <v>683</v>
      </c>
      <c r="H5" s="476" t="s">
        <v>415</v>
      </c>
      <c r="I5" s="476" t="s">
        <v>416</v>
      </c>
      <c r="J5" s="476" t="s">
        <v>417</v>
      </c>
      <c r="K5" s="1331"/>
      <c r="L5" s="1332"/>
      <c r="O5" s="802" t="s">
        <v>887</v>
      </c>
      <c r="P5" s="802" t="s">
        <v>888</v>
      </c>
      <c r="Q5" s="802" t="s">
        <v>889</v>
      </c>
      <c r="R5" s="802"/>
    </row>
    <row r="6" spans="2:12" ht="12.75">
      <c r="B6" s="1327"/>
      <c r="C6" s="1328"/>
      <c r="D6" s="1328"/>
      <c r="E6" s="1328"/>
      <c r="F6" s="1328"/>
      <c r="G6" s="1328"/>
      <c r="H6" s="1328"/>
      <c r="I6" s="1328"/>
      <c r="J6" s="1328"/>
      <c r="K6" s="1328"/>
      <c r="L6" s="1329"/>
    </row>
    <row r="7" spans="2:20" ht="33" customHeight="1">
      <c r="B7" s="477" t="s">
        <v>418</v>
      </c>
      <c r="C7" s="498">
        <v>42925.27</v>
      </c>
      <c r="D7" s="489">
        <v>25656.9</v>
      </c>
      <c r="E7" s="489"/>
      <c r="F7" s="489"/>
      <c r="G7" s="489">
        <v>-12523.34</v>
      </c>
      <c r="H7" s="489"/>
      <c r="I7" s="489"/>
      <c r="J7" s="489"/>
      <c r="K7" s="498">
        <f>SUM(C7:J7)</f>
        <v>56058.83</v>
      </c>
      <c r="L7" s="490"/>
      <c r="N7" s="800"/>
      <c r="O7" s="800">
        <f>C7-ACTIVO!C7</f>
        <v>0</v>
      </c>
      <c r="P7" s="800">
        <f>K7-ACTIVO!D7</f>
        <v>0</v>
      </c>
      <c r="Q7" s="800">
        <f>G7-CPYG!D43</f>
        <v>0</v>
      </c>
      <c r="R7" s="800"/>
      <c r="S7" s="800"/>
      <c r="T7" s="800"/>
    </row>
    <row r="8" spans="2:20" ht="39" customHeight="1">
      <c r="B8" s="477" t="s">
        <v>54</v>
      </c>
      <c r="C8" s="498">
        <v>42061498.46</v>
      </c>
      <c r="D8" s="489">
        <v>1604745.07</v>
      </c>
      <c r="E8" s="489"/>
      <c r="F8" s="489"/>
      <c r="G8" s="489">
        <v>-2570895.23</v>
      </c>
      <c r="H8" s="489"/>
      <c r="I8" s="489"/>
      <c r="J8" s="489"/>
      <c r="K8" s="498">
        <f>SUM(C8:J8)</f>
        <v>41095348.300000004</v>
      </c>
      <c r="L8" s="490"/>
      <c r="N8" s="800"/>
      <c r="O8" s="800">
        <f>C8-ACTIVO!C14-ACTIVO!C15</f>
        <v>0</v>
      </c>
      <c r="P8" s="800">
        <f>K8-ACTIVO!D14-ACTIVO!D15</f>
        <v>0</v>
      </c>
      <c r="Q8" s="800">
        <f>G8-CPYG!D44</f>
        <v>0</v>
      </c>
      <c r="R8" s="800"/>
      <c r="S8" s="800"/>
      <c r="T8" s="800"/>
    </row>
    <row r="9" spans="2:20" ht="45" customHeight="1">
      <c r="B9" s="478" t="s">
        <v>419</v>
      </c>
      <c r="C9" s="498"/>
      <c r="D9" s="489"/>
      <c r="E9" s="489"/>
      <c r="F9" s="489"/>
      <c r="G9" s="489"/>
      <c r="H9" s="489"/>
      <c r="I9" s="489"/>
      <c r="J9" s="489"/>
      <c r="K9" s="498">
        <f>SUM(C9:J9)</f>
        <v>0</v>
      </c>
      <c r="L9" s="491"/>
      <c r="N9" s="800"/>
      <c r="O9" s="800">
        <f>C9-ACTIVO!C18</f>
        <v>0</v>
      </c>
      <c r="P9" s="800">
        <f>K9-ACTIVO!D18</f>
        <v>0</v>
      </c>
      <c r="Q9" s="800">
        <f>G9-CPYG!D45</f>
        <v>0</v>
      </c>
      <c r="R9" s="800"/>
      <c r="S9" s="800"/>
      <c r="T9" s="800"/>
    </row>
    <row r="10" spans="2:20" ht="20.25" customHeight="1">
      <c r="B10" s="478" t="s">
        <v>420</v>
      </c>
      <c r="C10" s="498">
        <v>1071420.72</v>
      </c>
      <c r="D10" s="489">
        <v>15924.98</v>
      </c>
      <c r="E10" s="489"/>
      <c r="F10" s="489"/>
      <c r="G10" s="489"/>
      <c r="H10" s="489"/>
      <c r="I10" s="489"/>
      <c r="J10" s="489"/>
      <c r="K10" s="498">
        <f>SUM(C10:J10)</f>
        <v>1087345.7</v>
      </c>
      <c r="L10" s="491"/>
      <c r="N10" s="800"/>
      <c r="O10" s="800">
        <f>C10-ACTIVO!C13-ACTIVO!C17</f>
        <v>0</v>
      </c>
      <c r="P10" s="800">
        <f>K10-ACTIVO!D13-ACTIVO!D17</f>
        <v>0</v>
      </c>
      <c r="Q10" s="800"/>
      <c r="R10" s="800"/>
      <c r="S10" s="800"/>
      <c r="T10" s="800"/>
    </row>
    <row r="11" spans="2:20" s="218" customFormat="1" ht="23.25" customHeight="1">
      <c r="B11" s="478" t="s">
        <v>144</v>
      </c>
      <c r="C11" s="499">
        <f>SUM(C7:C10)</f>
        <v>43175844.45</v>
      </c>
      <c r="D11" s="499">
        <f aca="true" t="shared" si="0" ref="D11:K11">SUM(D7:D10)</f>
        <v>1646326.95</v>
      </c>
      <c r="E11" s="499">
        <f t="shared" si="0"/>
        <v>0</v>
      </c>
      <c r="F11" s="499">
        <f t="shared" si="0"/>
        <v>0</v>
      </c>
      <c r="G11" s="499">
        <f t="shared" si="0"/>
        <v>-2583418.57</v>
      </c>
      <c r="H11" s="499">
        <f t="shared" si="0"/>
        <v>0</v>
      </c>
      <c r="I11" s="499">
        <f t="shared" si="0"/>
        <v>0</v>
      </c>
      <c r="J11" s="499">
        <f t="shared" si="0"/>
        <v>0</v>
      </c>
      <c r="K11" s="499">
        <f t="shared" si="0"/>
        <v>42238752.830000006</v>
      </c>
      <c r="L11" s="492"/>
      <c r="N11" s="801"/>
      <c r="O11" s="801"/>
      <c r="P11" s="801"/>
      <c r="Q11" s="801">
        <f>G11-CPYG!D42</f>
        <v>0</v>
      </c>
      <c r="R11" s="801"/>
      <c r="S11" s="801"/>
      <c r="T11" s="801"/>
    </row>
    <row r="12" spans="2:20" ht="20.25" customHeight="1">
      <c r="B12" s="478" t="s">
        <v>421</v>
      </c>
      <c r="C12" s="498">
        <f>ACTIVO!C30</f>
        <v>590309.78</v>
      </c>
      <c r="D12" s="489"/>
      <c r="E12" s="489"/>
      <c r="F12" s="489"/>
      <c r="G12" s="489"/>
      <c r="H12" s="489"/>
      <c r="I12" s="489"/>
      <c r="J12" s="489">
        <f>-28845.9-123438.79</f>
        <v>-152284.69</v>
      </c>
      <c r="K12" s="498">
        <f>SUM(C12:J12)</f>
        <v>438025.09</v>
      </c>
      <c r="L12" s="491" t="s">
        <v>886</v>
      </c>
      <c r="N12" s="800"/>
      <c r="O12" s="800">
        <f>C12-ACTIVO!C30</f>
        <v>0</v>
      </c>
      <c r="P12" s="800">
        <f>K12-ACTIVO!D30</f>
        <v>0</v>
      </c>
      <c r="Q12" s="800"/>
      <c r="R12" s="800"/>
      <c r="S12" s="800"/>
      <c r="T12" s="800"/>
    </row>
    <row r="13" spans="2:20" ht="26.25" customHeight="1">
      <c r="B13" s="479"/>
      <c r="C13" s="493"/>
      <c r="D13" s="493"/>
      <c r="E13" s="493"/>
      <c r="F13" s="493"/>
      <c r="G13" s="493"/>
      <c r="H13" s="493"/>
      <c r="I13" s="493"/>
      <c r="J13" s="493"/>
      <c r="K13" s="494"/>
      <c r="L13" s="495"/>
      <c r="N13" s="800"/>
      <c r="O13" s="800">
        <f>C11+C12-ACTIVO!C7-ACTIVO!C12-ACTIVO!C16-ACTIVO!C30</f>
        <v>1.1641532182693481E-09</v>
      </c>
      <c r="P13" s="800">
        <f>K12+K11-ACTIVO!D7-ACTIVO!D12-ACTIVO!D16-ACTIVO!D30</f>
        <v>1.100124791264534E-08</v>
      </c>
      <c r="Q13" s="800"/>
      <c r="R13" s="800"/>
      <c r="S13" s="800"/>
      <c r="T13" s="800"/>
    </row>
    <row r="14" spans="2:20" ht="19.5" customHeight="1">
      <c r="B14" s="1330" t="s">
        <v>500</v>
      </c>
      <c r="C14" s="1331" t="s">
        <v>504</v>
      </c>
      <c r="D14" s="476"/>
      <c r="E14" s="1331"/>
      <c r="F14" s="1331"/>
      <c r="G14" s="1331"/>
      <c r="H14" s="1331"/>
      <c r="I14" s="1331"/>
      <c r="J14" s="1331"/>
      <c r="K14" s="1331" t="s">
        <v>505</v>
      </c>
      <c r="L14" s="1332" t="s">
        <v>412</v>
      </c>
      <c r="N14" s="800"/>
      <c r="O14" s="800"/>
      <c r="P14" s="800"/>
      <c r="Q14" s="800"/>
      <c r="R14" s="800"/>
      <c r="S14" s="800"/>
      <c r="T14" s="800"/>
    </row>
    <row r="15" spans="2:20" ht="63.75">
      <c r="B15" s="1330"/>
      <c r="C15" s="1331"/>
      <c r="D15" s="476" t="s">
        <v>413</v>
      </c>
      <c r="E15" s="476" t="s">
        <v>612</v>
      </c>
      <c r="F15" s="476" t="s">
        <v>414</v>
      </c>
      <c r="G15" s="476" t="s">
        <v>683</v>
      </c>
      <c r="H15" s="476" t="s">
        <v>415</v>
      </c>
      <c r="I15" s="476" t="s">
        <v>416</v>
      </c>
      <c r="J15" s="476" t="s">
        <v>417</v>
      </c>
      <c r="K15" s="1331"/>
      <c r="L15" s="1332"/>
      <c r="N15" s="800"/>
      <c r="O15" s="800"/>
      <c r="P15" s="800"/>
      <c r="Q15" s="800"/>
      <c r="R15" s="800"/>
      <c r="S15" s="800"/>
      <c r="T15" s="800"/>
    </row>
    <row r="16" spans="2:20" ht="12.75">
      <c r="B16" s="1327"/>
      <c r="C16" s="1328"/>
      <c r="D16" s="1328"/>
      <c r="E16" s="1328"/>
      <c r="F16" s="1328"/>
      <c r="G16" s="1328"/>
      <c r="H16" s="1328"/>
      <c r="I16" s="1328"/>
      <c r="J16" s="1328"/>
      <c r="K16" s="1328"/>
      <c r="L16" s="1329"/>
      <c r="N16" s="800"/>
      <c r="O16" s="800"/>
      <c r="P16" s="800"/>
      <c r="Q16" s="800"/>
      <c r="R16" s="800"/>
      <c r="S16" s="800"/>
      <c r="T16" s="800"/>
    </row>
    <row r="17" spans="2:20" ht="36.75" customHeight="1">
      <c r="B17" s="477" t="s">
        <v>418</v>
      </c>
      <c r="C17" s="498">
        <f>K7</f>
        <v>56058.83</v>
      </c>
      <c r="D17" s="606">
        <v>25000</v>
      </c>
      <c r="E17" s="606"/>
      <c r="F17" s="606"/>
      <c r="G17" s="606">
        <v>-21489.95</v>
      </c>
      <c r="H17" s="606"/>
      <c r="I17" s="606"/>
      <c r="J17" s="606"/>
      <c r="K17" s="498">
        <f>SUM(C17:J17)</f>
        <v>59568.880000000005</v>
      </c>
      <c r="L17" s="490"/>
      <c r="N17" s="800"/>
      <c r="O17" s="800"/>
      <c r="P17" s="800">
        <f>K17-ACTIVO!E7</f>
        <v>0</v>
      </c>
      <c r="Q17" s="800">
        <f>G17-CPYG!E43</f>
        <v>0</v>
      </c>
      <c r="R17" s="800"/>
      <c r="S17" s="800"/>
      <c r="T17" s="800"/>
    </row>
    <row r="18" spans="2:20" ht="39" customHeight="1">
      <c r="B18" s="477" t="s">
        <v>54</v>
      </c>
      <c r="C18" s="498">
        <f>K8</f>
        <v>41095348.300000004</v>
      </c>
      <c r="D18" s="606">
        <f>3650000-2900000-350000+300000</f>
        <v>700000</v>
      </c>
      <c r="E18" s="606"/>
      <c r="F18" s="606"/>
      <c r="G18" s="606">
        <f>-2569183.29+13500</f>
        <v>-2555683.29</v>
      </c>
      <c r="H18" s="606"/>
      <c r="I18" s="606"/>
      <c r="J18" s="606"/>
      <c r="K18" s="498">
        <f>SUM(C18:J18)</f>
        <v>39239665.010000005</v>
      </c>
      <c r="L18" s="490"/>
      <c r="N18" s="800"/>
      <c r="O18" s="800"/>
      <c r="P18" s="800">
        <f>K18-ACTIVO!E14-ACTIVO!E15</f>
        <v>0</v>
      </c>
      <c r="Q18" s="800">
        <f>G18-CPYG!E44</f>
        <v>0</v>
      </c>
      <c r="R18" s="800"/>
      <c r="S18" s="800"/>
      <c r="T18" s="800"/>
    </row>
    <row r="19" spans="2:20" ht="38.25">
      <c r="B19" s="478" t="s">
        <v>419</v>
      </c>
      <c r="C19" s="498"/>
      <c r="D19" s="606"/>
      <c r="E19" s="606"/>
      <c r="F19" s="606"/>
      <c r="G19" s="606"/>
      <c r="H19" s="606"/>
      <c r="I19" s="606"/>
      <c r="J19" s="606"/>
      <c r="K19" s="498">
        <f>SUM(C19:J19)</f>
        <v>0</v>
      </c>
      <c r="L19" s="491"/>
      <c r="N19" s="800"/>
      <c r="O19" s="800"/>
      <c r="P19" s="800">
        <f>K19-ACTIVO!E18</f>
        <v>0</v>
      </c>
      <c r="Q19" s="800">
        <f>G19-CPYG!E45</f>
        <v>0</v>
      </c>
      <c r="R19" s="800"/>
      <c r="S19" s="800"/>
      <c r="T19" s="800"/>
    </row>
    <row r="20" spans="2:20" ht="21.75" customHeight="1">
      <c r="B20" s="478" t="s">
        <v>420</v>
      </c>
      <c r="C20" s="498">
        <f>K10</f>
        <v>1087345.7</v>
      </c>
      <c r="D20" s="606">
        <f>50000-50000</f>
        <v>0</v>
      </c>
      <c r="E20" s="606"/>
      <c r="F20" s="606"/>
      <c r="G20" s="606"/>
      <c r="H20" s="606"/>
      <c r="I20" s="606"/>
      <c r="J20" s="606"/>
      <c r="K20" s="498">
        <f>SUM(C20:J20)</f>
        <v>1087345.7</v>
      </c>
      <c r="L20" s="491"/>
      <c r="N20" s="800"/>
      <c r="O20" s="800"/>
      <c r="P20" s="800">
        <f>K20-ACTIVO!E13-ACTIVO!E17</f>
        <v>0</v>
      </c>
      <c r="Q20" s="800"/>
      <c r="R20" s="800"/>
      <c r="S20" s="800"/>
      <c r="T20" s="800"/>
    </row>
    <row r="21" spans="2:20" s="218" customFormat="1" ht="22.5" customHeight="1">
      <c r="B21" s="478" t="s">
        <v>144</v>
      </c>
      <c r="C21" s="499">
        <f aca="true" t="shared" si="1" ref="C21:I21">SUM(C17:C20)</f>
        <v>42238752.830000006</v>
      </c>
      <c r="D21" s="517">
        <f t="shared" si="1"/>
        <v>725000</v>
      </c>
      <c r="E21" s="517">
        <f t="shared" si="1"/>
        <v>0</v>
      </c>
      <c r="F21" s="517">
        <f t="shared" si="1"/>
        <v>0</v>
      </c>
      <c r="G21" s="517">
        <f t="shared" si="1"/>
        <v>-2577173.24</v>
      </c>
      <c r="H21" s="517">
        <f t="shared" si="1"/>
        <v>0</v>
      </c>
      <c r="I21" s="517">
        <f t="shared" si="1"/>
        <v>0</v>
      </c>
      <c r="J21" s="517">
        <f>SUM(J17:J20)</f>
        <v>0</v>
      </c>
      <c r="K21" s="517">
        <f>SUM(K17:K20)</f>
        <v>40386579.59000001</v>
      </c>
      <c r="L21" s="496"/>
      <c r="N21" s="801"/>
      <c r="O21" s="801"/>
      <c r="P21" s="801"/>
      <c r="Q21" s="801">
        <f>G21-CPYG!E42</f>
        <v>0</v>
      </c>
      <c r="R21" s="801"/>
      <c r="S21" s="801"/>
      <c r="T21" s="801"/>
    </row>
    <row r="22" spans="2:20" ht="20.25" customHeight="1" thickBot="1">
      <c r="B22" s="480" t="s">
        <v>421</v>
      </c>
      <c r="C22" s="500">
        <f>K12</f>
        <v>438025.09</v>
      </c>
      <c r="D22" s="607"/>
      <c r="E22" s="607"/>
      <c r="F22" s="607"/>
      <c r="G22" s="607"/>
      <c r="H22" s="607"/>
      <c r="I22" s="607"/>
      <c r="J22" s="607"/>
      <c r="K22" s="500">
        <f>SUM(C22:J22)</f>
        <v>438025.09</v>
      </c>
      <c r="L22" s="497"/>
      <c r="N22" s="800"/>
      <c r="O22" s="800"/>
      <c r="P22" s="800">
        <f>K22-ACTIVO!E30</f>
        <v>0</v>
      </c>
      <c r="Q22" s="800"/>
      <c r="R22" s="800"/>
      <c r="S22" s="800"/>
      <c r="T22" s="800"/>
    </row>
    <row r="23" spans="14:20" ht="12.75">
      <c r="N23" s="800"/>
      <c r="O23" s="800"/>
      <c r="P23" s="800">
        <f>K21+K22-ACTIVO!E7-ACTIVO!E12-ACTIVO!E16-ACTIVO!E30</f>
        <v>1.100124791264534E-08</v>
      </c>
      <c r="Q23" s="800"/>
      <c r="R23" s="800"/>
      <c r="S23" s="800"/>
      <c r="T23" s="800"/>
    </row>
    <row r="24" spans="2:20" ht="12.75">
      <c r="B24" s="215" t="s">
        <v>422</v>
      </c>
      <c r="C24" s="219"/>
      <c r="K24" s="1106">
        <f>K21-C21</f>
        <v>-1852173.2399999946</v>
      </c>
      <c r="L24" s="220"/>
      <c r="N24" s="800"/>
      <c r="O24" s="800"/>
      <c r="P24" s="800"/>
      <c r="Q24" s="800"/>
      <c r="R24" s="800"/>
      <c r="S24" s="800"/>
      <c r="T24" s="800"/>
    </row>
    <row r="25" spans="2:20" ht="12.75">
      <c r="B25" s="1324" t="s">
        <v>423</v>
      </c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N25" s="800"/>
      <c r="O25" s="800"/>
      <c r="P25" s="800"/>
      <c r="Q25" s="800"/>
      <c r="R25" s="800"/>
      <c r="S25" s="800"/>
      <c r="T25" s="800"/>
    </row>
    <row r="26" spans="2:20" ht="12.75">
      <c r="B26" s="1324" t="s">
        <v>424</v>
      </c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N26" s="800"/>
      <c r="O26" s="800"/>
      <c r="P26" s="800"/>
      <c r="Q26" s="800"/>
      <c r="R26" s="800"/>
      <c r="S26" s="800"/>
      <c r="T26" s="800"/>
    </row>
    <row r="27" spans="2:20" ht="12.75">
      <c r="B27" s="1324" t="s">
        <v>429</v>
      </c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  <c r="N27" s="800"/>
      <c r="O27" s="800"/>
      <c r="P27" s="800"/>
      <c r="Q27" s="800"/>
      <c r="R27" s="800"/>
      <c r="S27" s="800"/>
      <c r="T27" s="800"/>
    </row>
    <row r="28" spans="2:20" ht="12.75">
      <c r="B28" s="1324" t="s">
        <v>430</v>
      </c>
      <c r="C28" s="1324"/>
      <c r="D28" s="1324"/>
      <c r="E28" s="1324"/>
      <c r="F28" s="1324"/>
      <c r="G28" s="1324"/>
      <c r="H28" s="1324"/>
      <c r="I28" s="1324"/>
      <c r="J28" s="1324"/>
      <c r="K28" s="1324"/>
      <c r="L28" s="1324"/>
      <c r="N28" s="800"/>
      <c r="O28" s="800"/>
      <c r="P28" s="800"/>
      <c r="Q28" s="800"/>
      <c r="R28" s="800"/>
      <c r="S28" s="800"/>
      <c r="T28" s="800"/>
    </row>
    <row r="29" spans="2:20" ht="12.75">
      <c r="B29" s="1324" t="s">
        <v>445</v>
      </c>
      <c r="C29" s="1324"/>
      <c r="D29" s="1324"/>
      <c r="E29" s="1324"/>
      <c r="F29" s="1324"/>
      <c r="G29" s="1324"/>
      <c r="H29" s="1324"/>
      <c r="I29" s="1324"/>
      <c r="J29" s="1324"/>
      <c r="K29" s="1324"/>
      <c r="L29" s="1324"/>
      <c r="N29" s="800"/>
      <c r="O29" s="800"/>
      <c r="P29" s="800"/>
      <c r="Q29" s="800"/>
      <c r="R29" s="800"/>
      <c r="S29" s="800"/>
      <c r="T29" s="800"/>
    </row>
    <row r="30" spans="2:20" ht="12.75">
      <c r="B30" s="1324" t="s">
        <v>446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N30" s="800"/>
      <c r="O30" s="800"/>
      <c r="P30" s="800"/>
      <c r="Q30" s="800"/>
      <c r="R30" s="800"/>
      <c r="S30" s="800"/>
      <c r="T30" s="800"/>
    </row>
    <row r="31" spans="2:20" ht="12.75">
      <c r="B31" s="1324" t="s">
        <v>447</v>
      </c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N31" s="800"/>
      <c r="O31" s="800"/>
      <c r="P31" s="800"/>
      <c r="Q31" s="800"/>
      <c r="R31" s="800"/>
      <c r="S31" s="800"/>
      <c r="T31" s="800"/>
    </row>
    <row r="32" spans="2:20" ht="12.75">
      <c r="B32" s="1324" t="s">
        <v>574</v>
      </c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N32" s="800"/>
      <c r="O32" s="800"/>
      <c r="P32" s="800"/>
      <c r="Q32" s="800"/>
      <c r="R32" s="800"/>
      <c r="S32" s="800"/>
      <c r="T32" s="800"/>
    </row>
    <row r="33" spans="2:12" ht="12.75">
      <c r="B33" s="1324" t="s">
        <v>575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</row>
    <row r="34" spans="2:12" ht="12.75">
      <c r="B34" s="1324" t="s">
        <v>577</v>
      </c>
      <c r="C34" s="1324"/>
      <c r="D34" s="1324"/>
      <c r="E34" s="1324"/>
      <c r="F34" s="1324"/>
      <c r="G34" s="1324"/>
      <c r="H34" s="1324"/>
      <c r="I34" s="1324"/>
      <c r="J34" s="1324"/>
      <c r="K34" s="1324"/>
      <c r="L34" s="1324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65" bottom="0.984251968503937" header="0" footer="0"/>
  <pageSetup fitToHeight="1" fitToWidth="1" horizontalDpi="600" verticalDpi="600" orientation="landscape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2:M55"/>
  <sheetViews>
    <sheetView zoomScale="70" zoomScaleNormal="70" zoomScalePageLayoutView="0" workbookViewId="0" topLeftCell="A10">
      <selection activeCell="B35" sqref="B35:C35"/>
    </sheetView>
  </sheetViews>
  <sheetFormatPr defaultColWidth="11.421875" defaultRowHeight="12.75"/>
  <cols>
    <col min="1" max="1" width="4.28125" style="133" customWidth="1"/>
    <col min="2" max="2" width="1.710937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16" customFormat="1" ht="42" customHeight="1" thickBot="1">
      <c r="B2" s="1371" t="s">
        <v>213</v>
      </c>
      <c r="C2" s="1372"/>
      <c r="D2" s="1372"/>
      <c r="E2" s="1372"/>
      <c r="F2" s="1372"/>
      <c r="G2" s="1372"/>
      <c r="H2" s="1372"/>
      <c r="I2" s="1372"/>
      <c r="J2" s="1372"/>
      <c r="K2" s="1373"/>
      <c r="L2" s="1379">
        <f>CPYG!E2</f>
        <v>2017</v>
      </c>
      <c r="M2" s="1380"/>
    </row>
    <row r="3" spans="2:13" ht="35.25" customHeight="1" thickBot="1">
      <c r="B3" s="1374" t="str">
        <f>CPYG!B3</f>
        <v>ENTIDAD: ENTIDAD PÚBLICA EMPRESARIAL LOCAL BALSAS DE TENERIFE, BALTEN</v>
      </c>
      <c r="C3" s="1375"/>
      <c r="D3" s="1375"/>
      <c r="E3" s="1375"/>
      <c r="F3" s="1375"/>
      <c r="G3" s="1375"/>
      <c r="H3" s="1375"/>
      <c r="I3" s="1375"/>
      <c r="J3" s="1375"/>
      <c r="K3" s="1376"/>
      <c r="L3" s="1377" t="s">
        <v>201</v>
      </c>
      <c r="M3" s="1378"/>
    </row>
    <row r="4" spans="2:13" ht="18" customHeight="1">
      <c r="B4" s="1389" t="s">
        <v>444</v>
      </c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1"/>
    </row>
    <row r="5" spans="2:13" s="222" customFormat="1" ht="22.5" customHeight="1">
      <c r="B5" s="1346" t="s">
        <v>206</v>
      </c>
      <c r="C5" s="1347"/>
      <c r="D5" s="1347"/>
      <c r="E5" s="1347"/>
      <c r="F5" s="1347"/>
      <c r="G5" s="1347"/>
      <c r="H5" s="1347"/>
      <c r="I5" s="1347"/>
      <c r="J5" s="1347"/>
      <c r="K5" s="1347"/>
      <c r="L5" s="1347"/>
      <c r="M5" s="1348"/>
    </row>
    <row r="6" spans="2:13" ht="25.5" customHeight="1">
      <c r="B6" s="1382" t="s">
        <v>506</v>
      </c>
      <c r="C6" s="1383"/>
      <c r="D6" s="1381" t="s">
        <v>613</v>
      </c>
      <c r="E6" s="1381" t="s">
        <v>507</v>
      </c>
      <c r="F6" s="1381" t="s">
        <v>614</v>
      </c>
      <c r="G6" s="1381"/>
      <c r="H6" s="1381" t="s">
        <v>615</v>
      </c>
      <c r="I6" s="1381"/>
      <c r="J6" s="1350" t="s">
        <v>508</v>
      </c>
      <c r="K6" s="1350" t="s">
        <v>509</v>
      </c>
      <c r="L6" s="1350" t="s">
        <v>510</v>
      </c>
      <c r="M6" s="1392" t="s">
        <v>616</v>
      </c>
    </row>
    <row r="7" spans="2:13" ht="54" customHeight="1" thickBot="1">
      <c r="B7" s="1384"/>
      <c r="C7" s="1385"/>
      <c r="D7" s="1381"/>
      <c r="E7" s="1381"/>
      <c r="F7" s="221" t="s">
        <v>511</v>
      </c>
      <c r="G7" s="221" t="s">
        <v>618</v>
      </c>
      <c r="H7" s="221" t="s">
        <v>619</v>
      </c>
      <c r="I7" s="221" t="s">
        <v>620</v>
      </c>
      <c r="J7" s="1350"/>
      <c r="K7" s="1350"/>
      <c r="L7" s="1350"/>
      <c r="M7" s="1392"/>
    </row>
    <row r="8" spans="2:13" ht="21" customHeight="1" thickBot="1">
      <c r="B8" s="1386" t="s">
        <v>578</v>
      </c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8"/>
    </row>
    <row r="9" spans="2:13" s="222" customFormat="1" ht="19.5" customHeight="1" thickBot="1">
      <c r="B9" s="1366" t="s">
        <v>890</v>
      </c>
      <c r="C9" s="1367"/>
      <c r="D9" s="803" t="s">
        <v>891</v>
      </c>
      <c r="E9" s="804">
        <v>56394.32</v>
      </c>
      <c r="F9" s="805"/>
      <c r="G9" s="805"/>
      <c r="H9" s="805"/>
      <c r="I9" s="806"/>
      <c r="J9" s="511">
        <f>SUM(E9:I9)</f>
        <v>56394.32</v>
      </c>
      <c r="K9" s="807">
        <v>1</v>
      </c>
      <c r="L9" s="808"/>
      <c r="M9" s="809"/>
    </row>
    <row r="10" spans="2:13" s="222" customFormat="1" ht="19.5" customHeight="1" thickBot="1">
      <c r="B10" s="1342"/>
      <c r="C10" s="1343"/>
      <c r="D10" s="810"/>
      <c r="E10" s="805"/>
      <c r="F10" s="805"/>
      <c r="G10" s="805"/>
      <c r="H10" s="805"/>
      <c r="I10" s="805"/>
      <c r="J10" s="511">
        <f>SUM(E10:I10)</f>
        <v>0</v>
      </c>
      <c r="K10" s="811"/>
      <c r="L10" s="808"/>
      <c r="M10" s="809"/>
    </row>
    <row r="11" spans="2:13" s="222" customFormat="1" ht="19.5" customHeight="1" thickBot="1">
      <c r="B11" s="1355"/>
      <c r="C11" s="1356"/>
      <c r="D11" s="810"/>
      <c r="E11" s="805"/>
      <c r="F11" s="805"/>
      <c r="G11" s="805"/>
      <c r="H11" s="805"/>
      <c r="I11" s="805"/>
      <c r="J11" s="511">
        <f>SUM(E11:I11)</f>
        <v>0</v>
      </c>
      <c r="K11" s="808"/>
      <c r="L11" s="808"/>
      <c r="M11" s="809"/>
    </row>
    <row r="12" spans="2:13" s="222" customFormat="1" ht="19.5" customHeight="1" thickBot="1">
      <c r="B12" s="1355"/>
      <c r="C12" s="1356"/>
      <c r="D12" s="810"/>
      <c r="E12" s="805"/>
      <c r="F12" s="805"/>
      <c r="G12" s="805"/>
      <c r="H12" s="805"/>
      <c r="I12" s="805"/>
      <c r="J12" s="511">
        <f>SUM(E12:I12)</f>
        <v>0</v>
      </c>
      <c r="K12" s="808"/>
      <c r="L12" s="808"/>
      <c r="M12" s="809"/>
    </row>
    <row r="13" spans="2:13" s="222" customFormat="1" ht="19.5" customHeight="1" thickBot="1">
      <c r="B13" s="1355"/>
      <c r="C13" s="1356"/>
      <c r="D13" s="810"/>
      <c r="E13" s="805"/>
      <c r="F13" s="805"/>
      <c r="G13" s="805"/>
      <c r="H13" s="805"/>
      <c r="I13" s="805"/>
      <c r="J13" s="511">
        <f>SUM(E13:I13)</f>
        <v>0</v>
      </c>
      <c r="K13" s="808"/>
      <c r="L13" s="808"/>
      <c r="M13" s="809"/>
    </row>
    <row r="14" spans="2:13" s="815" customFormat="1" ht="19.5" customHeight="1" thickBot="1">
      <c r="B14" s="1344" t="s">
        <v>144</v>
      </c>
      <c r="C14" s="1345"/>
      <c r="D14" s="812"/>
      <c r="E14" s="511">
        <f>SUM(E9:E13)</f>
        <v>56394.32</v>
      </c>
      <c r="F14" s="511">
        <f>SUM(F9:F13)</f>
        <v>0</v>
      </c>
      <c r="G14" s="512"/>
      <c r="H14" s="511">
        <f>SUM(H9:H13)</f>
        <v>0</v>
      </c>
      <c r="I14" s="511">
        <f>SUM(I9:I13)</f>
        <v>0</v>
      </c>
      <c r="J14" s="511">
        <f>SUM(J9:J13)</f>
        <v>56394.32</v>
      </c>
      <c r="K14" s="813"/>
      <c r="L14" s="513">
        <f>SUM(L9:L13)</f>
        <v>0</v>
      </c>
      <c r="M14" s="814"/>
    </row>
    <row r="15" spans="2:13" s="222" customFormat="1" ht="19.5" customHeight="1" thickBot="1">
      <c r="B15" s="1359" t="s">
        <v>579</v>
      </c>
      <c r="C15" s="1360"/>
      <c r="D15" s="1360"/>
      <c r="E15" s="1360"/>
      <c r="F15" s="1360"/>
      <c r="G15" s="1360"/>
      <c r="H15" s="1360"/>
      <c r="I15" s="1360"/>
      <c r="J15" s="1360"/>
      <c r="K15" s="1360"/>
      <c r="L15" s="1360"/>
      <c r="M15" s="1361"/>
    </row>
    <row r="16" spans="2:13" s="222" customFormat="1" ht="19.5" customHeight="1" thickBot="1">
      <c r="B16" s="1342"/>
      <c r="C16" s="1343"/>
      <c r="D16" s="810"/>
      <c r="E16" s="805"/>
      <c r="F16" s="805"/>
      <c r="G16" s="805"/>
      <c r="H16" s="805"/>
      <c r="I16" s="805"/>
      <c r="J16" s="511">
        <f>SUM(E16:I16)</f>
        <v>0</v>
      </c>
      <c r="K16" s="811"/>
      <c r="L16" s="808"/>
      <c r="M16" s="809"/>
    </row>
    <row r="17" spans="2:13" s="222" customFormat="1" ht="19.5" customHeight="1" thickBot="1">
      <c r="B17" s="1342"/>
      <c r="C17" s="1343"/>
      <c r="D17" s="810"/>
      <c r="E17" s="805"/>
      <c r="F17" s="805"/>
      <c r="G17" s="805"/>
      <c r="H17" s="805"/>
      <c r="I17" s="805"/>
      <c r="J17" s="511">
        <f>SUM(E17:I17)</f>
        <v>0</v>
      </c>
      <c r="K17" s="811"/>
      <c r="L17" s="808"/>
      <c r="M17" s="809"/>
    </row>
    <row r="18" spans="2:13" s="222" customFormat="1" ht="19.5" customHeight="1" thickBot="1">
      <c r="B18" s="1342"/>
      <c r="C18" s="1343"/>
      <c r="D18" s="810"/>
      <c r="E18" s="805"/>
      <c r="F18" s="805"/>
      <c r="G18" s="805"/>
      <c r="H18" s="805"/>
      <c r="I18" s="805"/>
      <c r="J18" s="511">
        <f>SUM(E18:I18)</f>
        <v>0</v>
      </c>
      <c r="K18" s="811"/>
      <c r="L18" s="808"/>
      <c r="M18" s="809"/>
    </row>
    <row r="19" spans="2:13" s="222" customFormat="1" ht="19.5" customHeight="1" thickBot="1">
      <c r="B19" s="1342"/>
      <c r="C19" s="1343"/>
      <c r="D19" s="810"/>
      <c r="E19" s="805"/>
      <c r="F19" s="805"/>
      <c r="G19" s="805"/>
      <c r="H19" s="805"/>
      <c r="I19" s="805"/>
      <c r="J19" s="511">
        <f>SUM(E19:I19)</f>
        <v>0</v>
      </c>
      <c r="K19" s="811"/>
      <c r="L19" s="808"/>
      <c r="M19" s="809"/>
    </row>
    <row r="20" spans="2:13" s="222" customFormat="1" ht="19.5" customHeight="1" thickBot="1">
      <c r="B20" s="1355"/>
      <c r="C20" s="1356"/>
      <c r="D20" s="810"/>
      <c r="E20" s="805"/>
      <c r="F20" s="805"/>
      <c r="G20" s="805"/>
      <c r="H20" s="805"/>
      <c r="I20" s="805"/>
      <c r="J20" s="511">
        <f>SUM(E20:I20)</f>
        <v>0</v>
      </c>
      <c r="K20" s="811"/>
      <c r="L20" s="808"/>
      <c r="M20" s="809"/>
    </row>
    <row r="21" spans="2:13" s="815" customFormat="1" ht="19.5" customHeight="1" thickBot="1">
      <c r="B21" s="1344" t="s">
        <v>144</v>
      </c>
      <c r="C21" s="1345"/>
      <c r="D21" s="812"/>
      <c r="E21" s="511">
        <f>SUM(E16:E20)</f>
        <v>0</v>
      </c>
      <c r="F21" s="511">
        <f>SUM(F16:F20)</f>
        <v>0</v>
      </c>
      <c r="G21" s="512"/>
      <c r="H21" s="511">
        <f>SUM(H16:H20)</f>
        <v>0</v>
      </c>
      <c r="I21" s="511">
        <f>SUM(I16:I20)</f>
        <v>0</v>
      </c>
      <c r="J21" s="511">
        <f>SUM(J17:J20)</f>
        <v>0</v>
      </c>
      <c r="K21" s="813"/>
      <c r="L21" s="513">
        <f>SUM(L16:L20)</f>
        <v>0</v>
      </c>
      <c r="M21" s="814"/>
    </row>
    <row r="22" spans="2:13" s="222" customFormat="1" ht="12.75"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8"/>
    </row>
    <row r="23" spans="2:13" s="222" customFormat="1" ht="18" customHeight="1">
      <c r="B23" s="1346" t="s">
        <v>208</v>
      </c>
      <c r="C23" s="1347"/>
      <c r="D23" s="1347"/>
      <c r="E23" s="1347"/>
      <c r="F23" s="1347"/>
      <c r="G23" s="1347"/>
      <c r="H23" s="1347"/>
      <c r="I23" s="1347"/>
      <c r="J23" s="1347"/>
      <c r="K23" s="1347"/>
      <c r="L23" s="1347"/>
      <c r="M23" s="1348"/>
    </row>
    <row r="24" spans="2:13" s="222" customFormat="1" ht="22.5" customHeight="1">
      <c r="B24" s="1346" t="s">
        <v>793</v>
      </c>
      <c r="C24" s="1347"/>
      <c r="D24" s="1347"/>
      <c r="E24" s="1347"/>
      <c r="F24" s="1347"/>
      <c r="G24" s="1347"/>
      <c r="H24" s="1347"/>
      <c r="I24" s="1347"/>
      <c r="J24" s="1347"/>
      <c r="K24" s="1347"/>
      <c r="L24" s="1347"/>
      <c r="M24" s="1348"/>
    </row>
    <row r="25" spans="2:13" s="222" customFormat="1" ht="25.5" customHeight="1">
      <c r="B25" s="1351" t="s">
        <v>506</v>
      </c>
      <c r="C25" s="1352"/>
      <c r="D25" s="1350" t="s">
        <v>613</v>
      </c>
      <c r="E25" s="1350" t="s">
        <v>507</v>
      </c>
      <c r="F25" s="1350" t="s">
        <v>614</v>
      </c>
      <c r="G25" s="1350"/>
      <c r="H25" s="1350" t="s">
        <v>615</v>
      </c>
      <c r="I25" s="1350"/>
      <c r="J25" s="1350" t="s">
        <v>508</v>
      </c>
      <c r="K25" s="1350" t="s">
        <v>512</v>
      </c>
      <c r="L25" s="1350" t="s">
        <v>510</v>
      </c>
      <c r="M25" s="1349" t="s">
        <v>211</v>
      </c>
    </row>
    <row r="26" spans="2:13" s="222" customFormat="1" ht="54" customHeight="1" thickBot="1">
      <c r="B26" s="1353"/>
      <c r="C26" s="1354"/>
      <c r="D26" s="1350"/>
      <c r="E26" s="1350"/>
      <c r="F26" s="356" t="s">
        <v>617</v>
      </c>
      <c r="G26" s="356" t="s">
        <v>618</v>
      </c>
      <c r="H26" s="356" t="s">
        <v>619</v>
      </c>
      <c r="I26" s="356" t="s">
        <v>620</v>
      </c>
      <c r="J26" s="1350"/>
      <c r="K26" s="1350"/>
      <c r="L26" s="1350"/>
      <c r="M26" s="1349"/>
    </row>
    <row r="27" spans="2:13" s="222" customFormat="1" ht="13.5" thickBot="1">
      <c r="B27" s="1368" t="s">
        <v>209</v>
      </c>
      <c r="C27" s="1369"/>
      <c r="D27" s="1369"/>
      <c r="E27" s="1369"/>
      <c r="F27" s="1369"/>
      <c r="G27" s="1369"/>
      <c r="H27" s="1369"/>
      <c r="I27" s="1369"/>
      <c r="J27" s="1369"/>
      <c r="K27" s="1369"/>
      <c r="L27" s="1369"/>
      <c r="M27" s="1370"/>
    </row>
    <row r="28" spans="2:13" s="580" customFormat="1" ht="37.5" customHeight="1" thickBot="1">
      <c r="B28" s="1366" t="s">
        <v>892</v>
      </c>
      <c r="C28" s="1367"/>
      <c r="D28" s="803">
        <v>250</v>
      </c>
      <c r="E28" s="804">
        <v>35584.16</v>
      </c>
      <c r="F28" s="810"/>
      <c r="G28" s="810"/>
      <c r="H28" s="810"/>
      <c r="I28" s="806"/>
      <c r="J28" s="511">
        <f>SUM(E28:I28)</f>
        <v>35584.16</v>
      </c>
      <c r="K28" s="807">
        <f>15/720</f>
        <v>0.020833333333333332</v>
      </c>
      <c r="L28" s="808"/>
      <c r="M28" s="809"/>
    </row>
    <row r="29" spans="2:13" s="580" customFormat="1" ht="33.75" customHeight="1" thickBot="1">
      <c r="B29" s="1366" t="s">
        <v>893</v>
      </c>
      <c r="C29" s="1367"/>
      <c r="D29" s="803">
        <v>250</v>
      </c>
      <c r="E29" s="804">
        <v>16000</v>
      </c>
      <c r="F29" s="810"/>
      <c r="G29" s="810"/>
      <c r="H29" s="810"/>
      <c r="I29" s="806"/>
      <c r="J29" s="511">
        <f>SUM(E29:I29)</f>
        <v>16000</v>
      </c>
      <c r="K29" s="807">
        <f>80/400</f>
        <v>0.2</v>
      </c>
      <c r="L29" s="808"/>
      <c r="M29" s="809"/>
    </row>
    <row r="30" spans="2:13" s="580" customFormat="1" ht="19.5" customHeight="1" thickBot="1">
      <c r="B30" s="1366"/>
      <c r="C30" s="1367"/>
      <c r="D30" s="803"/>
      <c r="E30" s="804"/>
      <c r="F30" s="810"/>
      <c r="G30" s="810"/>
      <c r="H30" s="810"/>
      <c r="I30" s="806"/>
      <c r="J30" s="511">
        <f>SUM(E30:I30)</f>
        <v>0</v>
      </c>
      <c r="K30" s="807"/>
      <c r="L30" s="808"/>
      <c r="M30" s="809"/>
    </row>
    <row r="31" spans="2:13" s="580" customFormat="1" ht="19.5" customHeight="1" thickBot="1">
      <c r="B31" s="1342"/>
      <c r="C31" s="1343"/>
      <c r="D31" s="810"/>
      <c r="E31" s="806"/>
      <c r="F31" s="810"/>
      <c r="G31" s="810"/>
      <c r="H31" s="810"/>
      <c r="I31" s="810"/>
      <c r="J31" s="511">
        <f>SUM(E31:I31)</f>
        <v>0</v>
      </c>
      <c r="K31" s="811"/>
      <c r="L31" s="808"/>
      <c r="M31" s="809"/>
    </row>
    <row r="32" spans="2:13" s="580" customFormat="1" ht="19.5" customHeight="1" thickBot="1">
      <c r="B32" s="1355"/>
      <c r="C32" s="1356"/>
      <c r="D32" s="810"/>
      <c r="E32" s="806"/>
      <c r="F32" s="810"/>
      <c r="G32" s="810"/>
      <c r="H32" s="810"/>
      <c r="I32" s="810"/>
      <c r="J32" s="511">
        <f>SUM(E32:I32)</f>
        <v>0</v>
      </c>
      <c r="K32" s="808"/>
      <c r="L32" s="808"/>
      <c r="M32" s="809"/>
    </row>
    <row r="33" spans="2:13" s="815" customFormat="1" ht="19.5" customHeight="1" thickBot="1">
      <c r="B33" s="1344" t="s">
        <v>144</v>
      </c>
      <c r="C33" s="1345"/>
      <c r="D33" s="812"/>
      <c r="E33" s="511">
        <f>SUM(E28:E32)</f>
        <v>51584.16</v>
      </c>
      <c r="F33" s="511">
        <f>SUM(F28:F32)</f>
        <v>0</v>
      </c>
      <c r="G33" s="512"/>
      <c r="H33" s="511">
        <f>SUM(H28:H32)</f>
        <v>0</v>
      </c>
      <c r="I33" s="511">
        <f>SUM(I28:I32)</f>
        <v>0</v>
      </c>
      <c r="J33" s="511">
        <f>SUM(J28:J32)</f>
        <v>51584.16</v>
      </c>
      <c r="K33" s="813"/>
      <c r="L33" s="513">
        <f>SUM(L27:L32)</f>
        <v>0</v>
      </c>
      <c r="M33" s="814"/>
    </row>
    <row r="34" spans="2:13" s="580" customFormat="1" ht="19.5" customHeight="1" thickBot="1">
      <c r="B34" s="1359" t="s">
        <v>210</v>
      </c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1"/>
    </row>
    <row r="35" spans="2:13" s="580" customFormat="1" ht="19.5" customHeight="1" thickBot="1">
      <c r="B35" s="1357" t="s">
        <v>894</v>
      </c>
      <c r="C35" s="1358"/>
      <c r="D35" s="1059">
        <v>254</v>
      </c>
      <c r="E35" s="1060">
        <v>9462</v>
      </c>
      <c r="F35" s="1061">
        <v>9462</v>
      </c>
      <c r="G35" s="1061"/>
      <c r="H35" s="1062">
        <v>-9462</v>
      </c>
      <c r="I35" s="1061"/>
      <c r="J35" s="1063">
        <f>SUM(E35:I35)</f>
        <v>9462</v>
      </c>
      <c r="K35" s="1064"/>
      <c r="L35" s="1064"/>
      <c r="M35" s="1065"/>
    </row>
    <row r="36" spans="2:13" s="580" customFormat="1" ht="19.5" customHeight="1" thickBot="1">
      <c r="B36" s="1342"/>
      <c r="C36" s="1343"/>
      <c r="D36" s="810"/>
      <c r="E36" s="805"/>
      <c r="F36" s="806"/>
      <c r="G36" s="810"/>
      <c r="H36" s="806"/>
      <c r="I36" s="810"/>
      <c r="J36" s="511">
        <f>SUM(E36:I36)</f>
        <v>0</v>
      </c>
      <c r="K36" s="808"/>
      <c r="L36" s="808"/>
      <c r="M36" s="809"/>
    </row>
    <row r="37" spans="2:13" s="580" customFormat="1" ht="19.5" customHeight="1" thickBot="1">
      <c r="B37" s="1342"/>
      <c r="C37" s="1343"/>
      <c r="D37" s="810"/>
      <c r="E37" s="805"/>
      <c r="F37" s="810"/>
      <c r="G37" s="810"/>
      <c r="H37" s="810"/>
      <c r="I37" s="810"/>
      <c r="J37" s="511">
        <f>SUM(E37:I37)</f>
        <v>0</v>
      </c>
      <c r="K37" s="808"/>
      <c r="L37" s="808"/>
      <c r="M37" s="809"/>
    </row>
    <row r="38" spans="2:13" s="580" customFormat="1" ht="19.5" customHeight="1" thickBot="1">
      <c r="B38" s="1342"/>
      <c r="C38" s="1343"/>
      <c r="D38" s="810"/>
      <c r="E38" s="805"/>
      <c r="F38" s="810"/>
      <c r="G38" s="810"/>
      <c r="H38" s="810"/>
      <c r="I38" s="810"/>
      <c r="J38" s="511">
        <f>SUM(E38:I38)</f>
        <v>0</v>
      </c>
      <c r="K38" s="808"/>
      <c r="L38" s="808"/>
      <c r="M38" s="809"/>
    </row>
    <row r="39" spans="2:13" s="580" customFormat="1" ht="19.5" customHeight="1" thickBot="1">
      <c r="B39" s="1355"/>
      <c r="C39" s="1356"/>
      <c r="D39" s="810"/>
      <c r="E39" s="805"/>
      <c r="F39" s="819"/>
      <c r="G39" s="819"/>
      <c r="H39" s="819"/>
      <c r="I39" s="819"/>
      <c r="J39" s="511">
        <f>SUM(E39:I39)</f>
        <v>0</v>
      </c>
      <c r="K39" s="820"/>
      <c r="L39" s="820"/>
      <c r="M39" s="821"/>
    </row>
    <row r="40" spans="2:13" s="815" customFormat="1" ht="19.5" customHeight="1" thickBot="1">
      <c r="B40" s="1363" t="s">
        <v>144</v>
      </c>
      <c r="C40" s="1364"/>
      <c r="D40" s="822"/>
      <c r="E40" s="514">
        <f>SUM(E35:E39)</f>
        <v>9462</v>
      </c>
      <c r="F40" s="514">
        <f>SUM(F35:F39)</f>
        <v>9462</v>
      </c>
      <c r="G40" s="515"/>
      <c r="H40" s="514">
        <f>SUM(H35:H39)</f>
        <v>-9462</v>
      </c>
      <c r="I40" s="514">
        <f>SUM(I35:I39)</f>
        <v>0</v>
      </c>
      <c r="J40" s="514">
        <f>SUM(J35:J39)</f>
        <v>9462</v>
      </c>
      <c r="K40" s="823"/>
      <c r="L40" s="516">
        <f>SUM(L35:L39)</f>
        <v>0</v>
      </c>
      <c r="M40" s="824"/>
    </row>
    <row r="41" s="222" customFormat="1" ht="12.75"/>
    <row r="42" spans="4:10" s="222" customFormat="1" ht="12.75">
      <c r="D42" s="825"/>
      <c r="E42" s="826"/>
      <c r="F42" s="826"/>
      <c r="G42" s="826"/>
      <c r="H42" s="826"/>
      <c r="I42" s="826"/>
      <c r="J42" s="826">
        <f>J14+J21+J33+J40-ACTIVO!E19-ACTIVO!E20</f>
        <v>0</v>
      </c>
    </row>
    <row r="43" spans="2:13" ht="12.75">
      <c r="B43" s="1365" t="s">
        <v>422</v>
      </c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</row>
    <row r="44" spans="2:13" ht="12.75">
      <c r="B44" s="1362" t="s">
        <v>580</v>
      </c>
      <c r="C44" s="1362"/>
      <c r="D44" s="1362"/>
      <c r="E44" s="1362"/>
      <c r="F44" s="1362"/>
      <c r="G44" s="1362"/>
      <c r="H44" s="1362"/>
      <c r="I44" s="1362"/>
      <c r="J44" s="1362"/>
      <c r="K44" s="1362"/>
      <c r="L44" s="1362"/>
      <c r="M44" s="1362"/>
    </row>
    <row r="45" spans="2:13" ht="12.75">
      <c r="B45" s="1362" t="s">
        <v>207</v>
      </c>
      <c r="C45" s="1362"/>
      <c r="D45" s="1362"/>
      <c r="E45" s="1362"/>
      <c r="F45" s="1362"/>
      <c r="G45" s="1362"/>
      <c r="H45" s="1362"/>
      <c r="I45" s="1362"/>
      <c r="J45" s="1362"/>
      <c r="K45" s="1362"/>
      <c r="L45" s="1362"/>
      <c r="M45" s="1362"/>
    </row>
    <row r="46" spans="2:13" ht="12.75">
      <c r="B46" s="1362" t="s">
        <v>581</v>
      </c>
      <c r="C46" s="1362"/>
      <c r="D46" s="1362"/>
      <c r="E46" s="1362"/>
      <c r="F46" s="1362"/>
      <c r="G46" s="1362"/>
      <c r="H46" s="1362"/>
      <c r="I46" s="1362"/>
      <c r="J46" s="1362"/>
      <c r="K46" s="1362"/>
      <c r="L46" s="1362"/>
      <c r="M46" s="1362"/>
    </row>
    <row r="47" spans="2:13" ht="12.75">
      <c r="B47" s="1362" t="s">
        <v>582</v>
      </c>
      <c r="C47" s="1362"/>
      <c r="D47" s="1362"/>
      <c r="E47" s="1362"/>
      <c r="F47" s="1362"/>
      <c r="G47" s="1362"/>
      <c r="H47" s="1362"/>
      <c r="I47" s="1362"/>
      <c r="J47" s="1362"/>
      <c r="K47" s="1362"/>
      <c r="L47" s="1362"/>
      <c r="M47" s="1362"/>
    </row>
    <row r="48" spans="2:13" ht="12.75">
      <c r="B48" s="1362" t="s">
        <v>583</v>
      </c>
      <c r="C48" s="1362"/>
      <c r="D48" s="1362"/>
      <c r="E48" s="1362"/>
      <c r="F48" s="1362"/>
      <c r="G48" s="1362"/>
      <c r="H48" s="1362"/>
      <c r="I48" s="1362"/>
      <c r="J48" s="1362"/>
      <c r="K48" s="1362"/>
      <c r="L48" s="1362"/>
      <c r="M48" s="1362"/>
    </row>
    <row r="49" spans="2:13" ht="12.75">
      <c r="B49" s="1362" t="s">
        <v>387</v>
      </c>
      <c r="C49" s="1362"/>
      <c r="D49" s="1362"/>
      <c r="E49" s="1362"/>
      <c r="F49" s="1362"/>
      <c r="G49" s="1362"/>
      <c r="H49" s="1362"/>
      <c r="I49" s="1362"/>
      <c r="J49" s="1362"/>
      <c r="K49" s="1362"/>
      <c r="L49" s="1362"/>
      <c r="M49" s="1362"/>
    </row>
    <row r="50" spans="2:13" ht="12.75">
      <c r="B50" s="1362" t="s">
        <v>388</v>
      </c>
      <c r="C50" s="1362"/>
      <c r="D50" s="1362"/>
      <c r="E50" s="1362"/>
      <c r="F50" s="1362"/>
      <c r="G50" s="1362"/>
      <c r="H50" s="1362"/>
      <c r="I50" s="1362"/>
      <c r="J50" s="1362"/>
      <c r="K50" s="1362"/>
      <c r="L50" s="1362"/>
      <c r="M50" s="1362"/>
    </row>
    <row r="51" spans="2:13" ht="12.75">
      <c r="B51" s="1362" t="s">
        <v>212</v>
      </c>
      <c r="C51" s="1362"/>
      <c r="D51" s="1362"/>
      <c r="E51" s="1362"/>
      <c r="F51" s="1362"/>
      <c r="G51" s="1362"/>
      <c r="H51" s="1362"/>
      <c r="I51" s="1362"/>
      <c r="J51" s="1362"/>
      <c r="K51" s="1362"/>
      <c r="L51" s="1362"/>
      <c r="M51" s="1362"/>
    </row>
    <row r="52" spans="2:13" ht="12.75">
      <c r="B52" s="1362" t="s">
        <v>389</v>
      </c>
      <c r="C52" s="1362"/>
      <c r="D52" s="1362"/>
      <c r="E52" s="1362"/>
      <c r="F52" s="1362"/>
      <c r="G52" s="1362"/>
      <c r="H52" s="1362"/>
      <c r="I52" s="1362"/>
      <c r="J52" s="1362"/>
      <c r="K52" s="1362"/>
      <c r="L52" s="1362"/>
      <c r="M52" s="1362"/>
    </row>
    <row r="53" spans="2:13" ht="12.75">
      <c r="B53" s="1362" t="s">
        <v>390</v>
      </c>
      <c r="C53" s="1362"/>
      <c r="D53" s="1362"/>
      <c r="E53" s="1362"/>
      <c r="F53" s="1362"/>
      <c r="G53" s="1362"/>
      <c r="H53" s="1362"/>
      <c r="I53" s="1362"/>
      <c r="J53" s="1362"/>
      <c r="K53" s="1362"/>
      <c r="L53" s="1362"/>
      <c r="M53" s="1362"/>
    </row>
    <row r="54" spans="4:8" ht="12.75" hidden="1">
      <c r="D54" s="133" t="s">
        <v>86</v>
      </c>
      <c r="E54" s="225">
        <f>+ACTIVO!C20</f>
        <v>45046.16</v>
      </c>
      <c r="F54" s="225">
        <f>+ACTIVO!D20</f>
        <v>45046.16</v>
      </c>
      <c r="G54" s="225">
        <f>+ACTIVO!E20</f>
        <v>45046.16</v>
      </c>
      <c r="H54" s="225">
        <f>+ACTIVO!E20</f>
        <v>45046.16</v>
      </c>
    </row>
    <row r="55" spans="4:8" ht="12.75" hidden="1">
      <c r="D55" s="226" t="s">
        <v>87</v>
      </c>
      <c r="E55" s="227">
        <f>+E53-E54</f>
        <v>-45046.16</v>
      </c>
      <c r="F55" s="227">
        <f>+F53-F54</f>
        <v>-45046.16</v>
      </c>
      <c r="G55" s="227">
        <f>+G53-G54</f>
        <v>-45046.16</v>
      </c>
      <c r="H55" s="227">
        <f>+H53-H54</f>
        <v>-45046.16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zoomScale="60" zoomScaleNormal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421875" style="1" customWidth="1"/>
  </cols>
  <sheetData>
    <row r="1" spans="1:4" ht="49.5" customHeight="1">
      <c r="A1" s="1393" t="s">
        <v>130</v>
      </c>
      <c r="B1" s="1394"/>
      <c r="C1" s="1395"/>
      <c r="D1" s="16" t="e">
        <f>#REF!</f>
        <v>#REF!</v>
      </c>
    </row>
    <row r="2" spans="1:4" ht="25.5" customHeight="1">
      <c r="A2" s="1396" t="s">
        <v>684</v>
      </c>
      <c r="B2" s="1397"/>
      <c r="C2" s="1398"/>
      <c r="D2" s="13" t="s">
        <v>682</v>
      </c>
    </row>
    <row r="3" spans="1:4" ht="25.5" customHeight="1">
      <c r="A3" s="1399" t="s">
        <v>791</v>
      </c>
      <c r="B3" s="1400"/>
      <c r="C3" s="1400"/>
      <c r="D3" s="1401"/>
    </row>
    <row r="4" spans="1:4" ht="31.5" customHeight="1">
      <c r="A4" s="19" t="s">
        <v>141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177</v>
      </c>
      <c r="B5" s="21"/>
      <c r="C5" s="21"/>
      <c r="D5" s="22"/>
    </row>
    <row r="6" spans="1:4" s="3" customFormat="1" ht="19.5" customHeight="1">
      <c r="A6" s="5" t="s">
        <v>735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142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7687653.58</v>
      </c>
    </row>
    <row r="8" spans="1:4" s="3" customFormat="1" ht="19.5" customHeight="1">
      <c r="A8" s="10" t="s">
        <v>178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736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737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738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180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739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181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741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742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743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182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395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744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-135726.93</v>
      </c>
    </row>
    <row r="21" spans="1:4" s="3" customFormat="1" ht="19.5" customHeight="1">
      <c r="A21" s="5" t="s">
        <v>745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746</v>
      </c>
      <c r="B22" s="25" t="str">
        <f>CPYG!B12</f>
        <v>4. APROVISIONAMIENTOS.</v>
      </c>
      <c r="C22" s="25" t="e">
        <f>CPYG!#REF!</f>
        <v>#REF!</v>
      </c>
      <c r="D22" s="26">
        <f>CPYG!C12</f>
        <v>-3774482.7199999997</v>
      </c>
    </row>
    <row r="23" spans="1:4" s="3" customFormat="1" ht="19.5" customHeight="1">
      <c r="A23" s="10" t="s">
        <v>747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-1519197.59</v>
      </c>
    </row>
    <row r="24" spans="1:4" s="3" customFormat="1" ht="19.5" customHeight="1">
      <c r="A24" s="10" t="s">
        <v>748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-415590.5</v>
      </c>
    </row>
    <row r="25" spans="1:4" s="3" customFormat="1" ht="19.5" customHeight="1">
      <c r="A25" s="10" t="s">
        <v>749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-1839694.63</v>
      </c>
    </row>
    <row r="26" spans="1:4" s="3" customFormat="1" ht="19.5" customHeight="1">
      <c r="A26" s="5" t="s">
        <v>750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751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21108.8</v>
      </c>
    </row>
    <row r="28" spans="1:4" s="3" customFormat="1" ht="19.5" customHeight="1">
      <c r="A28" s="10" t="s">
        <v>753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21108.8</v>
      </c>
    </row>
    <row r="29" spans="1:4" s="3" customFormat="1" ht="19.5" customHeight="1">
      <c r="A29" s="10" t="s">
        <v>754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396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397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755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756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757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758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759</v>
      </c>
      <c r="B36" s="25" t="str">
        <f>CPYG!B29</f>
        <v>6. GASTOS DE PERSONAL.</v>
      </c>
      <c r="C36" s="25" t="e">
        <f>CPYG!#REF!</f>
        <v>#REF!</v>
      </c>
      <c r="D36" s="26">
        <f>CPYG!C29</f>
        <v>-1354469.0900000003</v>
      </c>
      <c r="E36" s="40"/>
    </row>
    <row r="37" spans="1:4" s="3" customFormat="1" ht="19.5" customHeight="1">
      <c r="A37" s="10" t="s">
        <v>398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-1213100.33</v>
      </c>
    </row>
    <row r="38" spans="1:4" s="3" customFormat="1" ht="19.5" customHeight="1">
      <c r="A38" s="10" t="s">
        <v>399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400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-386762</v>
      </c>
    </row>
    <row r="40" spans="1:4" s="3" customFormat="1" ht="19.5" customHeight="1">
      <c r="A40" s="10" t="s">
        <v>401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-34211.32</v>
      </c>
    </row>
    <row r="41" spans="1:4" s="3" customFormat="1" ht="19.5" customHeight="1">
      <c r="A41" s="10" t="s">
        <v>402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-17058.34</v>
      </c>
    </row>
    <row r="42" spans="1:4" s="3" customFormat="1" ht="19.5" customHeight="1">
      <c r="A42" s="5" t="s">
        <v>760</v>
      </c>
      <c r="B42" s="23" t="str">
        <f>CPYG!B35</f>
        <v>      f) Provisiones</v>
      </c>
      <c r="C42" s="23" t="e">
        <f>CPYG!#REF!</f>
        <v>#REF!</v>
      </c>
      <c r="D42" s="24">
        <f>CPYG!C35</f>
        <v>296662.9</v>
      </c>
    </row>
    <row r="43" spans="1:4" s="3" customFormat="1" ht="19.5" customHeight="1">
      <c r="A43" s="10" t="s">
        <v>403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-2608486.1</v>
      </c>
    </row>
    <row r="44" spans="1:4" s="3" customFormat="1" ht="19.5" customHeight="1">
      <c r="A44" s="10" t="s">
        <v>404</v>
      </c>
      <c r="B44" s="25" t="str">
        <f>CPYG!B38</f>
        <v>      a) Servicios Exteriores</v>
      </c>
      <c r="C44" s="27" t="e">
        <f>CPYG!#REF!</f>
        <v>#REF!</v>
      </c>
      <c r="D44" s="26">
        <f>CPYG!C38</f>
        <v>-2566426.51</v>
      </c>
    </row>
    <row r="45" spans="1:4" s="3" customFormat="1" ht="19.5" customHeight="1">
      <c r="A45" s="10" t="s">
        <v>761</v>
      </c>
      <c r="B45" s="25" t="str">
        <f>CPYG!B39</f>
        <v>      b) Tributos</v>
      </c>
      <c r="C45" s="25" t="e">
        <f>CPYG!#REF!</f>
        <v>#REF!</v>
      </c>
      <c r="D45" s="26">
        <f>CPYG!C39</f>
        <v>-3958.14</v>
      </c>
    </row>
    <row r="46" spans="1:4" s="3" customFormat="1" ht="19.5" customHeight="1">
      <c r="A46" s="10" t="s">
        <v>762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-38101.45</v>
      </c>
    </row>
    <row r="47" spans="1:4" s="3" customFormat="1" ht="19.5" customHeight="1">
      <c r="A47" s="10" t="s">
        <v>763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764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765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766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-2557542.27</v>
      </c>
    </row>
    <row r="51" spans="1:4" s="3" customFormat="1" ht="19.5" customHeight="1">
      <c r="A51" s="5" t="s">
        <v>767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2527755.18</v>
      </c>
    </row>
    <row r="52" spans="1:4" s="3" customFormat="1" ht="19.5" customHeight="1">
      <c r="A52" s="5" t="s">
        <v>768</v>
      </c>
      <c r="B52" s="23" t="str">
        <f>CPYG!B47</f>
        <v>10. EXCESOS DE PROVISIONES.</v>
      </c>
      <c r="C52" s="23" t="e">
        <f>CPYG!#REF!</f>
        <v>#REF!</v>
      </c>
      <c r="D52" s="24">
        <f>CPYG!C47</f>
        <v>33000</v>
      </c>
    </row>
    <row r="53" spans="1:4" s="3" customFormat="1" ht="19.5" customHeight="1">
      <c r="A53" s="10" t="s">
        <v>126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405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685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686</v>
      </c>
      <c r="B56" s="23" t="str">
        <f>CPYG!B62</f>
        <v>13. OTROS RESULTADOS</v>
      </c>
      <c r="C56" s="23" t="e">
        <f>CPYG!#REF!</f>
        <v>#REF!</v>
      </c>
      <c r="D56" s="24">
        <f>CPYG!C62</f>
        <v>-91346.64000000013</v>
      </c>
    </row>
    <row r="57" spans="1:4" s="3" customFormat="1" ht="19.5" customHeight="1">
      <c r="A57" s="5" t="s">
        <v>769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-252536.18999999994</v>
      </c>
    </row>
    <row r="58" spans="1:4" s="3" customFormat="1" ht="19.5" customHeight="1">
      <c r="A58" s="10" t="s">
        <v>770</v>
      </c>
      <c r="B58" s="25" t="str">
        <f>CPYG!B66</f>
        <v>14. INGRESOS FINANCIEROS.</v>
      </c>
      <c r="C58" s="25" t="e">
        <f>CPYG!#REF!</f>
        <v>#REF!</v>
      </c>
      <c r="D58" s="26">
        <f>CPYG!C66</f>
        <v>1131.49</v>
      </c>
    </row>
    <row r="59" spans="1:4" s="3" customFormat="1" ht="19.5" customHeight="1">
      <c r="A59" s="10" t="s">
        <v>771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772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406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773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1131.49</v>
      </c>
    </row>
    <row r="63" spans="1:4" s="3" customFormat="1" ht="19.5" customHeight="1">
      <c r="A63" s="10" t="s">
        <v>774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775</v>
      </c>
      <c r="B64" s="23" t="str">
        <f>CPYG!B72</f>
        <v>          b.2) En terceros.</v>
      </c>
      <c r="C64" s="23" t="e">
        <f>CPYG!#REF!</f>
        <v>#REF!</v>
      </c>
      <c r="D64" s="24">
        <f>CPYG!C72</f>
        <v>1131.49</v>
      </c>
    </row>
    <row r="65" spans="1:4" s="3" customFormat="1" ht="19.5" customHeight="1">
      <c r="A65" s="10" t="s">
        <v>776</v>
      </c>
      <c r="B65" s="25" t="str">
        <f>CPYG!B74</f>
        <v>15. GASTOS FINANCIEROS.</v>
      </c>
      <c r="C65" s="27" t="e">
        <f>CPYG!#REF!</f>
        <v>#REF!</v>
      </c>
      <c r="D65" s="26">
        <f>CPYG!C74</f>
        <v>0</v>
      </c>
    </row>
    <row r="66" spans="1:4" s="3" customFormat="1" ht="19.5" customHeight="1">
      <c r="A66" s="10" t="s">
        <v>407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408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0</v>
      </c>
    </row>
    <row r="68" spans="1:4" s="3" customFormat="1" ht="19.5" customHeight="1">
      <c r="A68" s="5" t="s">
        <v>777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778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409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779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687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780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405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688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410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1131.49</v>
      </c>
    </row>
    <row r="77" spans="1:4" s="3" customFormat="1" ht="19.5" customHeight="1">
      <c r="A77" s="5" t="s">
        <v>124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-251404.69999999995</v>
      </c>
    </row>
    <row r="78" spans="1:4" s="3" customFormat="1" ht="25.5" customHeight="1">
      <c r="A78" s="11" t="s">
        <v>689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411</v>
      </c>
      <c r="B79" s="23"/>
      <c r="C79" s="23"/>
      <c r="D79" s="24"/>
    </row>
    <row r="80" spans="1:4" s="3" customFormat="1" ht="19.5" customHeight="1">
      <c r="A80" s="5" t="s">
        <v>690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691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179</v>
      </c>
      <c r="B84" s="34"/>
      <c r="C84" s="34"/>
      <c r="D84" s="34"/>
    </row>
    <row r="85" spans="1:5" ht="19.5" customHeight="1">
      <c r="A85" s="7" t="s">
        <v>125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-251404.69999999995</v>
      </c>
      <c r="C90" s="33">
        <f>PASIVO!D20</f>
        <v>-725817.4600000004</v>
      </c>
      <c r="D90" s="33">
        <f>PASIVO!E20</f>
        <v>-687242.2499999995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687242.2499999995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orientation="portrait" paperSize="9" scale="47"/>
  <headerFooter alignWithMargins="0">
    <oddHeader>&amp;C&amp;"MS Sans Serif,Negrita"&amp;14
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79"/>
  <sheetViews>
    <sheetView zoomScale="70" zoomScaleNormal="70" zoomScalePageLayoutView="0" workbookViewId="0" topLeftCell="A1">
      <selection activeCell="A51" sqref="A51:IV51"/>
    </sheetView>
  </sheetViews>
  <sheetFormatPr defaultColWidth="11.421875" defaultRowHeight="12.75"/>
  <cols>
    <col min="1" max="1" width="4.00390625" style="230" customWidth="1"/>
    <col min="2" max="2" width="70.00390625" style="230" customWidth="1"/>
    <col min="3" max="3" width="0.2890625" style="230" hidden="1" customWidth="1"/>
    <col min="4" max="4" width="22.28125" style="230" customWidth="1"/>
    <col min="5" max="5" width="19.7109375" style="230" customWidth="1"/>
    <col min="6" max="6" width="19.421875" style="230" customWidth="1"/>
    <col min="7" max="7" width="7.421875" style="230" bestFit="1" customWidth="1"/>
    <col min="8" max="8" width="7.7109375" style="230" bestFit="1" customWidth="1"/>
    <col min="9" max="9" width="7.421875" style="230" bestFit="1" customWidth="1"/>
    <col min="10" max="10" width="2.421875" style="230" customWidth="1"/>
    <col min="11" max="11" width="5.8515625" style="231" hidden="1" customWidth="1"/>
    <col min="12" max="12" width="6.00390625" style="231" hidden="1" customWidth="1"/>
    <col min="13" max="13" width="5.7109375" style="231" hidden="1" customWidth="1"/>
    <col min="14" max="14" width="6.7109375" style="232" hidden="1" customWidth="1"/>
    <col min="15" max="15" width="11.421875" style="232" hidden="1" customWidth="1"/>
    <col min="16" max="16" width="37.8515625" style="230" hidden="1" customWidth="1"/>
    <col min="17" max="17" width="12.140625" style="230" hidden="1" customWidth="1"/>
    <col min="18" max="18" width="36.421875" style="230" hidden="1" customWidth="1"/>
    <col min="19" max="19" width="24.00390625" style="230" customWidth="1"/>
    <col min="20" max="16384" width="11.421875" style="230" customWidth="1"/>
  </cols>
  <sheetData>
    <row r="1" spans="2:9" ht="13.5" thickBot="1">
      <c r="B1" s="564"/>
      <c r="I1" s="565"/>
    </row>
    <row r="2" spans="2:9" ht="46.5" customHeight="1">
      <c r="B2" s="1414" t="s">
        <v>214</v>
      </c>
      <c r="C2" s="1415"/>
      <c r="D2" s="1415"/>
      <c r="E2" s="1415"/>
      <c r="F2" s="1415"/>
      <c r="G2" s="1407">
        <f>CPYG!E2</f>
        <v>2017</v>
      </c>
      <c r="H2" s="1407"/>
      <c r="I2" s="1408"/>
    </row>
    <row r="3" spans="2:11" ht="30" customHeight="1" thickBot="1">
      <c r="B3" s="1412" t="str">
        <f>CPYG!B3</f>
        <v>ENTIDAD: ENTIDAD PÚBLICA EMPRESARIAL LOCAL BALSAS DE TENERIFE, BALTEN</v>
      </c>
      <c r="C3" s="1413"/>
      <c r="D3" s="1413"/>
      <c r="E3" s="1413"/>
      <c r="F3" s="1413"/>
      <c r="G3" s="1409" t="s">
        <v>196</v>
      </c>
      <c r="H3" s="1410"/>
      <c r="I3" s="1411"/>
      <c r="K3" s="852" t="s">
        <v>910</v>
      </c>
    </row>
    <row r="4" spans="2:9" ht="24.75" customHeight="1" thickBot="1">
      <c r="B4" s="1403" t="s">
        <v>592</v>
      </c>
      <c r="C4" s="1404"/>
      <c r="D4" s="1404"/>
      <c r="E4" s="1404"/>
      <c r="F4" s="1404"/>
      <c r="G4" s="1404"/>
      <c r="H4" s="1404"/>
      <c r="I4" s="1405"/>
    </row>
    <row r="5" spans="2:16" ht="19.5" customHeight="1" thickBot="1">
      <c r="B5" s="526" t="s">
        <v>591</v>
      </c>
      <c r="C5" s="527"/>
      <c r="D5" s="528" t="s">
        <v>585</v>
      </c>
      <c r="E5" s="528">
        <v>2016</v>
      </c>
      <c r="F5" s="528">
        <v>2017</v>
      </c>
      <c r="G5" s="528" t="s">
        <v>145</v>
      </c>
      <c r="H5" s="528" t="s">
        <v>622</v>
      </c>
      <c r="I5" s="529" t="s">
        <v>621</v>
      </c>
      <c r="P5" s="232"/>
    </row>
    <row r="6" spans="2:16" ht="19.5" customHeight="1" thickBot="1">
      <c r="B6" s="530" t="s">
        <v>586</v>
      </c>
      <c r="C6" s="531"/>
      <c r="D6" s="532"/>
      <c r="E6" s="533">
        <f>PASIVO!C27</f>
        <v>32013526.67</v>
      </c>
      <c r="F6" s="534">
        <f>+E19</f>
        <v>31179749.87</v>
      </c>
      <c r="G6" s="535"/>
      <c r="H6" s="536"/>
      <c r="I6" s="537"/>
      <c r="P6" s="232"/>
    </row>
    <row r="7" spans="2:16" ht="19.5" customHeight="1">
      <c r="B7" s="549"/>
      <c r="C7" s="550"/>
      <c r="D7" s="233"/>
      <c r="E7" s="234"/>
      <c r="F7" s="234"/>
      <c r="G7" s="235"/>
      <c r="H7" s="235"/>
      <c r="I7" s="236"/>
      <c r="P7" s="232"/>
    </row>
    <row r="8" spans="2:20" s="851" customFormat="1" ht="19.5" customHeight="1">
      <c r="B8" s="591" t="s">
        <v>908</v>
      </c>
      <c r="C8" s="592"/>
      <c r="D8" s="1066" t="s">
        <v>602</v>
      </c>
      <c r="E8" s="594">
        <v>1419456.44</v>
      </c>
      <c r="F8" s="1079"/>
      <c r="G8" s="238"/>
      <c r="H8" s="238"/>
      <c r="I8" s="239"/>
      <c r="K8" s="1068" t="s">
        <v>985</v>
      </c>
      <c r="L8" s="1068" t="s">
        <v>986</v>
      </c>
      <c r="M8" s="1068" t="s">
        <v>987</v>
      </c>
      <c r="N8" s="1068" t="s">
        <v>991</v>
      </c>
      <c r="O8" s="1107">
        <v>500000</v>
      </c>
      <c r="P8" s="1070" t="s">
        <v>983</v>
      </c>
      <c r="Q8" s="1092" t="s">
        <v>995</v>
      </c>
      <c r="R8" s="1042"/>
      <c r="S8" s="1042"/>
      <c r="T8" s="1056"/>
    </row>
    <row r="9" spans="2:20" s="851" customFormat="1" ht="19.5" customHeight="1">
      <c r="B9" s="591" t="s">
        <v>993</v>
      </c>
      <c r="C9" s="592"/>
      <c r="D9" s="1066" t="s">
        <v>602</v>
      </c>
      <c r="E9" s="594"/>
      <c r="F9" s="1078">
        <v>300000</v>
      </c>
      <c r="G9" s="238" t="s">
        <v>986</v>
      </c>
      <c r="H9" s="238" t="s">
        <v>987</v>
      </c>
      <c r="I9" s="239" t="s">
        <v>991</v>
      </c>
      <c r="K9" s="1068" t="s">
        <v>985</v>
      </c>
      <c r="L9" s="1068" t="s">
        <v>986</v>
      </c>
      <c r="M9" s="1068" t="s">
        <v>987</v>
      </c>
      <c r="N9" s="1068" t="s">
        <v>991</v>
      </c>
      <c r="O9" s="1107">
        <v>300000</v>
      </c>
      <c r="P9" s="1070" t="s">
        <v>984</v>
      </c>
      <c r="R9" s="1042"/>
      <c r="S9" s="1042"/>
      <c r="T9" s="1056"/>
    </row>
    <row r="10" spans="2:20" s="851" customFormat="1" ht="19.5" customHeight="1">
      <c r="B10" s="591" t="s">
        <v>909</v>
      </c>
      <c r="C10" s="592"/>
      <c r="D10" s="1066" t="s">
        <v>602</v>
      </c>
      <c r="E10" s="594"/>
      <c r="F10" s="1078">
        <v>200000</v>
      </c>
      <c r="G10" s="238" t="s">
        <v>986</v>
      </c>
      <c r="H10" s="238" t="s">
        <v>987</v>
      </c>
      <c r="I10" s="239" t="s">
        <v>991</v>
      </c>
      <c r="K10" s="1068" t="s">
        <v>985</v>
      </c>
      <c r="L10" s="1068" t="s">
        <v>986</v>
      </c>
      <c r="M10" s="1068" t="s">
        <v>987</v>
      </c>
      <c r="N10" s="1068" t="s">
        <v>991</v>
      </c>
      <c r="O10" s="1107">
        <v>203122.63</v>
      </c>
      <c r="P10" s="1070" t="s">
        <v>982</v>
      </c>
      <c r="Q10" s="1092" t="s">
        <v>995</v>
      </c>
      <c r="R10" s="1042"/>
      <c r="S10" s="1042"/>
      <c r="T10" s="1056"/>
    </row>
    <row r="11" spans="2:20" s="851" customFormat="1" ht="19.5" customHeight="1">
      <c r="B11" s="591" t="s">
        <v>1011</v>
      </c>
      <c r="C11" s="592"/>
      <c r="D11" s="1066"/>
      <c r="E11" s="594"/>
      <c r="F11" s="594">
        <v>203122.63</v>
      </c>
      <c r="G11" s="238" t="s">
        <v>986</v>
      </c>
      <c r="H11" s="238" t="s">
        <v>987</v>
      </c>
      <c r="I11" s="239" t="s">
        <v>991</v>
      </c>
      <c r="K11" s="1068" t="s">
        <v>985</v>
      </c>
      <c r="L11" s="1068" t="s">
        <v>986</v>
      </c>
      <c r="M11" s="1068" t="s">
        <v>987</v>
      </c>
      <c r="N11" s="1068" t="s">
        <v>991</v>
      </c>
      <c r="O11" s="1107">
        <v>200000</v>
      </c>
      <c r="P11" s="1070" t="s">
        <v>981</v>
      </c>
      <c r="R11" s="1042"/>
      <c r="S11" s="1042"/>
      <c r="T11" s="1056"/>
    </row>
    <row r="12" spans="2:9" s="851" customFormat="1" ht="19.5" customHeight="1">
      <c r="B12" s="591" t="s">
        <v>1012</v>
      </c>
      <c r="C12" s="592"/>
      <c r="D12" s="593"/>
      <c r="E12" s="594"/>
      <c r="F12" s="594">
        <v>500000</v>
      </c>
      <c r="G12" s="238" t="s">
        <v>986</v>
      </c>
      <c r="H12" s="238" t="s">
        <v>987</v>
      </c>
      <c r="I12" s="239" t="s">
        <v>991</v>
      </c>
    </row>
    <row r="13" spans="2:9" s="851" customFormat="1" ht="19.5" customHeight="1">
      <c r="B13" s="591"/>
      <c r="C13" s="592"/>
      <c r="D13" s="593"/>
      <c r="E13" s="594"/>
      <c r="F13" s="594"/>
      <c r="G13" s="240"/>
      <c r="H13" s="240"/>
      <c r="I13" s="241"/>
    </row>
    <row r="14" spans="2:9" s="851" customFormat="1" ht="19.5" customHeight="1" thickBot="1">
      <c r="B14" s="854"/>
      <c r="C14" s="855"/>
      <c r="D14" s="856"/>
      <c r="E14" s="857"/>
      <c r="F14" s="857"/>
      <c r="G14" s="244"/>
      <c r="H14" s="244"/>
      <c r="I14" s="245"/>
    </row>
    <row r="15" spans="2:17" ht="19.5" customHeight="1" thickBot="1">
      <c r="B15" s="538" t="s">
        <v>594</v>
      </c>
      <c r="C15" s="539"/>
      <c r="D15" s="540"/>
      <c r="E15" s="611">
        <f>SUM(E7:E14)</f>
        <v>1419456.44</v>
      </c>
      <c r="F15" s="612">
        <f>SUM(F9:F10)</f>
        <v>500000</v>
      </c>
      <c r="G15" s="861"/>
      <c r="H15" s="566"/>
      <c r="I15" s="566"/>
      <c r="O15" s="1072">
        <f>SUM(O8:O14)</f>
        <v>1203122.63</v>
      </c>
      <c r="P15" s="232"/>
      <c r="Q15" s="1071">
        <f>SUM(Q8:Q14)</f>
        <v>0</v>
      </c>
    </row>
    <row r="16" spans="2:16" s="851" customFormat="1" ht="19.5" customHeight="1">
      <c r="B16" s="858" t="s">
        <v>587</v>
      </c>
      <c r="C16" s="859"/>
      <c r="D16" s="834"/>
      <c r="E16" s="860">
        <f>-ROUND((E15*25%),2)</f>
        <v>-354864.11</v>
      </c>
      <c r="F16" s="860">
        <f>-ROUND((F15*25%),2)</f>
        <v>-125000</v>
      </c>
      <c r="G16" s="861"/>
      <c r="H16" s="861"/>
      <c r="I16" s="861"/>
      <c r="K16" s="852"/>
      <c r="L16" s="852"/>
      <c r="M16" s="852"/>
      <c r="N16" s="853"/>
      <c r="O16" s="853"/>
      <c r="P16" s="853"/>
    </row>
    <row r="17" spans="2:16" s="851" customFormat="1" ht="19.5" customHeight="1">
      <c r="B17" s="862" t="s">
        <v>588</v>
      </c>
      <c r="C17" s="859"/>
      <c r="D17" s="863"/>
      <c r="E17" s="864">
        <f>-CPYG!D46</f>
        <v>-2531158.85</v>
      </c>
      <c r="F17" s="865">
        <f>-CPYG!E46</f>
        <v>-2497834.72</v>
      </c>
      <c r="G17" s="861"/>
      <c r="H17" s="861"/>
      <c r="I17" s="861"/>
      <c r="J17" s="852"/>
      <c r="K17" s="852"/>
      <c r="L17" s="852"/>
      <c r="M17" s="852"/>
      <c r="N17" s="853"/>
      <c r="O17" s="853"/>
      <c r="P17" s="853"/>
    </row>
    <row r="18" spans="2:16" s="851" customFormat="1" ht="19.5" customHeight="1" thickBot="1">
      <c r="B18" s="862" t="s">
        <v>589</v>
      </c>
      <c r="C18" s="866"/>
      <c r="D18" s="867"/>
      <c r="E18" s="868">
        <f>-ROUND((E17*25%),2)+0.01</f>
        <v>632789.72</v>
      </c>
      <c r="F18" s="868">
        <f>-ROUND((F17*25%),2)</f>
        <v>624458.68</v>
      </c>
      <c r="G18" s="861"/>
      <c r="H18" s="861"/>
      <c r="I18" s="861"/>
      <c r="K18" s="852"/>
      <c r="L18" s="852"/>
      <c r="M18" s="852"/>
      <c r="N18" s="853"/>
      <c r="O18" s="853"/>
      <c r="P18" s="853"/>
    </row>
    <row r="19" spans="2:16" s="851" customFormat="1" ht="19.5" customHeight="1" thickBot="1" thickTop="1">
      <c r="B19" s="869" t="s">
        <v>590</v>
      </c>
      <c r="C19" s="870"/>
      <c r="D19" s="541"/>
      <c r="E19" s="613">
        <f>E6+E15+E16+E17+E18</f>
        <v>31179749.87</v>
      </c>
      <c r="F19" s="613">
        <f>F6+F15+F16+F17+F18</f>
        <v>29681373.830000002</v>
      </c>
      <c r="G19" s="861"/>
      <c r="H19" s="861"/>
      <c r="I19" s="861"/>
      <c r="J19" s="871"/>
      <c r="K19" s="852"/>
      <c r="L19" s="852"/>
      <c r="M19" s="852"/>
      <c r="N19" s="853"/>
      <c r="O19" s="853"/>
      <c r="P19" s="853"/>
    </row>
    <row r="20" spans="2:9" s="133" customFormat="1" ht="19.5" customHeight="1">
      <c r="B20" s="566"/>
      <c r="C20" s="566"/>
      <c r="D20" s="848"/>
      <c r="E20" s="849"/>
      <c r="F20" s="849"/>
      <c r="G20" s="566"/>
      <c r="H20" s="566"/>
      <c r="I20" s="566"/>
    </row>
    <row r="21" spans="2:9" s="133" customFormat="1" ht="19.5" customHeight="1" thickBot="1">
      <c r="B21" s="566"/>
      <c r="C21" s="566"/>
      <c r="D21" s="848"/>
      <c r="E21" s="849"/>
      <c r="F21" s="849"/>
      <c r="G21" s="566"/>
      <c r="H21" s="566"/>
      <c r="I21" s="566"/>
    </row>
    <row r="22" spans="2:9" s="133" customFormat="1" ht="19.5" customHeight="1" thickBot="1">
      <c r="B22" s="526" t="s">
        <v>139</v>
      </c>
      <c r="C22" s="527"/>
      <c r="D22" s="528" t="s">
        <v>585</v>
      </c>
      <c r="E22" s="528">
        <v>2016</v>
      </c>
      <c r="F22" s="528">
        <v>2017</v>
      </c>
      <c r="G22" s="528" t="s">
        <v>145</v>
      </c>
      <c r="H22" s="528" t="s">
        <v>622</v>
      </c>
      <c r="I22" s="529" t="s">
        <v>621</v>
      </c>
    </row>
    <row r="23" spans="2:9" s="133" customFormat="1" ht="19.5" customHeight="1" thickBot="1">
      <c r="B23" s="526" t="s">
        <v>334</v>
      </c>
      <c r="C23" s="527"/>
      <c r="D23" s="542"/>
      <c r="E23" s="543"/>
      <c r="F23" s="543"/>
      <c r="G23" s="542"/>
      <c r="H23" s="542"/>
      <c r="I23" s="544"/>
    </row>
    <row r="24" spans="2:16" s="222" customFormat="1" ht="19.5" customHeight="1">
      <c r="B24" s="872" t="s">
        <v>992</v>
      </c>
      <c r="C24" s="592"/>
      <c r="D24" s="1066" t="s">
        <v>602</v>
      </c>
      <c r="E24" s="873"/>
      <c r="F24" s="1078">
        <v>59000</v>
      </c>
      <c r="G24" s="1138" t="s">
        <v>986</v>
      </c>
      <c r="H24" s="1138" t="s">
        <v>987</v>
      </c>
      <c r="I24" s="1139" t="s">
        <v>988</v>
      </c>
      <c r="K24" s="1068" t="s">
        <v>985</v>
      </c>
      <c r="L24" s="1068" t="s">
        <v>986</v>
      </c>
      <c r="M24" s="1068" t="s">
        <v>987</v>
      </c>
      <c r="N24" s="1068" t="s">
        <v>988</v>
      </c>
      <c r="O24" s="1072">
        <v>59000</v>
      </c>
      <c r="P24" s="1070" t="s">
        <v>990</v>
      </c>
    </row>
    <row r="25" spans="2:14" s="222" customFormat="1" ht="19.5" customHeight="1">
      <c r="B25" s="591"/>
      <c r="C25" s="592"/>
      <c r="D25" s="863"/>
      <c r="E25" s="594"/>
      <c r="F25" s="1079"/>
      <c r="G25" s="561"/>
      <c r="H25" s="561"/>
      <c r="I25" s="562"/>
      <c r="K25" s="1073"/>
      <c r="L25" s="1073"/>
      <c r="M25" s="1073"/>
      <c r="N25" s="1073"/>
    </row>
    <row r="26" spans="2:14" s="222" customFormat="1" ht="19.5" customHeight="1">
      <c r="B26" s="591"/>
      <c r="C26" s="592"/>
      <c r="D26" s="863"/>
      <c r="E26" s="594"/>
      <c r="F26" s="1079"/>
      <c r="G26" s="561"/>
      <c r="H26" s="561"/>
      <c r="I26" s="562"/>
      <c r="J26" s="580"/>
      <c r="K26" s="1073"/>
      <c r="L26" s="1073"/>
      <c r="M26" s="1073"/>
      <c r="N26" s="1073"/>
    </row>
    <row r="27" spans="2:14" s="222" customFormat="1" ht="19.5" customHeight="1" thickBot="1">
      <c r="B27" s="854"/>
      <c r="C27" s="855"/>
      <c r="D27" s="856"/>
      <c r="E27" s="857"/>
      <c r="F27" s="1080"/>
      <c r="G27" s="563"/>
      <c r="H27" s="563"/>
      <c r="I27" s="245"/>
      <c r="K27" s="1073"/>
      <c r="L27" s="1073"/>
      <c r="M27" s="1073"/>
      <c r="N27" s="1073"/>
    </row>
    <row r="28" spans="2:14" s="222" customFormat="1" ht="19.5" customHeight="1" thickBot="1">
      <c r="B28" s="874" t="s">
        <v>144</v>
      </c>
      <c r="C28" s="875"/>
      <c r="D28" s="876"/>
      <c r="E28" s="614">
        <f>SUM(E24:E27)</f>
        <v>0</v>
      </c>
      <c r="F28" s="1081">
        <f>SUM(F24:F27)</f>
        <v>59000</v>
      </c>
      <c r="G28" s="861"/>
      <c r="H28" s="861"/>
      <c r="I28" s="861"/>
      <c r="K28" s="1073"/>
      <c r="L28" s="1073"/>
      <c r="M28" s="1073"/>
      <c r="N28" s="1073"/>
    </row>
    <row r="29" spans="2:14" s="133" customFormat="1" ht="19.5" customHeight="1" thickBot="1">
      <c r="B29" s="566"/>
      <c r="C29" s="566"/>
      <c r="D29" s="566"/>
      <c r="E29" s="566"/>
      <c r="F29" s="566"/>
      <c r="G29" s="566"/>
      <c r="H29" s="566"/>
      <c r="I29" s="566"/>
      <c r="K29" s="1074"/>
      <c r="L29" s="1074"/>
      <c r="M29" s="1074"/>
      <c r="N29" s="1074"/>
    </row>
    <row r="30" spans="2:14" s="133" customFormat="1" ht="41.25" customHeight="1" thickBot="1">
      <c r="B30" s="1050" t="s">
        <v>386</v>
      </c>
      <c r="C30" s="1051"/>
      <c r="D30" s="1047" t="s">
        <v>585</v>
      </c>
      <c r="E30" s="1047">
        <v>2016</v>
      </c>
      <c r="F30" s="1047">
        <v>2017</v>
      </c>
      <c r="G30" s="1047" t="s">
        <v>145</v>
      </c>
      <c r="H30" s="1047" t="s">
        <v>622</v>
      </c>
      <c r="I30" s="1048" t="s">
        <v>621</v>
      </c>
      <c r="K30" s="1074"/>
      <c r="L30" s="1074"/>
      <c r="M30" s="1074"/>
      <c r="N30" s="1074"/>
    </row>
    <row r="31" spans="2:14" s="133" customFormat="1" ht="19.5" customHeight="1">
      <c r="B31" s="557"/>
      <c r="C31" s="558"/>
      <c r="D31" s="559"/>
      <c r="E31" s="560"/>
      <c r="F31" s="1043"/>
      <c r="G31" s="627"/>
      <c r="H31" s="627"/>
      <c r="I31" s="628"/>
      <c r="J31" s="567"/>
      <c r="K31" s="1075"/>
      <c r="L31" s="1074"/>
      <c r="M31" s="1074"/>
      <c r="N31" s="1074"/>
    </row>
    <row r="32" spans="2:14" s="222" customFormat="1" ht="19.5" customHeight="1">
      <c r="B32" s="591" t="s">
        <v>911</v>
      </c>
      <c r="C32" s="592"/>
      <c r="D32" s="1066" t="s">
        <v>602</v>
      </c>
      <c r="E32" s="594">
        <v>392549</v>
      </c>
      <c r="F32" s="1044">
        <v>392549</v>
      </c>
      <c r="G32" s="1049">
        <v>604</v>
      </c>
      <c r="H32" s="1049">
        <v>4190</v>
      </c>
      <c r="I32" s="1054">
        <v>44980</v>
      </c>
      <c r="J32" s="877"/>
      <c r="K32" s="1073"/>
      <c r="L32" s="1073"/>
      <c r="M32" s="1073"/>
      <c r="N32" s="1073"/>
    </row>
    <row r="33" spans="2:14" s="222" customFormat="1" ht="19.5" customHeight="1">
      <c r="B33" s="591" t="s">
        <v>912</v>
      </c>
      <c r="C33" s="592"/>
      <c r="D33" s="1066" t="s">
        <v>602</v>
      </c>
      <c r="E33" s="594">
        <v>31749</v>
      </c>
      <c r="F33" s="1044">
        <v>0</v>
      </c>
      <c r="G33" s="561"/>
      <c r="H33" s="561"/>
      <c r="I33" s="562"/>
      <c r="K33" s="1073"/>
      <c r="L33" s="1073"/>
      <c r="M33" s="1073"/>
      <c r="N33" s="1073"/>
    </row>
    <row r="34" spans="2:16" s="851" customFormat="1" ht="24.75" customHeight="1">
      <c r="B34" s="591" t="s">
        <v>913</v>
      </c>
      <c r="C34" s="592"/>
      <c r="D34" s="1066" t="s">
        <v>602</v>
      </c>
      <c r="E34" s="594">
        <v>10900</v>
      </c>
      <c r="F34" s="1055">
        <v>10900</v>
      </c>
      <c r="G34" s="1049">
        <v>604</v>
      </c>
      <c r="H34" s="1049">
        <v>4190</v>
      </c>
      <c r="I34" s="1054">
        <v>44980</v>
      </c>
      <c r="K34" s="1076"/>
      <c r="L34" s="1076"/>
      <c r="M34" s="1076"/>
      <c r="N34" s="1077"/>
      <c r="O34" s="853">
        <f>SUM(F32:F34)</f>
        <v>403449</v>
      </c>
      <c r="P34" s="853"/>
    </row>
    <row r="35" spans="2:16" s="851" customFormat="1" ht="19.5" customHeight="1">
      <c r="B35" s="591" t="s">
        <v>914</v>
      </c>
      <c r="C35" s="592"/>
      <c r="D35" s="1066" t="s">
        <v>602</v>
      </c>
      <c r="E35" s="594">
        <v>300000</v>
      </c>
      <c r="F35" s="1044">
        <v>300000</v>
      </c>
      <c r="G35" s="1049">
        <v>604</v>
      </c>
      <c r="H35" s="1049">
        <v>4190</v>
      </c>
      <c r="I35" s="1054">
        <v>44980</v>
      </c>
      <c r="K35" s="1076"/>
      <c r="L35" s="1076"/>
      <c r="M35" s="1076"/>
      <c r="N35" s="1077"/>
      <c r="O35" s="853"/>
      <c r="P35" s="853"/>
    </row>
    <row r="36" spans="2:16" s="851" customFormat="1" ht="19.5" customHeight="1">
      <c r="B36" s="591"/>
      <c r="C36" s="592"/>
      <c r="D36" s="1066"/>
      <c r="E36" s="594"/>
      <c r="F36" s="1044"/>
      <c r="G36" s="561"/>
      <c r="H36" s="561"/>
      <c r="I36" s="562"/>
      <c r="K36" s="1076"/>
      <c r="L36" s="1076"/>
      <c r="M36" s="1076"/>
      <c r="N36" s="1077"/>
      <c r="O36" s="853"/>
      <c r="P36" s="853"/>
    </row>
    <row r="37" spans="2:16" s="851" customFormat="1" ht="19.5" customHeight="1">
      <c r="B37" s="591"/>
      <c r="C37" s="592"/>
      <c r="D37" s="593"/>
      <c r="E37" s="594"/>
      <c r="F37" s="1045"/>
      <c r="G37" s="561"/>
      <c r="H37" s="561"/>
      <c r="I37" s="562"/>
      <c r="K37" s="1068" t="s">
        <v>985</v>
      </c>
      <c r="L37" s="1068" t="s">
        <v>986</v>
      </c>
      <c r="M37" s="1068" t="s">
        <v>987</v>
      </c>
      <c r="N37" s="1068" t="s">
        <v>988</v>
      </c>
      <c r="O37" s="1069">
        <v>403449</v>
      </c>
      <c r="P37" s="1070" t="s">
        <v>980</v>
      </c>
    </row>
    <row r="38" spans="2:16" ht="19.5" customHeight="1" thickBot="1">
      <c r="B38" s="552"/>
      <c r="C38" s="553"/>
      <c r="D38" s="317"/>
      <c r="E38" s="318"/>
      <c r="F38" s="1046"/>
      <c r="G38" s="563"/>
      <c r="H38" s="563"/>
      <c r="I38" s="245"/>
      <c r="K38" s="1068" t="s">
        <v>985</v>
      </c>
      <c r="L38" s="1068" t="s">
        <v>986</v>
      </c>
      <c r="M38" s="1068" t="s">
        <v>987</v>
      </c>
      <c r="N38" s="1068" t="s">
        <v>988</v>
      </c>
      <c r="O38" s="1069">
        <v>300000</v>
      </c>
      <c r="P38" s="1070" t="s">
        <v>989</v>
      </c>
    </row>
    <row r="39" spans="2:17" ht="19.5" customHeight="1" thickBot="1">
      <c r="B39" s="1052" t="s">
        <v>144</v>
      </c>
      <c r="C39" s="531"/>
      <c r="D39" s="1053"/>
      <c r="E39" s="614">
        <f>SUM(E31:E38)</f>
        <v>735198</v>
      </c>
      <c r="F39" s="1081">
        <f>SUM(F31:F38)</f>
        <v>703449</v>
      </c>
      <c r="G39" s="566"/>
      <c r="H39" s="566"/>
      <c r="I39" s="566"/>
      <c r="N39" s="231"/>
      <c r="O39" s="1072">
        <f>SUM(O37:O38)</f>
        <v>703449</v>
      </c>
      <c r="P39" s="232"/>
      <c r="Q39" s="1041">
        <f>SUM(P37:P38)</f>
        <v>0</v>
      </c>
    </row>
    <row r="40" spans="2:9" s="133" customFormat="1" ht="19.5" customHeight="1">
      <c r="B40" s="566"/>
      <c r="C40" s="566"/>
      <c r="D40" s="850"/>
      <c r="E40" s="849"/>
      <c r="F40" s="849"/>
      <c r="G40" s="566"/>
      <c r="H40" s="566"/>
      <c r="I40" s="566"/>
    </row>
    <row r="41" spans="2:9" s="133" customFormat="1" ht="19.5" customHeight="1" thickBot="1">
      <c r="B41" s="566"/>
      <c r="C41" s="566"/>
      <c r="D41" s="566"/>
      <c r="E41" s="566"/>
      <c r="F41" s="566"/>
      <c r="G41" s="566"/>
      <c r="H41" s="566"/>
      <c r="I41" s="566"/>
    </row>
    <row r="42" spans="2:9" s="133" customFormat="1" ht="19.5" customHeight="1" thickBot="1">
      <c r="B42" s="547" t="s">
        <v>593</v>
      </c>
      <c r="C42" s="527"/>
      <c r="D42" s="528" t="s">
        <v>585</v>
      </c>
      <c r="E42" s="528">
        <v>2016</v>
      </c>
      <c r="F42" s="528">
        <v>2017</v>
      </c>
      <c r="G42" s="528" t="s">
        <v>145</v>
      </c>
      <c r="H42" s="528" t="s">
        <v>622</v>
      </c>
      <c r="I42" s="529" t="s">
        <v>621</v>
      </c>
    </row>
    <row r="43" spans="2:9" s="133" customFormat="1" ht="19.5" customHeight="1">
      <c r="B43" s="549"/>
      <c r="C43" s="550"/>
      <c r="D43" s="233"/>
      <c r="E43" s="234"/>
      <c r="F43" s="234"/>
      <c r="G43" s="238"/>
      <c r="H43" s="238"/>
      <c r="I43" s="239"/>
    </row>
    <row r="44" spans="2:9" s="133" customFormat="1" ht="19.5" customHeight="1">
      <c r="B44" s="551"/>
      <c r="C44" s="550"/>
      <c r="D44" s="233"/>
      <c r="E44" s="237"/>
      <c r="F44" s="237"/>
      <c r="G44" s="240"/>
      <c r="H44" s="240"/>
      <c r="I44" s="241"/>
    </row>
    <row r="45" spans="2:9" s="133" customFormat="1" ht="19.5" customHeight="1" thickBot="1">
      <c r="B45" s="551"/>
      <c r="C45" s="554"/>
      <c r="D45" s="242"/>
      <c r="E45" s="243"/>
      <c r="F45" s="243"/>
      <c r="G45" s="244"/>
      <c r="H45" s="244"/>
      <c r="I45" s="245"/>
    </row>
    <row r="46" spans="2:9" s="133" customFormat="1" ht="19.5" customHeight="1" thickBot="1">
      <c r="B46" s="545" t="s">
        <v>600</v>
      </c>
      <c r="C46" s="527"/>
      <c r="D46" s="546"/>
      <c r="E46" s="548">
        <f>SUM(E43:E45)</f>
        <v>0</v>
      </c>
      <c r="F46" s="548">
        <f>SUM(F43:F45)</f>
        <v>0</v>
      </c>
      <c r="G46" s="566"/>
      <c r="H46" s="566"/>
      <c r="I46" s="566"/>
    </row>
    <row r="47" spans="2:6" s="133" customFormat="1" ht="19.5" customHeight="1">
      <c r="B47" s="246"/>
      <c r="C47" s="247"/>
      <c r="D47" s="248"/>
      <c r="E47" s="248"/>
      <c r="F47" s="248"/>
    </row>
    <row r="48" spans="2:9" s="133" customFormat="1" ht="45.75" customHeight="1">
      <c r="B48" s="1406"/>
      <c r="C48" s="1406"/>
      <c r="D48" s="1406"/>
      <c r="E48" s="1406"/>
      <c r="F48" s="1406"/>
      <c r="G48" s="1406"/>
      <c r="H48" s="1406"/>
      <c r="I48" s="1406"/>
    </row>
    <row r="49" spans="2:9" s="133" customFormat="1" ht="19.5" customHeight="1">
      <c r="B49" s="1402"/>
      <c r="C49" s="1402"/>
      <c r="D49" s="1402"/>
      <c r="E49" s="1402"/>
      <c r="F49" s="1402"/>
      <c r="G49" s="1402"/>
      <c r="H49" s="1402"/>
      <c r="I49" s="1402"/>
    </row>
    <row r="50" spans="2:9" s="133" customFormat="1" ht="18.75" customHeight="1">
      <c r="B50" s="1402"/>
      <c r="C50" s="1402"/>
      <c r="D50" s="1402"/>
      <c r="E50" s="1402"/>
      <c r="F50" s="1402"/>
      <c r="G50" s="1402"/>
      <c r="H50" s="1402"/>
      <c r="I50" s="1402"/>
    </row>
    <row r="51" spans="5:15" s="133" customFormat="1" ht="19.5" customHeight="1" hidden="1">
      <c r="E51" s="134">
        <f>+E15+E39</f>
        <v>2154654.44</v>
      </c>
      <c r="F51" s="134">
        <f>+F15+F39</f>
        <v>1203449</v>
      </c>
      <c r="O51" s="134">
        <f>+O15+O39+O24</f>
        <v>1965571.63</v>
      </c>
    </row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2.75"/>
    <row r="64" s="133" customFormat="1" ht="12.75"/>
    <row r="65" s="133" customFormat="1" ht="12.75"/>
    <row r="66" s="133" customFormat="1" ht="12.75"/>
    <row r="67" s="133" customFormat="1" ht="12.75"/>
    <row r="68" s="133" customFormat="1" ht="12.75"/>
    <row r="74" ht="12.75">
      <c r="D74" s="230" t="s">
        <v>601</v>
      </c>
    </row>
    <row r="75" ht="12.75">
      <c r="D75" s="230" t="s">
        <v>602</v>
      </c>
    </row>
    <row r="76" ht="12.75">
      <c r="D76" s="230" t="s">
        <v>603</v>
      </c>
    </row>
    <row r="77" ht="12.75">
      <c r="D77" s="230" t="s">
        <v>604</v>
      </c>
    </row>
    <row r="78" ht="12.75">
      <c r="D78" s="230" t="s">
        <v>605</v>
      </c>
    </row>
    <row r="79" ht="12.75">
      <c r="D79" s="230" t="s">
        <v>606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49:I49"/>
    <mergeCell ref="B50:I50"/>
    <mergeCell ref="B4:I4"/>
    <mergeCell ref="B48:I48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74:E74">
      <formula1>'Transf. y subv.'!$D$6:$D$11</formula1>
    </dataValidation>
    <dataValidation type="list" allowBlank="1" showInputMessage="1" showErrorMessage="1" promptTitle="TENER EN CUENTA" prompt="Indicar Entidad Pública" sqref="D31:D38 D12:D14 D7:D10 D24:D27">
      <formula1>'Transf. y subv.'!$D$83:$D$88</formula1>
    </dataValidation>
    <dataValidation allowBlank="1" showInputMessage="1" showErrorMessage="1" promptTitle="ENTRADA" prompt="Antes de Estimar esta Celda debes incluir en Celda Naranja el Dato Inicial" sqref="E31:F31 E24:F24 E7:F7"/>
  </dataValidations>
  <printOptions horizontalCentered="1" verticalCentered="1"/>
  <pageMargins left="0.51" right="0.26" top="0.66" bottom="0.29000000000000004" header="0.51" footer="0.26"/>
  <pageSetup fitToHeight="1" fitToWidth="1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3:Q29"/>
  <sheetViews>
    <sheetView zoomScalePageLayoutView="0" workbookViewId="0" topLeftCell="A1">
      <selection activeCell="N1" sqref="N1:Q16384"/>
    </sheetView>
  </sheetViews>
  <sheetFormatPr defaultColWidth="11.421875" defaultRowHeight="12.75"/>
  <cols>
    <col min="1" max="1" width="11.421875" style="133" customWidth="1"/>
    <col min="2" max="2" width="2.28125" style="133" customWidth="1"/>
    <col min="3" max="6" width="11.421875" style="133" customWidth="1"/>
    <col min="7" max="7" width="14.7109375" style="133" customWidth="1"/>
    <col min="8" max="8" width="11.421875" style="133" customWidth="1"/>
    <col min="9" max="9" width="14.7109375" style="133" customWidth="1"/>
    <col min="10" max="13" width="11.421875" style="133" customWidth="1"/>
    <col min="14" max="17" width="0" style="133" hidden="1" customWidth="1"/>
    <col min="18" max="16384" width="11.421875" style="133" customWidth="1"/>
  </cols>
  <sheetData>
    <row r="2" ht="13.5" thickBot="1"/>
    <row r="3" spans="2:12" ht="21.75" customHeight="1">
      <c r="B3" s="1175" t="s">
        <v>321</v>
      </c>
      <c r="C3" s="1176"/>
      <c r="D3" s="1176"/>
      <c r="E3" s="1176"/>
      <c r="F3" s="1176"/>
      <c r="G3" s="1176"/>
      <c r="H3" s="1176"/>
      <c r="I3" s="1176"/>
      <c r="J3" s="1176"/>
      <c r="K3" s="1434"/>
      <c r="L3" s="1429">
        <v>2017</v>
      </c>
    </row>
    <row r="4" spans="2:12" ht="19.5" customHeight="1" thickBot="1">
      <c r="B4" s="1180" t="s">
        <v>342</v>
      </c>
      <c r="C4" s="1181"/>
      <c r="D4" s="1181"/>
      <c r="E4" s="1181"/>
      <c r="F4" s="1181"/>
      <c r="G4" s="1181"/>
      <c r="H4" s="1181"/>
      <c r="I4" s="1181"/>
      <c r="J4" s="1181"/>
      <c r="K4" s="1435"/>
      <c r="L4" s="1430"/>
    </row>
    <row r="5" spans="2:12" ht="27.75" customHeight="1" thickBot="1">
      <c r="B5" s="1431" t="str">
        <f>CPYG!B3</f>
        <v>ENTIDAD: ENTIDAD PÚBLICA EMPRESARIAL LOCAL BALSAS DE TENERIFE, BALTEN</v>
      </c>
      <c r="C5" s="1432"/>
      <c r="D5" s="1432"/>
      <c r="E5" s="1432"/>
      <c r="F5" s="1432"/>
      <c r="G5" s="1432"/>
      <c r="H5" s="1432"/>
      <c r="I5" s="1433"/>
      <c r="J5" s="1438" t="s">
        <v>513</v>
      </c>
      <c r="K5" s="1438"/>
      <c r="L5" s="1439"/>
    </row>
    <row r="6" ht="13.5" thickBot="1"/>
    <row r="7" spans="2:12" ht="17.25" customHeight="1" thickBot="1">
      <c r="B7" s="1418" t="s">
        <v>514</v>
      </c>
      <c r="C7" s="1419"/>
      <c r="D7" s="1419"/>
      <c r="E7" s="1419"/>
      <c r="F7" s="1419"/>
      <c r="G7" s="1419"/>
      <c r="H7" s="1420"/>
      <c r="I7" s="1436" t="s">
        <v>515</v>
      </c>
      <c r="J7" s="1418" t="s">
        <v>516</v>
      </c>
      <c r="K7" s="1419"/>
      <c r="L7" s="1420"/>
    </row>
    <row r="8" spans="2:12" ht="30" customHeight="1" thickBot="1">
      <c r="B8" s="1421"/>
      <c r="C8" s="1422"/>
      <c r="D8" s="1422"/>
      <c r="E8" s="1422"/>
      <c r="F8" s="1422"/>
      <c r="G8" s="1422"/>
      <c r="H8" s="1423"/>
      <c r="I8" s="1437"/>
      <c r="J8" s="693">
        <v>42736</v>
      </c>
      <c r="K8" s="694">
        <v>42767</v>
      </c>
      <c r="L8" s="695">
        <v>42795</v>
      </c>
    </row>
    <row r="9" spans="2:17" ht="17.25" customHeight="1">
      <c r="B9" s="1424" t="s">
        <v>517</v>
      </c>
      <c r="C9" s="1425"/>
      <c r="D9" s="1425"/>
      <c r="E9" s="1425"/>
      <c r="F9" s="1425"/>
      <c r="G9" s="1425"/>
      <c r="H9" s="1426"/>
      <c r="I9" s="1096">
        <v>0</v>
      </c>
      <c r="J9" s="696"/>
      <c r="K9" s="697"/>
      <c r="L9" s="698"/>
      <c r="N9" s="1098" t="s">
        <v>1000</v>
      </c>
      <c r="O9" s="1099"/>
      <c r="P9" s="1099"/>
      <c r="Q9" s="1099"/>
    </row>
    <row r="10" spans="2:12" ht="6.75" customHeight="1">
      <c r="B10" s="630"/>
      <c r="C10" s="629"/>
      <c r="D10" s="629"/>
      <c r="E10" s="629"/>
      <c r="F10" s="629"/>
      <c r="G10" s="629"/>
      <c r="H10" s="224"/>
      <c r="I10" s="1095"/>
      <c r="J10" s="223"/>
      <c r="K10" s="158"/>
      <c r="L10" s="224"/>
    </row>
    <row r="11" spans="2:12" ht="17.25" customHeight="1">
      <c r="B11" s="1424" t="s">
        <v>518</v>
      </c>
      <c r="C11" s="1425"/>
      <c r="D11" s="1425"/>
      <c r="E11" s="1425"/>
      <c r="F11" s="1425"/>
      <c r="G11" s="1425"/>
      <c r="H11" s="1426"/>
      <c r="I11" s="1094">
        <f>+I13+I14+I15+I16+I17</f>
        <v>870000</v>
      </c>
      <c r="J11" s="696"/>
      <c r="K11" s="697"/>
      <c r="L11" s="698"/>
    </row>
    <row r="12" spans="2:12" ht="6.75" customHeight="1">
      <c r="B12" s="699"/>
      <c r="C12" s="158"/>
      <c r="D12" s="158"/>
      <c r="E12" s="158"/>
      <c r="F12" s="158"/>
      <c r="G12" s="158"/>
      <c r="H12" s="224"/>
      <c r="I12" s="1095"/>
      <c r="J12" s="223"/>
      <c r="K12" s="158"/>
      <c r="L12" s="224"/>
    </row>
    <row r="13" spans="2:12" ht="12.75">
      <c r="B13" s="223"/>
      <c r="C13" s="158" t="s">
        <v>519</v>
      </c>
      <c r="D13" s="158"/>
      <c r="E13" s="158"/>
      <c r="F13" s="158"/>
      <c r="G13" s="158"/>
      <c r="H13" s="224"/>
      <c r="I13" s="1095">
        <v>0</v>
      </c>
      <c r="J13" s="223"/>
      <c r="K13" s="158"/>
      <c r="L13" s="224"/>
    </row>
    <row r="14" spans="2:12" ht="12.75">
      <c r="B14" s="223"/>
      <c r="C14" s="158" t="s">
        <v>520</v>
      </c>
      <c r="D14" s="158"/>
      <c r="E14" s="158"/>
      <c r="F14" s="158"/>
      <c r="G14" s="158"/>
      <c r="H14" s="224"/>
      <c r="I14" s="1095">
        <v>0</v>
      </c>
      <c r="J14" s="223"/>
      <c r="K14" s="158"/>
      <c r="L14" s="224"/>
    </row>
    <row r="15" spans="2:12" ht="12.75">
      <c r="B15" s="223"/>
      <c r="C15" s="158" t="s">
        <v>521</v>
      </c>
      <c r="D15" s="158"/>
      <c r="E15" s="158"/>
      <c r="F15" s="158"/>
      <c r="G15" s="158"/>
      <c r="H15" s="224"/>
      <c r="I15" s="1095">
        <v>0</v>
      </c>
      <c r="J15" s="223"/>
      <c r="K15" s="158"/>
      <c r="L15" s="224"/>
    </row>
    <row r="16" spans="2:12" ht="12.75">
      <c r="B16" s="223"/>
      <c r="C16" s="158" t="s">
        <v>527</v>
      </c>
      <c r="D16" s="158"/>
      <c r="E16" s="158"/>
      <c r="F16" s="158"/>
      <c r="G16" s="158"/>
      <c r="H16" s="224"/>
      <c r="I16" s="1095">
        <v>0</v>
      </c>
      <c r="J16" s="223"/>
      <c r="K16" s="158"/>
      <c r="L16" s="224"/>
    </row>
    <row r="17" spans="2:17" ht="12.75">
      <c r="B17" s="223"/>
      <c r="C17" s="158" t="s">
        <v>336</v>
      </c>
      <c r="D17" s="158"/>
      <c r="E17" s="158"/>
      <c r="F17" s="158"/>
      <c r="G17" s="158"/>
      <c r="H17" s="224"/>
      <c r="I17" s="1095">
        <v>870000</v>
      </c>
      <c r="J17" s="223"/>
      <c r="K17" s="158"/>
      <c r="L17" s="224"/>
      <c r="N17" s="1098" t="s">
        <v>999</v>
      </c>
      <c r="O17" s="1099"/>
      <c r="P17" s="1099"/>
      <c r="Q17" s="1099"/>
    </row>
    <row r="18" spans="2:12" ht="6.75" customHeight="1">
      <c r="B18" s="699"/>
      <c r="C18" s="158"/>
      <c r="D18" s="158"/>
      <c r="E18" s="158"/>
      <c r="F18" s="158"/>
      <c r="G18" s="158"/>
      <c r="H18" s="224"/>
      <c r="I18" s="1095"/>
      <c r="J18" s="223"/>
      <c r="K18" s="158"/>
      <c r="L18" s="224"/>
    </row>
    <row r="19" spans="2:12" ht="17.25" customHeight="1">
      <c r="B19" s="1424" t="s">
        <v>522</v>
      </c>
      <c r="C19" s="1425"/>
      <c r="D19" s="1425"/>
      <c r="E19" s="1425"/>
      <c r="F19" s="1425"/>
      <c r="G19" s="1425"/>
      <c r="H19" s="1426"/>
      <c r="I19" s="1094">
        <f>+I21+I22</f>
        <v>0</v>
      </c>
      <c r="J19" s="696"/>
      <c r="K19" s="697"/>
      <c r="L19" s="698"/>
    </row>
    <row r="20" spans="2:12" ht="6.75" customHeight="1">
      <c r="B20" s="699"/>
      <c r="C20" s="158"/>
      <c r="D20" s="158"/>
      <c r="E20" s="158"/>
      <c r="F20" s="158"/>
      <c r="G20" s="158"/>
      <c r="H20" s="224"/>
      <c r="I20" s="1095"/>
      <c r="J20" s="223"/>
      <c r="K20" s="158"/>
      <c r="L20" s="224"/>
    </row>
    <row r="21" spans="2:12" ht="12.75">
      <c r="B21" s="223"/>
      <c r="C21" s="1427" t="s">
        <v>523</v>
      </c>
      <c r="D21" s="1427"/>
      <c r="E21" s="1427"/>
      <c r="F21" s="1427"/>
      <c r="G21" s="1427"/>
      <c r="H21" s="1428"/>
      <c r="I21" s="1095">
        <v>0</v>
      </c>
      <c r="J21" s="223"/>
      <c r="K21" s="158"/>
      <c r="L21" s="224"/>
    </row>
    <row r="22" spans="2:12" ht="12.75">
      <c r="B22" s="223"/>
      <c r="C22" s="1427" t="s">
        <v>524</v>
      </c>
      <c r="D22" s="1427"/>
      <c r="E22" s="1427"/>
      <c r="F22" s="1427"/>
      <c r="G22" s="1427"/>
      <c r="H22" s="1428"/>
      <c r="I22" s="1095">
        <v>0</v>
      </c>
      <c r="J22" s="223"/>
      <c r="K22" s="158"/>
      <c r="L22" s="224"/>
    </row>
    <row r="23" spans="2:12" ht="6.75" customHeight="1">
      <c r="B23" s="699"/>
      <c r="C23" s="158"/>
      <c r="D23" s="158"/>
      <c r="E23" s="158"/>
      <c r="F23" s="158"/>
      <c r="G23" s="158"/>
      <c r="H23" s="224"/>
      <c r="I23" s="1095"/>
      <c r="J23" s="223"/>
      <c r="K23" s="158"/>
      <c r="L23" s="224"/>
    </row>
    <row r="24" spans="2:12" ht="17.25" customHeight="1">
      <c r="B24" s="1424" t="s">
        <v>525</v>
      </c>
      <c r="C24" s="1425"/>
      <c r="D24" s="1425"/>
      <c r="E24" s="1425"/>
      <c r="F24" s="1425"/>
      <c r="G24" s="1425"/>
      <c r="H24" s="1426"/>
      <c r="I24" s="1094">
        <f>+I26+I27</f>
        <v>0</v>
      </c>
      <c r="J24" s="696"/>
      <c r="K24" s="697"/>
      <c r="L24" s="698"/>
    </row>
    <row r="25" spans="2:12" ht="6.75" customHeight="1">
      <c r="B25" s="699"/>
      <c r="C25" s="158"/>
      <c r="D25" s="158"/>
      <c r="E25" s="158"/>
      <c r="F25" s="158"/>
      <c r="G25" s="158"/>
      <c r="H25" s="224"/>
      <c r="I25" s="1095"/>
      <c r="J25" s="223"/>
      <c r="K25" s="158"/>
      <c r="L25" s="224"/>
    </row>
    <row r="26" spans="2:12" ht="12.75">
      <c r="B26" s="223"/>
      <c r="C26" s="1427" t="s">
        <v>523</v>
      </c>
      <c r="D26" s="1427"/>
      <c r="E26" s="1427"/>
      <c r="F26" s="1427"/>
      <c r="G26" s="1427"/>
      <c r="H26" s="1428"/>
      <c r="I26" s="1095">
        <v>0</v>
      </c>
      <c r="J26" s="223"/>
      <c r="K26" s="158"/>
      <c r="L26" s="224"/>
    </row>
    <row r="27" spans="2:12" ht="13.5" thickBot="1">
      <c r="B27" s="296"/>
      <c r="C27" s="1416" t="s">
        <v>524</v>
      </c>
      <c r="D27" s="1416"/>
      <c r="E27" s="1416"/>
      <c r="F27" s="1416"/>
      <c r="G27" s="1416"/>
      <c r="H27" s="1417"/>
      <c r="I27" s="1097">
        <v>0</v>
      </c>
      <c r="J27" s="296"/>
      <c r="K27" s="294"/>
      <c r="L27" s="297"/>
    </row>
    <row r="29" ht="12.75">
      <c r="C29" s="575" t="s">
        <v>526</v>
      </c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L26"/>
  <sheetViews>
    <sheetView zoomScale="85" zoomScaleNormal="85" zoomScalePageLayoutView="0" workbookViewId="0" topLeftCell="A1">
      <selection activeCell="F37" sqref="F37"/>
    </sheetView>
  </sheetViews>
  <sheetFormatPr defaultColWidth="11.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421875" style="133" customWidth="1"/>
  </cols>
  <sheetData>
    <row r="1" ht="26.25" customHeight="1" thickBot="1"/>
    <row r="2" spans="2:12" ht="21.75" customHeight="1">
      <c r="B2" s="1175" t="s">
        <v>321</v>
      </c>
      <c r="C2" s="1176"/>
      <c r="D2" s="1176"/>
      <c r="E2" s="1176"/>
      <c r="F2" s="1176"/>
      <c r="G2" s="1176"/>
      <c r="H2" s="1176"/>
      <c r="I2" s="1176"/>
      <c r="J2" s="1176"/>
      <c r="K2" s="1434"/>
      <c r="L2" s="1429">
        <v>2017</v>
      </c>
    </row>
    <row r="3" spans="2:12" ht="19.5" customHeight="1" thickBot="1">
      <c r="B3" s="1180" t="s">
        <v>342</v>
      </c>
      <c r="C3" s="1181"/>
      <c r="D3" s="1181"/>
      <c r="E3" s="1181"/>
      <c r="F3" s="1181"/>
      <c r="G3" s="1181"/>
      <c r="H3" s="1181"/>
      <c r="I3" s="1181"/>
      <c r="J3" s="1181"/>
      <c r="K3" s="1435"/>
      <c r="L3" s="1430"/>
    </row>
    <row r="4" spans="2:12" ht="56.25" customHeight="1" thickBot="1">
      <c r="B4" s="1431" t="str">
        <f>CPYG!B3</f>
        <v>ENTIDAD: ENTIDAD PÚBLICA EMPRESARIAL LOCAL BALSAS DE TENERIFE, BALTEN</v>
      </c>
      <c r="C4" s="1432"/>
      <c r="D4" s="1432"/>
      <c r="E4" s="1432"/>
      <c r="F4" s="1432"/>
      <c r="G4" s="1432"/>
      <c r="H4" s="1432"/>
      <c r="I4" s="1433"/>
      <c r="J4" s="1438" t="s">
        <v>530</v>
      </c>
      <c r="K4" s="1438"/>
      <c r="L4" s="1439"/>
    </row>
    <row r="5" spans="1:2" ht="18" customHeight="1" thickBot="1">
      <c r="A5" s="249"/>
      <c r="B5" s="249"/>
    </row>
    <row r="6" spans="1:12" ht="26.25" customHeight="1">
      <c r="A6" s="249"/>
      <c r="B6" s="1440" t="s">
        <v>514</v>
      </c>
      <c r="C6" s="1441" t="s">
        <v>531</v>
      </c>
      <c r="D6" s="1442"/>
      <c r="E6" s="1442"/>
      <c r="F6" s="1442"/>
      <c r="G6" s="1442"/>
      <c r="H6" s="1442"/>
      <c r="I6" s="1442"/>
      <c r="J6" s="1442"/>
      <c r="K6" s="1442"/>
      <c r="L6" s="1443"/>
    </row>
    <row r="7" spans="1:12" ht="27" customHeight="1" thickBot="1">
      <c r="A7" s="249"/>
      <c r="B7" s="1437"/>
      <c r="C7" s="622">
        <v>2017</v>
      </c>
      <c r="D7" s="622">
        <v>2018</v>
      </c>
      <c r="E7" s="622">
        <v>2019</v>
      </c>
      <c r="F7" s="622">
        <v>2020</v>
      </c>
      <c r="G7" s="622">
        <v>2021</v>
      </c>
      <c r="H7" s="622">
        <v>2022</v>
      </c>
      <c r="I7" s="622">
        <v>2023</v>
      </c>
      <c r="J7" s="622">
        <v>2024</v>
      </c>
      <c r="K7" s="622">
        <v>2025</v>
      </c>
      <c r="L7" s="700">
        <v>2026</v>
      </c>
    </row>
    <row r="8" spans="2:12" ht="21" customHeight="1">
      <c r="B8" s="206" t="s">
        <v>519</v>
      </c>
      <c r="C8" s="701"/>
      <c r="D8" s="701"/>
      <c r="E8" s="701"/>
      <c r="F8" s="701"/>
      <c r="G8" s="701"/>
      <c r="H8" s="701"/>
      <c r="I8" s="701"/>
      <c r="J8" s="701"/>
      <c r="K8" s="701"/>
      <c r="L8" s="702"/>
    </row>
    <row r="9" spans="2:12" ht="21" customHeight="1">
      <c r="B9" s="223" t="s">
        <v>528</v>
      </c>
      <c r="C9" s="703"/>
      <c r="D9" s="703"/>
      <c r="E9" s="703"/>
      <c r="F9" s="703"/>
      <c r="G9" s="703"/>
      <c r="H9" s="703"/>
      <c r="I9" s="703"/>
      <c r="J9" s="703"/>
      <c r="K9" s="703"/>
      <c r="L9" s="704"/>
    </row>
    <row r="10" spans="2:12" ht="21" customHeight="1">
      <c r="B10" s="223" t="s">
        <v>335</v>
      </c>
      <c r="C10" s="703"/>
      <c r="D10" s="703"/>
      <c r="E10" s="703"/>
      <c r="F10" s="703"/>
      <c r="G10" s="703"/>
      <c r="H10" s="703"/>
      <c r="I10" s="703"/>
      <c r="J10" s="703"/>
      <c r="K10" s="703"/>
      <c r="L10" s="704"/>
    </row>
    <row r="11" spans="2:12" ht="21" customHeight="1">
      <c r="B11" s="223" t="s">
        <v>532</v>
      </c>
      <c r="C11" s="703"/>
      <c r="D11" s="1103">
        <v>3911560.05</v>
      </c>
      <c r="E11" s="703"/>
      <c r="F11" s="703"/>
      <c r="G11" s="703"/>
      <c r="H11" s="703"/>
      <c r="I11" s="703"/>
      <c r="J11" s="703"/>
      <c r="K11" s="703"/>
      <c r="L11" s="704"/>
    </row>
    <row r="12" spans="2:12" ht="21" customHeight="1" thickBot="1">
      <c r="B12" s="296" t="s">
        <v>336</v>
      </c>
      <c r="C12" s="1100">
        <v>703122.63</v>
      </c>
      <c r="D12" s="1100">
        <v>500000</v>
      </c>
      <c r="E12" s="705"/>
      <c r="F12" s="705"/>
      <c r="G12" s="705"/>
      <c r="H12" s="705"/>
      <c r="I12" s="705"/>
      <c r="J12" s="705"/>
      <c r="K12" s="705"/>
      <c r="L12" s="706"/>
    </row>
    <row r="13" spans="2:12" ht="27" customHeight="1" thickBot="1">
      <c r="B13" s="707" t="s">
        <v>529</v>
      </c>
      <c r="C13" s="1101">
        <f aca="true" t="shared" si="0" ref="C13:L13">SUM(C8:C12)</f>
        <v>703122.63</v>
      </c>
      <c r="D13" s="1101">
        <f t="shared" si="0"/>
        <v>4411560.05</v>
      </c>
      <c r="E13" s="708">
        <f t="shared" si="0"/>
        <v>0</v>
      </c>
      <c r="F13" s="708">
        <f t="shared" si="0"/>
        <v>0</v>
      </c>
      <c r="G13" s="708">
        <f t="shared" si="0"/>
        <v>0</v>
      </c>
      <c r="H13" s="708">
        <f t="shared" si="0"/>
        <v>0</v>
      </c>
      <c r="I13" s="708">
        <f t="shared" si="0"/>
        <v>0</v>
      </c>
      <c r="J13" s="708">
        <f t="shared" si="0"/>
        <v>0</v>
      </c>
      <c r="K13" s="708">
        <f t="shared" si="0"/>
        <v>0</v>
      </c>
      <c r="L13" s="709">
        <f t="shared" si="0"/>
        <v>0</v>
      </c>
    </row>
    <row r="17" ht="12.75" hidden="1">
      <c r="B17" s="1105" t="s">
        <v>1001</v>
      </c>
    </row>
    <row r="18" ht="12.75" hidden="1">
      <c r="B18" s="132" t="s">
        <v>1002</v>
      </c>
    </row>
    <row r="19" spans="2:4" ht="12.75" hidden="1">
      <c r="B19" s="1102" t="s">
        <v>1003</v>
      </c>
      <c r="C19" s="169">
        <v>500000</v>
      </c>
      <c r="D19" s="169">
        <v>500000</v>
      </c>
    </row>
    <row r="20" spans="2:3" ht="12.75" hidden="1">
      <c r="B20" s="1102" t="s">
        <v>1004</v>
      </c>
      <c r="C20" s="169">
        <v>203122.63</v>
      </c>
    </row>
    <row r="21" ht="12.75" hidden="1"/>
    <row r="22" ht="12.75" hidden="1">
      <c r="B22" s="132" t="s">
        <v>1005</v>
      </c>
    </row>
    <row r="23" ht="12.75" hidden="1">
      <c r="B23" s="1102" t="s">
        <v>1006</v>
      </c>
    </row>
    <row r="24" ht="12.75" hidden="1">
      <c r="B24" s="133" t="s">
        <v>1007</v>
      </c>
    </row>
    <row r="25" ht="12.75" hidden="1">
      <c r="B25" s="133" t="s">
        <v>1009</v>
      </c>
    </row>
    <row r="26" spans="2:4" ht="12.75" hidden="1">
      <c r="B26" s="1104" t="s">
        <v>1008</v>
      </c>
      <c r="D26" s="169">
        <v>3911560.05</v>
      </c>
    </row>
    <row r="27" ht="12.75" hidden="1"/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zoomScaleNormal="75" zoomScalePageLayoutView="0" workbookViewId="0" topLeftCell="A13">
      <selection activeCell="E35" sqref="E35"/>
    </sheetView>
  </sheetViews>
  <sheetFormatPr defaultColWidth="11.421875" defaultRowHeight="12.75"/>
  <cols>
    <col min="1" max="1" width="3.28125" style="250" customWidth="1"/>
    <col min="2" max="2" width="10.28125" style="250" customWidth="1"/>
    <col min="3" max="3" width="19.7109375" style="250" hidden="1" customWidth="1"/>
    <col min="4" max="4" width="12.140625" style="250" customWidth="1"/>
    <col min="5" max="5" width="16.421875" style="250" customWidth="1"/>
    <col min="6" max="6" width="10.421875" style="250" customWidth="1"/>
    <col min="7" max="7" width="11.28125" style="250" customWidth="1"/>
    <col min="8" max="9" width="13.421875" style="250" customWidth="1"/>
    <col min="10" max="10" width="16.421875" style="250" customWidth="1"/>
    <col min="11" max="11" width="17.28125" style="250" customWidth="1"/>
    <col min="12" max="12" width="13.28125" style="250" customWidth="1"/>
    <col min="13" max="14" width="15.421875" style="250" customWidth="1"/>
    <col min="15" max="15" width="16.7109375" style="250" customWidth="1"/>
    <col min="16" max="16" width="12.421875" style="250" customWidth="1"/>
    <col min="17" max="17" width="0" style="250" hidden="1" customWidth="1"/>
    <col min="18" max="18" width="17.140625" style="251" hidden="1" customWidth="1"/>
    <col min="19" max="19" width="17.421875" style="251" hidden="1" customWidth="1"/>
    <col min="20" max="20" width="0.9921875" style="251" hidden="1" customWidth="1"/>
    <col min="21" max="16384" width="11.421875" style="250" customWidth="1"/>
  </cols>
  <sheetData>
    <row r="1" spans="2:15" ht="24.75" customHeight="1" thickBot="1">
      <c r="B1" s="289"/>
      <c r="O1" s="290"/>
    </row>
    <row r="2" spans="2:20" s="267" customFormat="1" ht="36" customHeight="1" thickBot="1">
      <c r="B2" s="1486" t="s">
        <v>595</v>
      </c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8"/>
      <c r="O2" s="1476">
        <f>CPYG!E2</f>
        <v>2017</v>
      </c>
      <c r="P2" s="1477"/>
      <c r="R2" s="269"/>
      <c r="S2" s="269"/>
      <c r="T2" s="269"/>
    </row>
    <row r="3" spans="2:16" ht="25.5" customHeight="1" thickBot="1">
      <c r="B3" s="1482" t="str">
        <f>CPYG!B3</f>
        <v>ENTIDAD: ENTIDAD PÚBLICA EMPRESARIAL LOCAL BALSAS DE TENERIFE, BALTEN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4"/>
      <c r="O3" s="1482" t="s">
        <v>199</v>
      </c>
      <c r="P3" s="1484"/>
    </row>
    <row r="4" spans="2:16" ht="24.75" customHeight="1">
      <c r="B4" s="1478" t="s">
        <v>143</v>
      </c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80"/>
    </row>
    <row r="5" spans="2:17" ht="48" customHeight="1">
      <c r="B5" s="1485" t="s">
        <v>394</v>
      </c>
      <c r="C5" s="1464"/>
      <c r="D5" s="1454"/>
      <c r="E5" s="1453" t="s">
        <v>806</v>
      </c>
      <c r="F5" s="1454"/>
      <c r="G5" s="253" t="s">
        <v>807</v>
      </c>
      <c r="H5" s="1460" t="s">
        <v>808</v>
      </c>
      <c r="I5" s="1460"/>
      <c r="J5" s="1460"/>
      <c r="K5" s="1453" t="s">
        <v>809</v>
      </c>
      <c r="L5" s="1454"/>
      <c r="M5" s="1453" t="s">
        <v>533</v>
      </c>
      <c r="N5" s="1454"/>
      <c r="O5" s="1453" t="s">
        <v>534</v>
      </c>
      <c r="P5" s="1481"/>
      <c r="Q5" s="254"/>
    </row>
    <row r="6" spans="2:16" ht="19.5" customHeight="1">
      <c r="B6" s="1473"/>
      <c r="C6" s="1474"/>
      <c r="D6" s="1475"/>
      <c r="E6" s="1450"/>
      <c r="F6" s="1451"/>
      <c r="G6" s="255"/>
      <c r="H6" s="1466"/>
      <c r="I6" s="1467"/>
      <c r="J6" s="1468"/>
      <c r="K6" s="1450"/>
      <c r="L6" s="1451"/>
      <c r="M6" s="1450"/>
      <c r="N6" s="1451"/>
      <c r="O6" s="1450"/>
      <c r="P6" s="1459"/>
    </row>
    <row r="7" spans="2:16" ht="19.5" customHeight="1">
      <c r="B7" s="1473"/>
      <c r="C7" s="1474"/>
      <c r="D7" s="1475"/>
      <c r="E7" s="1450"/>
      <c r="F7" s="1451"/>
      <c r="G7" s="255"/>
      <c r="H7" s="1452"/>
      <c r="I7" s="1452"/>
      <c r="J7" s="1452"/>
      <c r="K7" s="1450"/>
      <c r="L7" s="1451"/>
      <c r="M7" s="1450"/>
      <c r="N7" s="1465"/>
      <c r="O7" s="1450"/>
      <c r="P7" s="1459"/>
    </row>
    <row r="8" spans="2:16" ht="19.5" customHeight="1">
      <c r="B8" s="1473"/>
      <c r="C8" s="1474"/>
      <c r="D8" s="1475"/>
      <c r="E8" s="1450"/>
      <c r="F8" s="1451"/>
      <c r="G8" s="255"/>
      <c r="H8" s="1452"/>
      <c r="I8" s="1452"/>
      <c r="J8" s="1452"/>
      <c r="K8" s="1450"/>
      <c r="L8" s="1451"/>
      <c r="M8" s="1450"/>
      <c r="N8" s="1465"/>
      <c r="O8" s="1450"/>
      <c r="P8" s="1459"/>
    </row>
    <row r="9" spans="2:16" ht="19.5" customHeight="1">
      <c r="B9" s="1473"/>
      <c r="C9" s="1474"/>
      <c r="D9" s="1475"/>
      <c r="E9" s="1450"/>
      <c r="F9" s="1451"/>
      <c r="G9" s="255"/>
      <c r="H9" s="1452"/>
      <c r="I9" s="1452"/>
      <c r="J9" s="1452"/>
      <c r="K9" s="1450"/>
      <c r="L9" s="1451"/>
      <c r="M9" s="1450"/>
      <c r="N9" s="1465"/>
      <c r="O9" s="1450"/>
      <c r="P9" s="1459"/>
    </row>
    <row r="10" spans="2:16" ht="19.5" customHeight="1">
      <c r="B10" s="1473"/>
      <c r="C10" s="1474"/>
      <c r="D10" s="1475"/>
      <c r="E10" s="1450"/>
      <c r="F10" s="1451"/>
      <c r="G10" s="257"/>
      <c r="H10" s="1452"/>
      <c r="I10" s="1452"/>
      <c r="J10" s="1452"/>
      <c r="K10" s="1450"/>
      <c r="L10" s="1451"/>
      <c r="M10" s="1450"/>
      <c r="N10" s="1465"/>
      <c r="O10" s="1450"/>
      <c r="P10" s="1459"/>
    </row>
    <row r="11" spans="2:16" ht="24.75" customHeight="1">
      <c r="B11" s="1469" t="s">
        <v>192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1"/>
    </row>
    <row r="12" spans="2:16" ht="40.5" customHeight="1">
      <c r="B12" s="1472" t="s">
        <v>810</v>
      </c>
      <c r="C12" s="253"/>
      <c r="D12" s="1460" t="s">
        <v>811</v>
      </c>
      <c r="E12" s="1455" t="s">
        <v>812</v>
      </c>
      <c r="F12" s="1456"/>
      <c r="G12" s="1460" t="s">
        <v>813</v>
      </c>
      <c r="H12" s="1462" t="s">
        <v>391</v>
      </c>
      <c r="I12" s="1462" t="s">
        <v>392</v>
      </c>
      <c r="J12" s="1453" t="s">
        <v>535</v>
      </c>
      <c r="K12" s="1454"/>
      <c r="L12" s="1453" t="s">
        <v>460</v>
      </c>
      <c r="M12" s="1464"/>
      <c r="N12" s="1454"/>
      <c r="O12" s="1460" t="s">
        <v>536</v>
      </c>
      <c r="P12" s="1461"/>
    </row>
    <row r="13" spans="2:20" ht="60" customHeight="1">
      <c r="B13" s="1472"/>
      <c r="C13" s="253"/>
      <c r="D13" s="1460"/>
      <c r="E13" s="1457"/>
      <c r="F13" s="1458"/>
      <c r="G13" s="1460"/>
      <c r="H13" s="1463"/>
      <c r="I13" s="1463"/>
      <c r="J13" s="258" t="s">
        <v>596</v>
      </c>
      <c r="K13" s="258" t="s">
        <v>537</v>
      </c>
      <c r="L13" s="253" t="s">
        <v>538</v>
      </c>
      <c r="M13" s="253" t="s">
        <v>539</v>
      </c>
      <c r="N13" s="252" t="s">
        <v>540</v>
      </c>
      <c r="O13" s="252" t="s">
        <v>541</v>
      </c>
      <c r="P13" s="259" t="s">
        <v>0</v>
      </c>
      <c r="R13" s="260" t="s">
        <v>138</v>
      </c>
      <c r="S13" s="251" t="s">
        <v>610</v>
      </c>
      <c r="T13" s="251" t="s">
        <v>611</v>
      </c>
    </row>
    <row r="14" spans="2:20" s="267" customFormat="1" ht="19.5" customHeight="1">
      <c r="B14" s="261"/>
      <c r="C14" s="262"/>
      <c r="D14" s="262"/>
      <c r="E14" s="1444"/>
      <c r="F14" s="1445"/>
      <c r="G14" s="256"/>
      <c r="H14" s="263"/>
      <c r="I14" s="263"/>
      <c r="J14" s="264"/>
      <c r="K14" s="264"/>
      <c r="L14" s="624"/>
      <c r="M14" s="569"/>
      <c r="N14" s="569"/>
      <c r="O14" s="570"/>
      <c r="P14" s="266"/>
      <c r="R14" s="268"/>
      <c r="S14" s="269"/>
      <c r="T14" s="269"/>
    </row>
    <row r="15" spans="2:20" s="267" customFormat="1" ht="19.5" customHeight="1">
      <c r="B15" s="270"/>
      <c r="C15" s="262"/>
      <c r="D15" s="262"/>
      <c r="E15" s="1444"/>
      <c r="F15" s="1445"/>
      <c r="G15" s="256"/>
      <c r="H15" s="263"/>
      <c r="I15" s="263"/>
      <c r="J15" s="264"/>
      <c r="K15" s="264"/>
      <c r="L15" s="264"/>
      <c r="M15" s="264"/>
      <c r="N15" s="264"/>
      <c r="O15" s="265"/>
      <c r="P15" s="266"/>
      <c r="Q15" s="267">
        <f aca="true" t="shared" si="0" ref="Q15:Q23">+Q14+1</f>
        <v>1</v>
      </c>
      <c r="R15" s="268">
        <f aca="true" t="shared" si="1" ref="R15:R23">+T15-S15</f>
        <v>-492841.42</v>
      </c>
      <c r="S15" s="269">
        <v>492841.42</v>
      </c>
      <c r="T15" s="269">
        <f aca="true" t="shared" si="2" ref="T15:T23">+S14</f>
        <v>0</v>
      </c>
    </row>
    <row r="16" spans="2:20" s="267" customFormat="1" ht="19.5" customHeight="1">
      <c r="B16" s="270"/>
      <c r="C16" s="262"/>
      <c r="D16" s="262"/>
      <c r="E16" s="1444"/>
      <c r="F16" s="1445"/>
      <c r="G16" s="256"/>
      <c r="H16" s="263"/>
      <c r="I16" s="263"/>
      <c r="J16" s="264"/>
      <c r="K16" s="264"/>
      <c r="L16" s="264"/>
      <c r="M16" s="264"/>
      <c r="N16" s="264"/>
      <c r="O16" s="265"/>
      <c r="P16" s="266"/>
      <c r="Q16" s="267">
        <f t="shared" si="0"/>
        <v>2</v>
      </c>
      <c r="R16" s="268">
        <f t="shared" si="1"/>
        <v>53178.25</v>
      </c>
      <c r="S16" s="269">
        <v>439663.17</v>
      </c>
      <c r="T16" s="269">
        <f t="shared" si="2"/>
        <v>492841.42</v>
      </c>
    </row>
    <row r="17" spans="2:20" s="267" customFormat="1" ht="19.5" customHeight="1">
      <c r="B17" s="270"/>
      <c r="C17" s="262"/>
      <c r="D17" s="262"/>
      <c r="E17" s="1444"/>
      <c r="F17" s="1445"/>
      <c r="G17" s="256"/>
      <c r="H17" s="263"/>
      <c r="I17" s="263"/>
      <c r="J17" s="264"/>
      <c r="K17" s="264"/>
      <c r="L17" s="264"/>
      <c r="M17" s="264"/>
      <c r="N17" s="264"/>
      <c r="O17" s="265"/>
      <c r="P17" s="266"/>
      <c r="Q17" s="267">
        <f t="shared" si="0"/>
        <v>3</v>
      </c>
      <c r="R17" s="268">
        <f t="shared" si="1"/>
        <v>56170.159999999974</v>
      </c>
      <c r="S17" s="269">
        <v>383493.01</v>
      </c>
      <c r="T17" s="269">
        <f t="shared" si="2"/>
        <v>439663.17</v>
      </c>
    </row>
    <row r="18" spans="2:20" s="267" customFormat="1" ht="19.5" customHeight="1">
      <c r="B18" s="270"/>
      <c r="C18" s="262"/>
      <c r="D18" s="262"/>
      <c r="E18" s="1444"/>
      <c r="F18" s="1445"/>
      <c r="G18" s="256"/>
      <c r="H18" s="263"/>
      <c r="I18" s="263"/>
      <c r="J18" s="264"/>
      <c r="K18" s="264"/>
      <c r="L18" s="264"/>
      <c r="M18" s="264"/>
      <c r="N18" s="264"/>
      <c r="O18" s="265"/>
      <c r="P18" s="266"/>
      <c r="Q18" s="267">
        <f t="shared" si="0"/>
        <v>4</v>
      </c>
      <c r="R18" s="268">
        <f t="shared" si="1"/>
        <v>59330.42999999999</v>
      </c>
      <c r="S18" s="269">
        <v>324162.58</v>
      </c>
      <c r="T18" s="269">
        <f t="shared" si="2"/>
        <v>383493.01</v>
      </c>
    </row>
    <row r="19" spans="2:20" s="267" customFormat="1" ht="19.5" customHeight="1">
      <c r="B19" s="270"/>
      <c r="C19" s="262"/>
      <c r="D19" s="262"/>
      <c r="E19" s="1444"/>
      <c r="F19" s="1445"/>
      <c r="G19" s="256"/>
      <c r="H19" s="263"/>
      <c r="I19" s="263"/>
      <c r="J19" s="264"/>
      <c r="K19" s="264"/>
      <c r="L19" s="264"/>
      <c r="M19" s="264"/>
      <c r="N19" s="264"/>
      <c r="O19" s="265"/>
      <c r="P19" s="266"/>
      <c r="Q19" s="267">
        <f t="shared" si="0"/>
        <v>5</v>
      </c>
      <c r="R19" s="268">
        <f t="shared" si="1"/>
        <v>62668.49000000002</v>
      </c>
      <c r="S19" s="269">
        <v>261494.09</v>
      </c>
      <c r="T19" s="269">
        <f t="shared" si="2"/>
        <v>324162.58</v>
      </c>
    </row>
    <row r="20" spans="2:20" s="267" customFormat="1" ht="19.5" customHeight="1">
      <c r="B20" s="270"/>
      <c r="C20" s="262"/>
      <c r="D20" s="262"/>
      <c r="E20" s="1444"/>
      <c r="F20" s="1445"/>
      <c r="G20" s="256"/>
      <c r="H20" s="256"/>
      <c r="I20" s="256"/>
      <c r="J20" s="271"/>
      <c r="K20" s="271"/>
      <c r="L20" s="271"/>
      <c r="M20" s="271"/>
      <c r="N20" s="271"/>
      <c r="O20" s="272"/>
      <c r="P20" s="266"/>
      <c r="Q20" s="267">
        <f t="shared" si="0"/>
        <v>6</v>
      </c>
      <c r="R20" s="268">
        <f t="shared" si="1"/>
        <v>66194.34</v>
      </c>
      <c r="S20" s="269">
        <v>195299.75</v>
      </c>
      <c r="T20" s="269">
        <f t="shared" si="2"/>
        <v>261494.09</v>
      </c>
    </row>
    <row r="21" spans="2:20" s="267" customFormat="1" ht="19.5" customHeight="1">
      <c r="B21" s="270"/>
      <c r="C21" s="262"/>
      <c r="D21" s="262"/>
      <c r="E21" s="1444"/>
      <c r="F21" s="1445"/>
      <c r="G21" s="256"/>
      <c r="H21" s="256"/>
      <c r="I21" s="256"/>
      <c r="J21" s="271"/>
      <c r="K21" s="271"/>
      <c r="L21" s="271"/>
      <c r="M21" s="271"/>
      <c r="N21" s="271"/>
      <c r="O21" s="272"/>
      <c r="P21" s="266"/>
      <c r="Q21" s="267">
        <f t="shared" si="0"/>
        <v>7</v>
      </c>
      <c r="R21" s="268">
        <f t="shared" si="1"/>
        <v>69918.59</v>
      </c>
      <c r="S21" s="269">
        <v>125381.16</v>
      </c>
      <c r="T21" s="269">
        <f t="shared" si="2"/>
        <v>195299.75</v>
      </c>
    </row>
    <row r="22" spans="2:20" s="267" customFormat="1" ht="19.5" customHeight="1">
      <c r="B22" s="270"/>
      <c r="C22" s="262"/>
      <c r="D22" s="262"/>
      <c r="E22" s="1444"/>
      <c r="F22" s="1445"/>
      <c r="G22" s="256"/>
      <c r="H22" s="256"/>
      <c r="I22" s="256"/>
      <c r="J22" s="271"/>
      <c r="K22" s="271"/>
      <c r="L22" s="271"/>
      <c r="M22" s="271"/>
      <c r="N22" s="271"/>
      <c r="O22" s="272"/>
      <c r="P22" s="266"/>
      <c r="Q22" s="267">
        <f t="shared" si="0"/>
        <v>8</v>
      </c>
      <c r="R22" s="268">
        <f t="shared" si="1"/>
        <v>73852.37</v>
      </c>
      <c r="S22" s="269">
        <v>51528.79</v>
      </c>
      <c r="T22" s="269">
        <f t="shared" si="2"/>
        <v>125381.16</v>
      </c>
    </row>
    <row r="23" spans="2:20" s="267" customFormat="1" ht="19.5" customHeight="1" thickBot="1">
      <c r="B23" s="273"/>
      <c r="C23" s="262"/>
      <c r="D23" s="274"/>
      <c r="E23" s="1448"/>
      <c r="F23" s="1449"/>
      <c r="G23" s="275"/>
      <c r="H23" s="275"/>
      <c r="I23" s="275"/>
      <c r="J23" s="276"/>
      <c r="K23" s="276"/>
      <c r="L23" s="276"/>
      <c r="M23" s="276"/>
      <c r="N23" s="276"/>
      <c r="O23" s="277"/>
      <c r="P23" s="278"/>
      <c r="Q23" s="267">
        <f t="shared" si="0"/>
        <v>9</v>
      </c>
      <c r="R23" s="268">
        <f t="shared" si="1"/>
        <v>51528.79</v>
      </c>
      <c r="S23" s="269">
        <v>0</v>
      </c>
      <c r="T23" s="269">
        <f t="shared" si="2"/>
        <v>51528.79</v>
      </c>
    </row>
    <row r="24" spans="2:20" s="267" customFormat="1" ht="19.5" customHeight="1" thickBot="1">
      <c r="B24" s="279" t="s">
        <v>144</v>
      </c>
      <c r="C24" s="280"/>
      <c r="D24" s="281"/>
      <c r="E24" s="1446"/>
      <c r="F24" s="1447"/>
      <c r="G24" s="282"/>
      <c r="H24" s="282"/>
      <c r="I24" s="282"/>
      <c r="J24" s="652">
        <f aca="true" t="shared" si="3" ref="J24:O24">SUM(J14:J23)</f>
        <v>0</v>
      </c>
      <c r="K24" s="652">
        <f t="shared" si="3"/>
        <v>0</v>
      </c>
      <c r="L24" s="652">
        <f>SUM(L15:L23)</f>
        <v>0</v>
      </c>
      <c r="M24" s="652">
        <f t="shared" si="3"/>
        <v>0</v>
      </c>
      <c r="N24" s="652">
        <f t="shared" si="3"/>
        <v>0</v>
      </c>
      <c r="O24" s="652">
        <f t="shared" si="3"/>
        <v>0</v>
      </c>
      <c r="P24" s="283"/>
      <c r="R24" s="269"/>
      <c r="S24" s="269"/>
      <c r="T24" s="269"/>
    </row>
    <row r="25" spans="2:16" ht="12.75">
      <c r="B25" s="284"/>
      <c r="C25" s="285"/>
      <c r="D25" s="285"/>
      <c r="E25" s="286"/>
      <c r="F25" s="284"/>
      <c r="G25" s="284"/>
      <c r="H25" s="284"/>
      <c r="I25" s="284"/>
      <c r="J25" s="284"/>
      <c r="K25" s="284"/>
      <c r="L25" s="284"/>
      <c r="M25" s="284"/>
      <c r="N25" s="284"/>
      <c r="O25" s="287"/>
      <c r="P25" s="288"/>
    </row>
    <row r="26" ht="12.75">
      <c r="B26" s="250" t="s">
        <v>140</v>
      </c>
    </row>
    <row r="27" ht="12.75">
      <c r="B27" s="250" t="s">
        <v>393</v>
      </c>
    </row>
    <row r="28" ht="12.75">
      <c r="B28" s="250" t="s">
        <v>193</v>
      </c>
    </row>
    <row r="29" ht="12.75">
      <c r="B29" s="250" t="s">
        <v>597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I12:I13"/>
    <mergeCell ref="H10:J10"/>
    <mergeCell ref="L12:N12"/>
    <mergeCell ref="M10:N10"/>
    <mergeCell ref="O8:P8"/>
    <mergeCell ref="E6:F6"/>
    <mergeCell ref="K6:L6"/>
    <mergeCell ref="M6:N6"/>
    <mergeCell ref="O7:P7"/>
    <mergeCell ref="E7:F7"/>
    <mergeCell ref="E8:F8"/>
    <mergeCell ref="E9:F9"/>
    <mergeCell ref="E10:F10"/>
    <mergeCell ref="E16:F16"/>
    <mergeCell ref="E15:F15"/>
    <mergeCell ref="E14:F14"/>
    <mergeCell ref="H9:J9"/>
    <mergeCell ref="J12:K12"/>
    <mergeCell ref="E12:F13"/>
    <mergeCell ref="E17:F17"/>
    <mergeCell ref="E18:F18"/>
    <mergeCell ref="E19:F19"/>
    <mergeCell ref="E24:F24"/>
    <mergeCell ref="E20:F20"/>
    <mergeCell ref="E21:F21"/>
    <mergeCell ref="E22:F22"/>
    <mergeCell ref="E23:F23"/>
  </mergeCells>
  <dataValidations count="4">
    <dataValidation type="list" allowBlank="1" showInputMessage="1" showErrorMessage="1" promptTitle="Tipo" prompt="Deberá indicar seleccionar el mismo&#10;" sqref="G14:G24">
      <formula1>'Deuda L.P.'!$F$34:$F$37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421875" style="109" customWidth="1"/>
    <col min="2" max="2" width="23.710937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489" t="s">
        <v>96</v>
      </c>
      <c r="B1" s="1490"/>
      <c r="C1" s="1490"/>
      <c r="D1" s="1490"/>
      <c r="E1" s="1490"/>
      <c r="F1" s="1490"/>
      <c r="G1" s="1491"/>
      <c r="H1" s="108">
        <v>2011</v>
      </c>
      <c r="I1"/>
      <c r="J1"/>
    </row>
    <row r="2" spans="1:10" s="110" customFormat="1" ht="17.25" thickBot="1">
      <c r="A2" s="1492" t="s">
        <v>97</v>
      </c>
      <c r="B2" s="1493"/>
      <c r="C2" s="1493"/>
      <c r="D2" s="1493"/>
      <c r="E2" s="1493"/>
      <c r="F2" s="1493"/>
      <c r="G2" s="1494"/>
      <c r="H2" s="120" t="s">
        <v>607</v>
      </c>
      <c r="I2"/>
      <c r="J2"/>
    </row>
    <row r="3" spans="1:8" ht="13.5" customHeight="1" thickBot="1">
      <c r="A3" s="1495" t="s">
        <v>98</v>
      </c>
      <c r="B3" s="1496"/>
      <c r="C3" s="1496"/>
      <c r="D3" s="1496"/>
      <c r="E3" s="1496"/>
      <c r="F3" s="1496"/>
      <c r="G3" s="1496"/>
      <c r="H3" s="1497"/>
    </row>
    <row r="4" spans="3:8" ht="20.25" customHeight="1">
      <c r="C4" s="1498">
        <v>2009</v>
      </c>
      <c r="D4" s="1498"/>
      <c r="E4" s="1498" t="s">
        <v>693</v>
      </c>
      <c r="F4" s="1498"/>
      <c r="G4" s="1498" t="s">
        <v>692</v>
      </c>
      <c r="H4" s="1498"/>
    </row>
    <row r="5" spans="1:8" ht="24.75">
      <c r="A5" s="111" t="s">
        <v>99</v>
      </c>
      <c r="B5" s="111" t="s">
        <v>608</v>
      </c>
      <c r="C5" s="112" t="s">
        <v>100</v>
      </c>
      <c r="D5" s="112" t="s">
        <v>101</v>
      </c>
      <c r="E5" s="112" t="s">
        <v>100</v>
      </c>
      <c r="F5" s="112" t="s">
        <v>101</v>
      </c>
      <c r="G5" s="112" t="s">
        <v>100</v>
      </c>
      <c r="H5" s="112" t="s">
        <v>101</v>
      </c>
    </row>
    <row r="6" spans="1:8" ht="15.75">
      <c r="A6" s="111" t="s">
        <v>102</v>
      </c>
      <c r="B6" s="111" t="s">
        <v>103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102</v>
      </c>
      <c r="B7" s="111" t="s">
        <v>104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500" t="s">
        <v>144</v>
      </c>
      <c r="B15" s="1501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499">
        <v>2009</v>
      </c>
      <c r="D17" s="1499"/>
      <c r="E17" s="1499" t="s">
        <v>693</v>
      </c>
      <c r="F17" s="1499"/>
      <c r="G17" s="1499" t="s">
        <v>692</v>
      </c>
      <c r="H17" s="1499"/>
    </row>
    <row r="18" spans="1:8" ht="24.75">
      <c r="A18" s="111" t="s">
        <v>105</v>
      </c>
      <c r="B18" s="111" t="s">
        <v>608</v>
      </c>
      <c r="C18" s="112" t="s">
        <v>106</v>
      </c>
      <c r="D18" s="112" t="s">
        <v>101</v>
      </c>
      <c r="E18" s="112" t="s">
        <v>106</v>
      </c>
      <c r="F18" s="112" t="s">
        <v>101</v>
      </c>
      <c r="G18" s="112" t="s">
        <v>106</v>
      </c>
      <c r="H18" s="112" t="s">
        <v>101</v>
      </c>
    </row>
    <row r="19" spans="1:8" ht="15.75">
      <c r="A19" s="111" t="s">
        <v>107</v>
      </c>
      <c r="B19" s="111" t="s">
        <v>108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109</v>
      </c>
      <c r="B20" s="111" t="s">
        <v>108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110</v>
      </c>
      <c r="B21" s="111" t="s">
        <v>111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112</v>
      </c>
      <c r="B22" s="111" t="s">
        <v>113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114</v>
      </c>
      <c r="B23" s="111" t="s">
        <v>115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102</v>
      </c>
      <c r="B24" s="111" t="s">
        <v>103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102</v>
      </c>
      <c r="B25" s="111" t="s">
        <v>116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500" t="s">
        <v>144</v>
      </c>
      <c r="B28" s="1501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609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zoomScaleNormal="75" zoomScalePageLayoutView="0" workbookViewId="0" topLeftCell="A1">
      <selection activeCell="E35" sqref="E35"/>
    </sheetView>
  </sheetViews>
  <sheetFormatPr defaultColWidth="11.421875" defaultRowHeight="12.75"/>
  <cols>
    <col min="1" max="1" width="10.28125" style="250" customWidth="1"/>
    <col min="2" max="2" width="19.7109375" style="250" hidden="1" customWidth="1"/>
    <col min="3" max="3" width="26.28125" style="250" customWidth="1"/>
    <col min="4" max="4" width="13.28125" style="250" customWidth="1"/>
    <col min="5" max="5" width="10.421875" style="250" customWidth="1"/>
    <col min="6" max="6" width="13.7109375" style="250" customWidth="1"/>
    <col min="7" max="8" width="15.7109375" style="250" customWidth="1"/>
    <col min="9" max="9" width="16.7109375" style="250" customWidth="1"/>
    <col min="10" max="10" width="16.28125" style="250" customWidth="1"/>
    <col min="11" max="11" width="14.28125" style="250" customWidth="1"/>
    <col min="12" max="12" width="13.00390625" style="250" bestFit="1" customWidth="1"/>
    <col min="13" max="13" width="14.7109375" style="250" bestFit="1" customWidth="1"/>
    <col min="14" max="14" width="13.00390625" style="250" bestFit="1" customWidth="1"/>
    <col min="15" max="15" width="12.421875" style="250" customWidth="1"/>
    <col min="16" max="16" width="0" style="250" hidden="1" customWidth="1"/>
    <col min="17" max="17" width="17.140625" style="251" hidden="1" customWidth="1"/>
    <col min="18" max="18" width="17.421875" style="251" hidden="1" customWidth="1"/>
    <col min="19" max="19" width="0.9921875" style="251" hidden="1" customWidth="1"/>
    <col min="20" max="16384" width="11.421875" style="250" customWidth="1"/>
  </cols>
  <sheetData>
    <row r="1" spans="1:14" ht="13.5" thickBot="1">
      <c r="A1" s="289"/>
      <c r="N1" s="290"/>
    </row>
    <row r="2" spans="1:19" s="267" customFormat="1" ht="36" customHeight="1" thickBot="1">
      <c r="A2" s="1486" t="s">
        <v>595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8"/>
      <c r="N2" s="1476">
        <f>CPYG!E2</f>
        <v>2017</v>
      </c>
      <c r="O2" s="1477"/>
      <c r="Q2" s="269"/>
      <c r="R2" s="269"/>
      <c r="S2" s="269"/>
    </row>
    <row r="3" spans="1:15" ht="34.5" customHeight="1" thickBot="1">
      <c r="A3" s="1482" t="str">
        <f>CPYG!B3</f>
        <v>ENTIDAD: ENTIDAD PÚBLICA EMPRESARIAL LOCAL BALSAS DE TENERIFE, BALTEN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4"/>
      <c r="N3" s="1482" t="s">
        <v>198</v>
      </c>
      <c r="O3" s="1484"/>
    </row>
    <row r="4" spans="1:15" ht="24.75" customHeight="1">
      <c r="A4" s="1502" t="s">
        <v>194</v>
      </c>
      <c r="B4" s="1463"/>
      <c r="C4" s="1463"/>
      <c r="D4" s="1463"/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503"/>
    </row>
    <row r="5" spans="1:15" ht="40.5" customHeight="1">
      <c r="A5" s="1504" t="s">
        <v>810</v>
      </c>
      <c r="B5" s="253"/>
      <c r="C5" s="1460" t="s">
        <v>811</v>
      </c>
      <c r="D5" s="1455" t="s">
        <v>812</v>
      </c>
      <c r="E5" s="1456"/>
      <c r="F5" s="1460" t="s">
        <v>813</v>
      </c>
      <c r="G5" s="1462" t="s">
        <v>391</v>
      </c>
      <c r="H5" s="1462" t="s">
        <v>392</v>
      </c>
      <c r="I5" s="1453" t="s">
        <v>542</v>
      </c>
      <c r="J5" s="1464"/>
      <c r="K5" s="1454"/>
      <c r="L5" s="1453" t="s">
        <v>543</v>
      </c>
      <c r="M5" s="1464"/>
      <c r="N5" s="1464"/>
      <c r="O5" s="1481"/>
    </row>
    <row r="6" spans="1:19" ht="73.5" customHeight="1">
      <c r="A6" s="1502"/>
      <c r="B6" s="253"/>
      <c r="C6" s="1460"/>
      <c r="D6" s="1457"/>
      <c r="E6" s="1458"/>
      <c r="F6" s="1460"/>
      <c r="G6" s="1463"/>
      <c r="H6" s="1463"/>
      <c r="I6" s="258" t="s">
        <v>596</v>
      </c>
      <c r="J6" s="258" t="s">
        <v>544</v>
      </c>
      <c r="K6" s="252" t="s">
        <v>195</v>
      </c>
      <c r="L6" s="258" t="s">
        <v>545</v>
      </c>
      <c r="M6" s="253" t="s">
        <v>546</v>
      </c>
      <c r="N6" s="252" t="s">
        <v>541</v>
      </c>
      <c r="O6" s="259" t="s">
        <v>195</v>
      </c>
      <c r="Q6" s="260" t="s">
        <v>138</v>
      </c>
      <c r="R6" s="251" t="s">
        <v>610</v>
      </c>
      <c r="S6" s="251" t="s">
        <v>611</v>
      </c>
    </row>
    <row r="7" spans="1:19" s="267" customFormat="1" ht="19.5" customHeight="1">
      <c r="A7" s="261"/>
      <c r="B7" s="262"/>
      <c r="C7" s="262"/>
      <c r="D7" s="1444"/>
      <c r="E7" s="1445"/>
      <c r="F7" s="256"/>
      <c r="G7" s="263"/>
      <c r="H7" s="263"/>
      <c r="I7" s="264"/>
      <c r="J7" s="264"/>
      <c r="K7" s="555"/>
      <c r="L7" s="264"/>
      <c r="M7" s="264"/>
      <c r="N7" s="571"/>
      <c r="O7" s="266"/>
      <c r="Q7" s="268"/>
      <c r="R7" s="269"/>
      <c r="S7" s="269"/>
    </row>
    <row r="8" spans="1:19" s="267" customFormat="1" ht="19.5" customHeight="1">
      <c r="A8" s="270"/>
      <c r="B8" s="262"/>
      <c r="C8" s="262"/>
      <c r="D8" s="1444"/>
      <c r="E8" s="1445"/>
      <c r="F8" s="256"/>
      <c r="G8" s="263"/>
      <c r="H8" s="263"/>
      <c r="I8" s="264"/>
      <c r="J8" s="264"/>
      <c r="K8" s="555"/>
      <c r="L8" s="264"/>
      <c r="M8" s="264"/>
      <c r="N8" s="571"/>
      <c r="O8" s="266"/>
      <c r="Q8" s="268"/>
      <c r="R8" s="269"/>
      <c r="S8" s="269"/>
    </row>
    <row r="9" spans="1:19" s="267" customFormat="1" ht="19.5" customHeight="1">
      <c r="A9" s="270"/>
      <c r="B9" s="262"/>
      <c r="C9" s="262"/>
      <c r="D9" s="1444"/>
      <c r="E9" s="1445"/>
      <c r="F9" s="256"/>
      <c r="G9" s="263"/>
      <c r="H9" s="263"/>
      <c r="I9" s="264"/>
      <c r="J9" s="264"/>
      <c r="K9" s="518"/>
      <c r="L9" s="264"/>
      <c r="M9" s="264"/>
      <c r="N9" s="265"/>
      <c r="O9" s="266"/>
      <c r="P9" s="267">
        <f aca="true" t="shared" si="0" ref="P9:P16">+P8+1</f>
        <v>1</v>
      </c>
      <c r="Q9" s="268">
        <f aca="true" t="shared" si="1" ref="Q9:Q16">+S9-R9</f>
        <v>-439663.17</v>
      </c>
      <c r="R9" s="269">
        <v>439663.17</v>
      </c>
      <c r="S9" s="269">
        <f aca="true" t="shared" si="2" ref="S9:S16">+R8</f>
        <v>0</v>
      </c>
    </row>
    <row r="10" spans="1:19" s="267" customFormat="1" ht="19.5" customHeight="1">
      <c r="A10" s="270"/>
      <c r="B10" s="262"/>
      <c r="C10" s="262"/>
      <c r="D10" s="1444"/>
      <c r="E10" s="1445"/>
      <c r="F10" s="256"/>
      <c r="G10" s="263"/>
      <c r="H10" s="263"/>
      <c r="I10" s="264"/>
      <c r="J10" s="264"/>
      <c r="K10" s="518"/>
      <c r="L10" s="264"/>
      <c r="M10" s="264"/>
      <c r="N10" s="265"/>
      <c r="O10" s="266"/>
      <c r="P10" s="267">
        <f t="shared" si="0"/>
        <v>2</v>
      </c>
      <c r="Q10" s="268">
        <f t="shared" si="1"/>
        <v>56170.159999999974</v>
      </c>
      <c r="R10" s="269">
        <v>383493.01</v>
      </c>
      <c r="S10" s="269">
        <f t="shared" si="2"/>
        <v>439663.17</v>
      </c>
    </row>
    <row r="11" spans="1:19" s="267" customFormat="1" ht="19.5" customHeight="1">
      <c r="A11" s="270"/>
      <c r="B11" s="262"/>
      <c r="C11" s="262"/>
      <c r="D11" s="1444"/>
      <c r="E11" s="1445"/>
      <c r="F11" s="256"/>
      <c r="G11" s="263"/>
      <c r="H11" s="263"/>
      <c r="I11" s="264"/>
      <c r="J11" s="264"/>
      <c r="K11" s="518"/>
      <c r="L11" s="264"/>
      <c r="M11" s="264"/>
      <c r="N11" s="265"/>
      <c r="O11" s="266"/>
      <c r="P11" s="267">
        <f t="shared" si="0"/>
        <v>3</v>
      </c>
      <c r="Q11" s="268">
        <f t="shared" si="1"/>
        <v>59330.42999999999</v>
      </c>
      <c r="R11" s="269">
        <v>324162.58</v>
      </c>
      <c r="S11" s="269">
        <f t="shared" si="2"/>
        <v>383493.01</v>
      </c>
    </row>
    <row r="12" spans="1:19" s="267" customFormat="1" ht="19.5" customHeight="1">
      <c r="A12" s="270"/>
      <c r="B12" s="262"/>
      <c r="C12" s="262"/>
      <c r="D12" s="1444"/>
      <c r="E12" s="1445"/>
      <c r="F12" s="256"/>
      <c r="G12" s="263"/>
      <c r="H12" s="263"/>
      <c r="I12" s="264"/>
      <c r="J12" s="264"/>
      <c r="K12" s="518"/>
      <c r="L12" s="264"/>
      <c r="M12" s="264"/>
      <c r="N12" s="265"/>
      <c r="O12" s="266"/>
      <c r="P12" s="267">
        <f t="shared" si="0"/>
        <v>4</v>
      </c>
      <c r="Q12" s="268">
        <f t="shared" si="1"/>
        <v>62668.49000000002</v>
      </c>
      <c r="R12" s="269">
        <v>261494.09</v>
      </c>
      <c r="S12" s="269">
        <f t="shared" si="2"/>
        <v>324162.58</v>
      </c>
    </row>
    <row r="13" spans="1:19" s="267" customFormat="1" ht="19.5" customHeight="1">
      <c r="A13" s="270"/>
      <c r="B13" s="262"/>
      <c r="C13" s="262"/>
      <c r="D13" s="1444"/>
      <c r="E13" s="1445"/>
      <c r="F13" s="256"/>
      <c r="G13" s="256"/>
      <c r="H13" s="256"/>
      <c r="I13" s="271"/>
      <c r="J13" s="271"/>
      <c r="K13" s="518"/>
      <c r="L13" s="271"/>
      <c r="M13" s="271"/>
      <c r="N13" s="272"/>
      <c r="O13" s="266"/>
      <c r="P13" s="267">
        <f t="shared" si="0"/>
        <v>5</v>
      </c>
      <c r="Q13" s="268">
        <f t="shared" si="1"/>
        <v>66194.34</v>
      </c>
      <c r="R13" s="269">
        <v>195299.75</v>
      </c>
      <c r="S13" s="269">
        <f t="shared" si="2"/>
        <v>261494.09</v>
      </c>
    </row>
    <row r="14" spans="1:19" s="267" customFormat="1" ht="19.5" customHeight="1">
      <c r="A14" s="270"/>
      <c r="B14" s="262"/>
      <c r="C14" s="262"/>
      <c r="D14" s="1444"/>
      <c r="E14" s="1445"/>
      <c r="F14" s="256"/>
      <c r="G14" s="256"/>
      <c r="H14" s="256"/>
      <c r="I14" s="271"/>
      <c r="J14" s="271"/>
      <c r="K14" s="518"/>
      <c r="L14" s="271"/>
      <c r="M14" s="271"/>
      <c r="N14" s="272"/>
      <c r="O14" s="266"/>
      <c r="P14" s="267">
        <f t="shared" si="0"/>
        <v>6</v>
      </c>
      <c r="Q14" s="268">
        <f t="shared" si="1"/>
        <v>69918.59</v>
      </c>
      <c r="R14" s="269">
        <v>125381.16</v>
      </c>
      <c r="S14" s="269">
        <f t="shared" si="2"/>
        <v>195299.75</v>
      </c>
    </row>
    <row r="15" spans="1:19" s="267" customFormat="1" ht="19.5" customHeight="1">
      <c r="A15" s="270"/>
      <c r="B15" s="262"/>
      <c r="C15" s="262"/>
      <c r="D15" s="1444"/>
      <c r="E15" s="1445"/>
      <c r="F15" s="256"/>
      <c r="G15" s="256"/>
      <c r="H15" s="256"/>
      <c r="I15" s="271"/>
      <c r="J15" s="271"/>
      <c r="K15" s="518"/>
      <c r="L15" s="271"/>
      <c r="M15" s="271"/>
      <c r="N15" s="272"/>
      <c r="O15" s="266"/>
      <c r="P15" s="267">
        <f t="shared" si="0"/>
        <v>7</v>
      </c>
      <c r="Q15" s="268">
        <f t="shared" si="1"/>
        <v>73852.37</v>
      </c>
      <c r="R15" s="269">
        <v>51528.79</v>
      </c>
      <c r="S15" s="269">
        <f t="shared" si="2"/>
        <v>125381.16</v>
      </c>
    </row>
    <row r="16" spans="1:19" s="267" customFormat="1" ht="19.5" customHeight="1" thickBot="1">
      <c r="A16" s="273"/>
      <c r="B16" s="262"/>
      <c r="C16" s="274"/>
      <c r="D16" s="1448"/>
      <c r="E16" s="1449"/>
      <c r="F16" s="275"/>
      <c r="G16" s="275"/>
      <c r="H16" s="275"/>
      <c r="I16" s="276"/>
      <c r="J16" s="276"/>
      <c r="K16" s="519"/>
      <c r="L16" s="276"/>
      <c r="M16" s="276"/>
      <c r="N16" s="277"/>
      <c r="O16" s="278"/>
      <c r="P16" s="267">
        <f t="shared" si="0"/>
        <v>8</v>
      </c>
      <c r="Q16" s="268">
        <f t="shared" si="1"/>
        <v>51528.79</v>
      </c>
      <c r="R16" s="269">
        <v>0</v>
      </c>
      <c r="S16" s="269">
        <f t="shared" si="2"/>
        <v>51528.79</v>
      </c>
    </row>
    <row r="17" spans="1:19" s="267" customFormat="1" ht="19.5" customHeight="1" thickBot="1">
      <c r="A17" s="279" t="s">
        <v>144</v>
      </c>
      <c r="B17" s="280"/>
      <c r="C17" s="281"/>
      <c r="D17" s="1446"/>
      <c r="E17" s="1447"/>
      <c r="F17" s="282"/>
      <c r="G17" s="282"/>
      <c r="H17" s="282"/>
      <c r="I17" s="652">
        <f aca="true" t="shared" si="3" ref="I17:N17">SUM(I7:I16)</f>
        <v>0</v>
      </c>
      <c r="J17" s="652">
        <f t="shared" si="3"/>
        <v>0</v>
      </c>
      <c r="K17" s="481"/>
      <c r="L17" s="652">
        <f t="shared" si="3"/>
        <v>0</v>
      </c>
      <c r="M17" s="652">
        <f t="shared" si="3"/>
        <v>0</v>
      </c>
      <c r="N17" s="652">
        <f t="shared" si="3"/>
        <v>0</v>
      </c>
      <c r="O17" s="283"/>
      <c r="Q17" s="269"/>
      <c r="R17" s="269"/>
      <c r="S17" s="269"/>
    </row>
    <row r="18" spans="1:15" ht="12.75">
      <c r="A18" s="284"/>
      <c r="B18" s="285"/>
      <c r="C18" s="285"/>
      <c r="D18" s="286"/>
      <c r="E18" s="284"/>
      <c r="F18" s="284"/>
      <c r="G18" s="284"/>
      <c r="H18" s="284"/>
      <c r="I18" s="284"/>
      <c r="J18" s="284"/>
      <c r="K18" s="284"/>
      <c r="L18" s="284"/>
      <c r="M18" s="284"/>
      <c r="N18" s="287"/>
      <c r="O18" s="288"/>
    </row>
    <row r="19" ht="12.75">
      <c r="A19" s="250" t="s">
        <v>140</v>
      </c>
    </row>
    <row r="20" ht="12.75">
      <c r="A20" s="250" t="s">
        <v>393</v>
      </c>
    </row>
    <row r="21" ht="12.75">
      <c r="A21" s="250" t="s">
        <v>205</v>
      </c>
    </row>
    <row r="22" ht="12.75">
      <c r="A22" s="250" t="s">
        <v>597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0:E10"/>
    <mergeCell ref="H5:H6"/>
    <mergeCell ref="D8:E8"/>
    <mergeCell ref="D7:E7"/>
    <mergeCell ref="A2:M2"/>
    <mergeCell ref="N2:O2"/>
    <mergeCell ref="A3:M3"/>
    <mergeCell ref="N3:O3"/>
    <mergeCell ref="D12:E12"/>
    <mergeCell ref="D17:E17"/>
    <mergeCell ref="D13:E13"/>
    <mergeCell ref="D14:E14"/>
    <mergeCell ref="D15:E15"/>
    <mergeCell ref="D16:E16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</mergeCells>
  <dataValidations count="4">
    <dataValidation type="list" allowBlank="1" showInputMessage="1" showErrorMessage="1" promptTitle="Tipo" prompt="Deberá indicar seleccionar el mismo&#10;" sqref="F7:F17">
      <formula1>'Deuda C.P.'!$E$27:$E$30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2" width="4.421875" style="0" customWidth="1"/>
    <col min="3" max="3" width="10.28125" style="0" customWidth="1"/>
    <col min="8" max="8" width="17.28125" style="0" customWidth="1"/>
    <col min="9" max="9" width="9.7109375" style="0" bestFit="1" customWidth="1"/>
  </cols>
  <sheetData>
    <row r="1" ht="12" customHeight="1" thickBot="1"/>
    <row r="2" ht="13.5" hidden="1" thickBot="1"/>
    <row r="3" spans="2:9" ht="56.25" customHeight="1">
      <c r="B3" s="1165" t="s">
        <v>638</v>
      </c>
      <c r="C3" s="1166"/>
      <c r="D3" s="1166"/>
      <c r="E3" s="1166"/>
      <c r="F3" s="1166"/>
      <c r="G3" s="1166"/>
      <c r="H3" s="1166"/>
      <c r="I3" s="632">
        <v>2017</v>
      </c>
    </row>
    <row r="4" spans="2:9" s="633" customFormat="1" ht="27.75" customHeight="1">
      <c r="B4" s="1167" t="s">
        <v>853</v>
      </c>
      <c r="C4" s="1168"/>
      <c r="D4" s="1168"/>
      <c r="E4" s="1168"/>
      <c r="F4" s="1168"/>
      <c r="G4" s="1168"/>
      <c r="H4" s="1168"/>
      <c r="I4" s="1169"/>
    </row>
    <row r="5" spans="2:9" ht="12.75">
      <c r="B5" s="634"/>
      <c r="C5" s="635"/>
      <c r="D5" s="635"/>
      <c r="E5" s="635"/>
      <c r="F5" s="635"/>
      <c r="G5" s="635"/>
      <c r="H5" s="635"/>
      <c r="I5" s="636"/>
    </row>
    <row r="6" spans="2:9" ht="15.75">
      <c r="B6" s="637" t="s">
        <v>365</v>
      </c>
      <c r="C6" s="638"/>
      <c r="D6" s="638"/>
      <c r="E6" s="635"/>
      <c r="F6" s="635"/>
      <c r="G6" s="635"/>
      <c r="H6" s="635"/>
      <c r="I6" s="636"/>
    </row>
    <row r="7" spans="2:9" ht="12.75">
      <c r="B7" s="634"/>
      <c r="C7" s="635"/>
      <c r="D7" s="635"/>
      <c r="E7" s="635"/>
      <c r="F7" s="635"/>
      <c r="G7" s="635"/>
      <c r="H7" s="635"/>
      <c r="I7" s="636"/>
    </row>
    <row r="8" spans="2:9" ht="12.75">
      <c r="B8" s="639" t="s">
        <v>631</v>
      </c>
      <c r="C8" s="638"/>
      <c r="D8" s="638"/>
      <c r="E8" s="635"/>
      <c r="F8" s="635"/>
      <c r="G8" s="635"/>
      <c r="H8" s="635"/>
      <c r="I8" s="640">
        <f>+I10+I14</f>
        <v>10</v>
      </c>
    </row>
    <row r="9" spans="2:9" ht="12.75">
      <c r="B9" s="634"/>
      <c r="C9" s="635"/>
      <c r="D9" s="635"/>
      <c r="E9" s="635"/>
      <c r="F9" s="635"/>
      <c r="G9" s="635"/>
      <c r="H9" s="635"/>
      <c r="I9" s="636"/>
    </row>
    <row r="10" spans="2:9" ht="12.75">
      <c r="B10" s="634"/>
      <c r="C10" s="635" t="s">
        <v>632</v>
      </c>
      <c r="D10" s="635"/>
      <c r="E10" s="635"/>
      <c r="F10" s="635"/>
      <c r="G10" s="635"/>
      <c r="H10" s="635"/>
      <c r="I10" s="640">
        <f>+I11+I12</f>
        <v>10</v>
      </c>
    </row>
    <row r="11" spans="2:9" ht="12.75">
      <c r="B11" s="634"/>
      <c r="C11" s="641" t="s">
        <v>633</v>
      </c>
      <c r="D11" s="635" t="s">
        <v>634</v>
      </c>
      <c r="E11" s="635"/>
      <c r="F11" s="635"/>
      <c r="G11" s="635"/>
      <c r="H11" s="635"/>
      <c r="I11" s="642">
        <v>10</v>
      </c>
    </row>
    <row r="12" spans="2:9" ht="12.75">
      <c r="B12" s="634"/>
      <c r="C12" s="641" t="s">
        <v>635</v>
      </c>
      <c r="D12" s="635" t="s">
        <v>636</v>
      </c>
      <c r="E12" s="635"/>
      <c r="F12" s="635"/>
      <c r="G12" s="635"/>
      <c r="H12" s="635"/>
      <c r="I12" s="642"/>
    </row>
    <row r="13" spans="2:9" ht="7.5" customHeight="1">
      <c r="B13" s="634"/>
      <c r="C13" s="635"/>
      <c r="D13" s="635"/>
      <c r="E13" s="635"/>
      <c r="F13" s="635"/>
      <c r="G13" s="635"/>
      <c r="H13" s="635"/>
      <c r="I13" s="636"/>
    </row>
    <row r="14" spans="2:9" ht="12.75">
      <c r="B14" s="634"/>
      <c r="C14" s="635" t="s">
        <v>637</v>
      </c>
      <c r="D14" s="635"/>
      <c r="E14" s="635"/>
      <c r="F14" s="635"/>
      <c r="G14" s="635"/>
      <c r="H14" s="635"/>
      <c r="I14" s="640"/>
    </row>
    <row r="15" spans="2:9" ht="13.5" thickBot="1">
      <c r="B15" s="643"/>
      <c r="C15" s="644"/>
      <c r="D15" s="644"/>
      <c r="E15" s="644"/>
      <c r="F15" s="644"/>
      <c r="G15" s="644"/>
      <c r="H15" s="644"/>
      <c r="I15" s="645"/>
    </row>
  </sheetData>
  <sheetProtection/>
  <mergeCells count="2">
    <mergeCell ref="B3:H3"/>
    <mergeCell ref="B4:I4"/>
  </mergeCells>
  <printOptions/>
  <pageMargins left="0.75" right="0.25" top="1" bottom="1" header="0" footer="0"/>
  <pageSetup orientation="landscape" paperSize="9"/>
  <ignoredErrors>
    <ignoredError sqref="I8 I10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57"/>
  <sheetViews>
    <sheetView zoomScalePageLayoutView="0" workbookViewId="0" topLeftCell="A1">
      <selection activeCell="L28" sqref="L1:M16384"/>
    </sheetView>
  </sheetViews>
  <sheetFormatPr defaultColWidth="11.421875" defaultRowHeight="12.75"/>
  <cols>
    <col min="1" max="1" width="3.710937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0" width="7.140625" style="133" customWidth="1"/>
    <col min="11" max="11" width="35.7109375" style="133" hidden="1" customWidth="1"/>
    <col min="12" max="13" width="0" style="133" hidden="1" customWidth="1"/>
    <col min="14" max="16384" width="11.421875" style="133" customWidth="1"/>
  </cols>
  <sheetData>
    <row r="1" ht="13.5" thickBot="1"/>
    <row r="2" spans="2:9" ht="14.25">
      <c r="B2" s="1511" t="s">
        <v>321</v>
      </c>
      <c r="C2" s="1512"/>
      <c r="D2" s="1512"/>
      <c r="E2" s="1512"/>
      <c r="F2" s="1512"/>
      <c r="G2" s="1512"/>
      <c r="H2" s="1512"/>
      <c r="I2" s="1509">
        <v>2017</v>
      </c>
    </row>
    <row r="3" spans="2:9" ht="24.75" customHeight="1" thickBot="1">
      <c r="B3" s="1513" t="s">
        <v>342</v>
      </c>
      <c r="C3" s="1514"/>
      <c r="D3" s="1514"/>
      <c r="E3" s="1514"/>
      <c r="F3" s="1514"/>
      <c r="G3" s="1514"/>
      <c r="H3" s="1514"/>
      <c r="I3" s="1510"/>
    </row>
    <row r="4" spans="2:9" ht="33" customHeight="1" thickBot="1">
      <c r="B4" s="1515" t="str">
        <f>'Operaciones Internas'!B3:D3</f>
        <v>ENTIDAD: ENTIDAD PÚBLICA EMPRESARIAL LOCAL BALSAS DE TENERIFE, BALTEN</v>
      </c>
      <c r="C4" s="1516"/>
      <c r="D4" s="1516"/>
      <c r="E4" s="1516"/>
      <c r="F4" s="1516"/>
      <c r="G4" s="1516"/>
      <c r="H4" s="1517"/>
      <c r="I4" s="291" t="s">
        <v>197</v>
      </c>
    </row>
    <row r="5" spans="2:9" ht="12.75">
      <c r="B5" s="223"/>
      <c r="C5" s="158"/>
      <c r="D5" s="158"/>
      <c r="E5" s="158"/>
      <c r="F5" s="158"/>
      <c r="G5" s="158"/>
      <c r="H5" s="158"/>
      <c r="I5" s="224"/>
    </row>
    <row r="6" spans="2:9" ht="12.75">
      <c r="B6" s="223"/>
      <c r="C6" s="1519" t="s">
        <v>343</v>
      </c>
      <c r="D6" s="1519"/>
      <c r="E6" s="1519"/>
      <c r="F6" s="1519"/>
      <c r="G6" s="1519"/>
      <c r="H6" s="1519"/>
      <c r="I6" s="1520"/>
    </row>
    <row r="7" spans="2:9" ht="12.75">
      <c r="B7" s="223"/>
      <c r="C7" s="158"/>
      <c r="D7" s="158"/>
      <c r="E7" s="158"/>
      <c r="F7" s="158"/>
      <c r="G7" s="158"/>
      <c r="H7" s="158"/>
      <c r="I7" s="224"/>
    </row>
    <row r="8" spans="2:9" ht="12.75">
      <c r="B8" s="1522" t="s">
        <v>344</v>
      </c>
      <c r="C8" s="1523"/>
      <c r="D8" s="158"/>
      <c r="E8" s="158"/>
      <c r="F8" s="158"/>
      <c r="G8" s="158"/>
      <c r="H8" s="158"/>
      <c r="I8" s="224"/>
    </row>
    <row r="9" spans="2:9" ht="12.75">
      <c r="B9" s="223"/>
      <c r="C9" s="158"/>
      <c r="D9" s="158"/>
      <c r="E9" s="158"/>
      <c r="F9" s="158"/>
      <c r="G9" s="158"/>
      <c r="H9" s="158"/>
      <c r="I9" s="224"/>
    </row>
    <row r="10" spans="2:9" ht="12.75">
      <c r="B10" s="292" t="s">
        <v>384</v>
      </c>
      <c r="C10" s="293" t="s">
        <v>345</v>
      </c>
      <c r="D10" s="293"/>
      <c r="E10" s="293"/>
      <c r="F10" s="158"/>
      <c r="G10" s="158"/>
      <c r="H10" s="158"/>
      <c r="I10" s="224"/>
    </row>
    <row r="11" spans="2:9" ht="12.75">
      <c r="B11" s="292"/>
      <c r="C11" s="293" t="s">
        <v>346</v>
      </c>
      <c r="D11" s="293"/>
      <c r="E11" s="293"/>
      <c r="F11" s="158"/>
      <c r="G11" s="158"/>
      <c r="H11" s="158"/>
      <c r="I11" s="224"/>
    </row>
    <row r="12" spans="2:9" ht="12.75">
      <c r="B12" s="292"/>
      <c r="C12" s="293" t="s">
        <v>348</v>
      </c>
      <c r="D12" s="293"/>
      <c r="E12" s="293"/>
      <c r="F12" s="158"/>
      <c r="G12" s="158"/>
      <c r="H12" s="158"/>
      <c r="I12" s="224"/>
    </row>
    <row r="13" spans="2:9" ht="12.75">
      <c r="B13" s="292"/>
      <c r="C13" s="293" t="s">
        <v>349</v>
      </c>
      <c r="D13" s="293"/>
      <c r="E13" s="293"/>
      <c r="F13" s="158"/>
      <c r="G13" s="158"/>
      <c r="H13" s="158"/>
      <c r="I13" s="224"/>
    </row>
    <row r="14" spans="2:9" ht="12.75">
      <c r="B14" s="292"/>
      <c r="C14" s="293" t="s">
        <v>350</v>
      </c>
      <c r="D14" s="293"/>
      <c r="E14" s="293"/>
      <c r="F14" s="158"/>
      <c r="G14" s="158"/>
      <c r="H14" s="158"/>
      <c r="I14" s="224"/>
    </row>
    <row r="15" spans="2:9" ht="12.75">
      <c r="B15" s="223"/>
      <c r="C15" s="158"/>
      <c r="D15" s="158"/>
      <c r="E15" s="158"/>
      <c r="F15" s="158"/>
      <c r="G15" s="158"/>
      <c r="H15" s="158"/>
      <c r="I15" s="224"/>
    </row>
    <row r="16" spans="2:9" ht="12.75">
      <c r="B16" s="1522" t="s">
        <v>351</v>
      </c>
      <c r="C16" s="1523"/>
      <c r="D16" s="1523"/>
      <c r="E16" s="1523"/>
      <c r="F16" s="158"/>
      <c r="G16" s="158"/>
      <c r="H16" s="158"/>
      <c r="I16" s="224"/>
    </row>
    <row r="17" spans="2:9" ht="12.75">
      <c r="B17" s="223"/>
      <c r="C17" s="158"/>
      <c r="D17" s="158"/>
      <c r="E17" s="158"/>
      <c r="F17" s="158"/>
      <c r="G17" s="158"/>
      <c r="H17" s="158"/>
      <c r="I17" s="224"/>
    </row>
    <row r="18" spans="2:9" ht="12.75">
      <c r="B18" s="1524" t="s">
        <v>352</v>
      </c>
      <c r="C18" s="1525"/>
      <c r="D18" s="1525"/>
      <c r="E18" s="1525"/>
      <c r="F18" s="1526"/>
      <c r="G18" s="158"/>
      <c r="H18" s="158"/>
      <c r="I18" s="224"/>
    </row>
    <row r="19" spans="2:9" ht="12.75">
      <c r="B19" s="223"/>
      <c r="C19" s="158"/>
      <c r="D19" s="158"/>
      <c r="E19" s="158"/>
      <c r="F19" s="158"/>
      <c r="G19" s="158"/>
      <c r="H19" s="158"/>
      <c r="I19" s="224"/>
    </row>
    <row r="20" spans="2:9" ht="12.75">
      <c r="B20" s="223"/>
      <c r="C20" s="158"/>
      <c r="D20" s="158"/>
      <c r="E20" s="158"/>
      <c r="F20" s="158"/>
      <c r="G20" s="1521" t="s">
        <v>353</v>
      </c>
      <c r="H20" s="1521"/>
      <c r="I20" s="941">
        <f>D36</f>
        <v>40</v>
      </c>
    </row>
    <row r="21" spans="2:12" ht="12.75">
      <c r="B21" s="223"/>
      <c r="C21" s="158"/>
      <c r="D21" s="158"/>
      <c r="E21" s="158"/>
      <c r="F21" s="158"/>
      <c r="G21" s="1521" t="s">
        <v>354</v>
      </c>
      <c r="H21" s="1521"/>
      <c r="I21" s="941">
        <f>I36+I44</f>
        <v>1678174.0266398196</v>
      </c>
      <c r="J21" s="169"/>
      <c r="K21" s="953">
        <f>I21+CPYG!E29</f>
        <v>-0.0033601801842451096</v>
      </c>
      <c r="L21" s="169"/>
    </row>
    <row r="22" spans="2:9" ht="12.75">
      <c r="B22" s="223"/>
      <c r="C22" s="158"/>
      <c r="D22" s="158"/>
      <c r="E22" s="158"/>
      <c r="F22" s="158"/>
      <c r="G22" s="158"/>
      <c r="H22" s="158"/>
      <c r="I22" s="224"/>
    </row>
    <row r="23" spans="2:9" ht="12.75">
      <c r="B23" s="223"/>
      <c r="C23" s="158"/>
      <c r="D23" s="158"/>
      <c r="E23" s="158"/>
      <c r="F23" s="158"/>
      <c r="G23" s="158"/>
      <c r="H23" s="158"/>
      <c r="I23" s="224"/>
    </row>
    <row r="24" spans="2:14" ht="12.75">
      <c r="B24" s="816"/>
      <c r="C24" s="817"/>
      <c r="D24" s="817"/>
      <c r="E24" s="817"/>
      <c r="F24" s="817"/>
      <c r="G24" s="817"/>
      <c r="H24" s="817"/>
      <c r="I24" s="942"/>
      <c r="J24" s="222"/>
      <c r="K24" s="222"/>
      <c r="L24" s="222"/>
      <c r="M24" s="222"/>
      <c r="N24" s="222"/>
    </row>
    <row r="25" spans="2:14" ht="12.75">
      <c r="B25" s="1505" t="s">
        <v>355</v>
      </c>
      <c r="C25" s="1506"/>
      <c r="D25" s="1506"/>
      <c r="E25" s="817"/>
      <c r="F25" s="817"/>
      <c r="G25" s="817"/>
      <c r="H25" s="817"/>
      <c r="I25" s="818"/>
      <c r="J25" s="222"/>
      <c r="K25" s="222"/>
      <c r="L25" s="222"/>
      <c r="M25" s="222"/>
      <c r="N25" s="222"/>
    </row>
    <row r="26" spans="2:14" ht="13.5" thickBot="1">
      <c r="B26" s="816"/>
      <c r="C26" s="817"/>
      <c r="D26" s="817"/>
      <c r="E26" s="817"/>
      <c r="F26" s="817"/>
      <c r="G26" s="817"/>
      <c r="H26" s="817"/>
      <c r="I26" s="818"/>
      <c r="J26" s="222"/>
      <c r="K26" s="222"/>
      <c r="L26" s="222"/>
      <c r="M26" s="222"/>
      <c r="N26" s="222"/>
    </row>
    <row r="27" spans="2:14" ht="13.5" thickBot="1">
      <c r="B27" s="1546" t="s">
        <v>356</v>
      </c>
      <c r="C27" s="1547"/>
      <c r="D27" s="1518" t="s">
        <v>357</v>
      </c>
      <c r="E27" s="1518" t="s">
        <v>358</v>
      </c>
      <c r="F27" s="1518"/>
      <c r="G27" s="1518"/>
      <c r="H27" s="1518"/>
      <c r="I27" s="1518"/>
      <c r="J27" s="222"/>
      <c r="K27" s="222"/>
      <c r="L27" s="222"/>
      <c r="M27" s="222"/>
      <c r="N27" s="222"/>
    </row>
    <row r="28" spans="2:14" ht="13.5" thickBot="1">
      <c r="B28" s="1548"/>
      <c r="C28" s="1549"/>
      <c r="D28" s="1518"/>
      <c r="E28" s="1518" t="s">
        <v>359</v>
      </c>
      <c r="F28" s="1518" t="s">
        <v>360</v>
      </c>
      <c r="G28" s="1518" t="s">
        <v>361</v>
      </c>
      <c r="H28" s="1518" t="s">
        <v>362</v>
      </c>
      <c r="I28" s="1518" t="s">
        <v>364</v>
      </c>
      <c r="J28" s="222"/>
      <c r="K28" s="222"/>
      <c r="L28" s="222"/>
      <c r="M28" s="222"/>
      <c r="N28" s="222"/>
    </row>
    <row r="29" spans="2:14" ht="13.5" thickBot="1">
      <c r="B29" s="1550"/>
      <c r="C29" s="1551"/>
      <c r="D29" s="1518"/>
      <c r="E29" s="1518"/>
      <c r="F29" s="1518"/>
      <c r="G29" s="1518"/>
      <c r="H29" s="1518"/>
      <c r="I29" s="1518"/>
      <c r="J29" s="222"/>
      <c r="K29" s="222"/>
      <c r="L29" s="222"/>
      <c r="M29" s="222"/>
      <c r="N29" s="222"/>
    </row>
    <row r="30" spans="2:14" ht="15" customHeight="1">
      <c r="B30" s="1507" t="s">
        <v>365</v>
      </c>
      <c r="C30" s="1508"/>
      <c r="D30" s="943"/>
      <c r="E30" s="943"/>
      <c r="F30" s="943"/>
      <c r="G30" s="943"/>
      <c r="H30" s="943"/>
      <c r="I30" s="944">
        <f aca="true" t="shared" si="0" ref="I30:I35">E30+F30+G30+H30</f>
        <v>0</v>
      </c>
      <c r="J30" s="222"/>
      <c r="K30" s="222"/>
      <c r="L30" s="222"/>
      <c r="M30" s="222"/>
      <c r="N30" s="222"/>
    </row>
    <row r="31" spans="2:14" ht="15" customHeight="1">
      <c r="B31" s="1507" t="s">
        <v>366</v>
      </c>
      <c r="C31" s="1508"/>
      <c r="D31" s="878"/>
      <c r="E31" s="878"/>
      <c r="F31" s="878"/>
      <c r="G31" s="878"/>
      <c r="H31" s="878"/>
      <c r="I31" s="944">
        <f t="shared" si="0"/>
        <v>0</v>
      </c>
      <c r="J31" s="222"/>
      <c r="K31" s="222"/>
      <c r="L31" s="222"/>
      <c r="M31" s="222"/>
      <c r="N31" s="222"/>
    </row>
    <row r="32" spans="2:14" ht="15" customHeight="1">
      <c r="B32" s="1507" t="s">
        <v>367</v>
      </c>
      <c r="C32" s="1508"/>
      <c r="D32" s="878">
        <v>1</v>
      </c>
      <c r="E32" s="878">
        <v>75656.58</v>
      </c>
      <c r="F32" s="878"/>
      <c r="G32" s="878"/>
      <c r="H32" s="878"/>
      <c r="I32" s="944">
        <f t="shared" si="0"/>
        <v>75656.58</v>
      </c>
      <c r="J32" s="222"/>
      <c r="K32" s="222"/>
      <c r="L32" s="222"/>
      <c r="M32" s="222"/>
      <c r="N32" s="222"/>
    </row>
    <row r="33" spans="2:14" ht="15" customHeight="1">
      <c r="B33" s="1507" t="s">
        <v>368</v>
      </c>
      <c r="C33" s="1508"/>
      <c r="D33" s="878">
        <v>21</v>
      </c>
      <c r="E33" s="878">
        <v>585201.9950649353</v>
      </c>
      <c r="F33" s="878"/>
      <c r="G33" s="878"/>
      <c r="H33" s="878"/>
      <c r="I33" s="944">
        <f t="shared" si="0"/>
        <v>585201.9950649353</v>
      </c>
      <c r="J33" s="222"/>
      <c r="K33" s="222"/>
      <c r="L33" s="222"/>
      <c r="M33" s="222"/>
      <c r="N33" s="222"/>
    </row>
    <row r="34" spans="2:14" ht="15" customHeight="1">
      <c r="B34" s="1507" t="s">
        <v>369</v>
      </c>
      <c r="C34" s="1508"/>
      <c r="D34" s="878">
        <v>18</v>
      </c>
      <c r="E34" s="878">
        <v>435674.38350649347</v>
      </c>
      <c r="F34" s="878"/>
      <c r="G34" s="878"/>
      <c r="H34" s="878"/>
      <c r="I34" s="944">
        <f t="shared" si="0"/>
        <v>435674.38350649347</v>
      </c>
      <c r="J34" s="222"/>
      <c r="K34" s="222"/>
      <c r="L34" s="222"/>
      <c r="M34" s="222"/>
      <c r="N34" s="222"/>
    </row>
    <row r="35" spans="2:14" ht="15" customHeight="1">
      <c r="B35" s="1507" t="s">
        <v>42</v>
      </c>
      <c r="C35" s="1508"/>
      <c r="D35" s="878"/>
      <c r="E35" s="879">
        <f>16471.5680683908-10557.1</f>
        <v>5914.468068390799</v>
      </c>
      <c r="F35" s="878"/>
      <c r="G35" s="878"/>
      <c r="H35" s="878"/>
      <c r="I35" s="944">
        <f t="shared" si="0"/>
        <v>5914.468068390799</v>
      </c>
      <c r="J35" s="222"/>
      <c r="K35" s="222"/>
      <c r="L35" s="222"/>
      <c r="M35" s="222"/>
      <c r="N35" s="222"/>
    </row>
    <row r="36" spans="2:14" ht="15" customHeight="1" thickBot="1">
      <c r="B36" s="1537" t="s">
        <v>623</v>
      </c>
      <c r="C36" s="1538"/>
      <c r="D36" s="945">
        <f aca="true" t="shared" si="1" ref="D36:I36">D30+D31+D32+D33+D34+D35</f>
        <v>40</v>
      </c>
      <c r="E36" s="945">
        <f t="shared" si="1"/>
        <v>1102447.4266398195</v>
      </c>
      <c r="F36" s="945">
        <f t="shared" si="1"/>
        <v>0</v>
      </c>
      <c r="G36" s="945">
        <f t="shared" si="1"/>
        <v>0</v>
      </c>
      <c r="H36" s="945">
        <f t="shared" si="1"/>
        <v>0</v>
      </c>
      <c r="I36" s="945">
        <f t="shared" si="1"/>
        <v>1102447.4266398195</v>
      </c>
      <c r="J36" s="222"/>
      <c r="K36" s="222"/>
      <c r="L36" s="881">
        <f>I36+L39+L40+L41+L45</f>
        <v>1233047.4266398195</v>
      </c>
      <c r="M36" s="222"/>
      <c r="N36" s="222"/>
    </row>
    <row r="37" spans="2:14" ht="12.75">
      <c r="B37" s="816"/>
      <c r="C37" s="817"/>
      <c r="D37" s="817"/>
      <c r="E37" s="817"/>
      <c r="F37" s="817"/>
      <c r="G37" s="817"/>
      <c r="H37" s="817"/>
      <c r="I37" s="818"/>
      <c r="J37" s="222"/>
      <c r="K37" s="222"/>
      <c r="L37" s="222"/>
      <c r="M37" s="222"/>
      <c r="N37" s="222"/>
    </row>
    <row r="38" spans="2:14" ht="12.75">
      <c r="B38" s="816"/>
      <c r="C38" s="817"/>
      <c r="D38" s="817"/>
      <c r="E38" s="817"/>
      <c r="F38" s="817"/>
      <c r="G38" s="817"/>
      <c r="H38" s="817"/>
      <c r="I38" s="818"/>
      <c r="J38" s="222"/>
      <c r="K38" s="222"/>
      <c r="L38" s="222"/>
      <c r="M38" s="222"/>
      <c r="N38" s="222"/>
    </row>
    <row r="39" spans="2:14" ht="12.75">
      <c r="B39" s="1505" t="s">
        <v>370</v>
      </c>
      <c r="C39" s="1506"/>
      <c r="D39" s="1506"/>
      <c r="E39" s="817"/>
      <c r="F39" s="817"/>
      <c r="G39" s="817"/>
      <c r="H39" s="817"/>
      <c r="I39" s="818"/>
      <c r="J39" s="222"/>
      <c r="K39" s="880" t="s">
        <v>915</v>
      </c>
      <c r="L39" s="881">
        <v>107000</v>
      </c>
      <c r="M39" s="881">
        <f>L46-L39</f>
        <v>79200</v>
      </c>
      <c r="N39" s="222"/>
    </row>
    <row r="40" spans="2:14" ht="13.5" thickBot="1">
      <c r="B40" s="816"/>
      <c r="C40" s="817"/>
      <c r="D40" s="817"/>
      <c r="E40" s="817"/>
      <c r="F40" s="817"/>
      <c r="G40" s="817"/>
      <c r="H40" s="817"/>
      <c r="I40" s="818"/>
      <c r="J40" s="222"/>
      <c r="K40" s="880" t="s">
        <v>916</v>
      </c>
      <c r="L40" s="881">
        <v>8500</v>
      </c>
      <c r="N40" s="222"/>
    </row>
    <row r="41" spans="2:14" ht="15" customHeight="1" thickBot="1">
      <c r="B41" s="1539" t="s">
        <v>608</v>
      </c>
      <c r="C41" s="1540"/>
      <c r="D41" s="1540"/>
      <c r="E41" s="1541"/>
      <c r="F41" s="1543" t="s">
        <v>119</v>
      </c>
      <c r="G41" s="1544"/>
      <c r="H41" s="1544"/>
      <c r="I41" s="1545"/>
      <c r="J41" s="222"/>
      <c r="K41" s="880" t="s">
        <v>917</v>
      </c>
      <c r="L41" s="881">
        <v>15000</v>
      </c>
      <c r="M41" s="222"/>
      <c r="N41" s="222"/>
    </row>
    <row r="42" spans="2:14" ht="15" customHeight="1">
      <c r="B42" s="1507" t="s">
        <v>385</v>
      </c>
      <c r="C42" s="1536"/>
      <c r="D42" s="946"/>
      <c r="E42" s="817"/>
      <c r="F42" s="817"/>
      <c r="G42" s="817"/>
      <c r="H42" s="817"/>
      <c r="I42" s="882">
        <f>L46</f>
        <v>186200</v>
      </c>
      <c r="J42" s="222"/>
      <c r="K42" s="880" t="s">
        <v>918</v>
      </c>
      <c r="L42" s="881">
        <f>34000+1600</f>
        <v>35600</v>
      </c>
      <c r="M42" s="222"/>
      <c r="N42" s="222"/>
    </row>
    <row r="43" spans="2:14" ht="15" customHeight="1">
      <c r="B43" s="1507" t="s">
        <v>371</v>
      </c>
      <c r="C43" s="1536"/>
      <c r="D43" s="946"/>
      <c r="E43" s="817"/>
      <c r="F43" s="817"/>
      <c r="G43" s="817"/>
      <c r="H43" s="817"/>
      <c r="I43" s="883">
        <v>389526.6</v>
      </c>
      <c r="J43" s="222"/>
      <c r="K43" s="880" t="s">
        <v>919</v>
      </c>
      <c r="L43" s="881">
        <v>13000</v>
      </c>
      <c r="M43" s="222"/>
      <c r="N43" s="222"/>
    </row>
    <row r="44" spans="2:14" ht="15" customHeight="1" thickBot="1">
      <c r="B44" s="1537" t="s">
        <v>372</v>
      </c>
      <c r="C44" s="1542"/>
      <c r="D44" s="947"/>
      <c r="E44" s="948"/>
      <c r="F44" s="948"/>
      <c r="G44" s="948"/>
      <c r="H44" s="948"/>
      <c r="I44" s="949">
        <f>I42+I43</f>
        <v>575726.6</v>
      </c>
      <c r="J44" s="222"/>
      <c r="K44" s="880" t="s">
        <v>920</v>
      </c>
      <c r="L44" s="881">
        <v>7000</v>
      </c>
      <c r="M44" s="222"/>
      <c r="N44" s="222"/>
    </row>
    <row r="45" spans="2:14" ht="12.75">
      <c r="B45" s="816"/>
      <c r="C45" s="817"/>
      <c r="D45" s="817"/>
      <c r="E45" s="817"/>
      <c r="F45" s="817"/>
      <c r="G45" s="817"/>
      <c r="H45" s="817"/>
      <c r="I45" s="942"/>
      <c r="J45" s="222"/>
      <c r="K45" s="880" t="s">
        <v>921</v>
      </c>
      <c r="L45" s="881">
        <v>100</v>
      </c>
      <c r="M45" s="881">
        <f>L41+L42+L45</f>
        <v>50700</v>
      </c>
      <c r="N45" s="222"/>
    </row>
    <row r="46" spans="2:14" ht="13.5" thickBot="1">
      <c r="B46" s="816"/>
      <c r="C46" s="817"/>
      <c r="D46" s="817"/>
      <c r="E46" s="817"/>
      <c r="F46" s="817"/>
      <c r="G46" s="817"/>
      <c r="H46" s="817"/>
      <c r="I46" s="818"/>
      <c r="J46" s="222"/>
      <c r="K46" s="222"/>
      <c r="L46" s="884">
        <f>SUM(L39:L45)</f>
        <v>186200</v>
      </c>
      <c r="M46" s="885"/>
      <c r="N46" s="222"/>
    </row>
    <row r="47" spans="2:14" ht="13.5" thickTop="1">
      <c r="B47" s="816"/>
      <c r="C47" s="950" t="s">
        <v>373</v>
      </c>
      <c r="D47" s="817"/>
      <c r="E47" s="817"/>
      <c r="F47" s="817"/>
      <c r="G47" s="817"/>
      <c r="H47" s="817"/>
      <c r="I47" s="818"/>
      <c r="J47" s="222"/>
      <c r="K47" s="222"/>
      <c r="L47" s="222"/>
      <c r="M47" s="222"/>
      <c r="N47" s="222"/>
    </row>
    <row r="48" spans="2:14" ht="12.75">
      <c r="B48" s="816"/>
      <c r="C48" s="817"/>
      <c r="D48" s="817"/>
      <c r="E48" s="817"/>
      <c r="F48" s="817"/>
      <c r="G48" s="817"/>
      <c r="H48" s="817"/>
      <c r="I48" s="818"/>
      <c r="J48" s="222"/>
      <c r="K48" s="222"/>
      <c r="L48" s="222"/>
      <c r="M48" s="222"/>
      <c r="N48" s="222"/>
    </row>
    <row r="49" spans="2:14" ht="12.75" customHeight="1">
      <c r="B49" s="1527"/>
      <c r="C49" s="1528"/>
      <c r="D49" s="1528"/>
      <c r="E49" s="1528"/>
      <c r="F49" s="1528"/>
      <c r="G49" s="1528"/>
      <c r="H49" s="1528"/>
      <c r="I49" s="1529"/>
      <c r="J49" s="222"/>
      <c r="K49" s="222"/>
      <c r="L49" s="222"/>
      <c r="M49" s="222"/>
      <c r="N49" s="222"/>
    </row>
    <row r="50" spans="2:14" ht="12.75">
      <c r="B50" s="1530"/>
      <c r="C50" s="1531"/>
      <c r="D50" s="1531"/>
      <c r="E50" s="1531"/>
      <c r="F50" s="1531"/>
      <c r="G50" s="1531"/>
      <c r="H50" s="1531"/>
      <c r="I50" s="1532"/>
      <c r="J50" s="222"/>
      <c r="K50" s="222"/>
      <c r="L50" s="222"/>
      <c r="M50" s="222"/>
      <c r="N50" s="222"/>
    </row>
    <row r="51" spans="2:14" ht="12.75">
      <c r="B51" s="1530"/>
      <c r="C51" s="1531"/>
      <c r="D51" s="1531"/>
      <c r="E51" s="1531"/>
      <c r="F51" s="1531"/>
      <c r="G51" s="1531"/>
      <c r="H51" s="1531"/>
      <c r="I51" s="1532"/>
      <c r="J51" s="222"/>
      <c r="K51" s="222"/>
      <c r="L51" s="222"/>
      <c r="M51" s="222"/>
      <c r="N51" s="222"/>
    </row>
    <row r="52" spans="2:14" ht="12.75">
      <c r="B52" s="1530"/>
      <c r="C52" s="1531"/>
      <c r="D52" s="1531"/>
      <c r="E52" s="1531"/>
      <c r="F52" s="1531"/>
      <c r="G52" s="1531"/>
      <c r="H52" s="1531"/>
      <c r="I52" s="1532"/>
      <c r="J52" s="222"/>
      <c r="K52" s="222"/>
      <c r="L52" s="222"/>
      <c r="M52" s="222"/>
      <c r="N52" s="222"/>
    </row>
    <row r="53" spans="2:14" ht="12.75">
      <c r="B53" s="1533"/>
      <c r="C53" s="1534"/>
      <c r="D53" s="1534"/>
      <c r="E53" s="1534"/>
      <c r="F53" s="1534"/>
      <c r="G53" s="1534"/>
      <c r="H53" s="1534"/>
      <c r="I53" s="1535"/>
      <c r="J53" s="222"/>
      <c r="K53" s="222"/>
      <c r="L53" s="222"/>
      <c r="M53" s="222"/>
      <c r="N53" s="222"/>
    </row>
    <row r="54" spans="2:14" ht="13.5" thickBot="1">
      <c r="B54" s="951"/>
      <c r="C54" s="948"/>
      <c r="D54" s="948"/>
      <c r="E54" s="948"/>
      <c r="F54" s="948"/>
      <c r="G54" s="948"/>
      <c r="H54" s="948"/>
      <c r="I54" s="952"/>
      <c r="J54" s="222"/>
      <c r="K54" s="222"/>
      <c r="L54" s="222"/>
      <c r="M54" s="222"/>
      <c r="N54" s="222"/>
    </row>
    <row r="55" spans="2:14" ht="12.75"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2:14" ht="12.75"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</row>
    <row r="57" spans="2:14" ht="12.75"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</row>
  </sheetData>
  <sheetProtection/>
  <mergeCells count="33">
    <mergeCell ref="B44:C44"/>
    <mergeCell ref="B43:C43"/>
    <mergeCell ref="F41:I41"/>
    <mergeCell ref="D27:D29"/>
    <mergeCell ref="E28:E29"/>
    <mergeCell ref="B27:C29"/>
    <mergeCell ref="E27:I27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C6:I6"/>
    <mergeCell ref="G20:H20"/>
    <mergeCell ref="B8:C8"/>
    <mergeCell ref="B16:E16"/>
    <mergeCell ref="B18:F18"/>
    <mergeCell ref="G21:H21"/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G28:G29"/>
  </mergeCells>
  <printOptions horizontalCentered="1" verticalCentered="1"/>
  <pageMargins left="0.47" right="0.47" top="0.98" bottom="0.98" header="0" footer="0"/>
  <pageSetup fitToHeight="1" fitToWidth="1" horizontalDpi="600" verticalDpi="600" orientation="landscape" paperSize="9" scale="58"/>
  <ignoredErrors>
    <ignoredError sqref="I30" emptyCellReference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2:Q20"/>
  <sheetViews>
    <sheetView zoomScalePageLayoutView="0" workbookViewId="0" topLeftCell="A1">
      <selection activeCell="A14" sqref="A14:IV17"/>
    </sheetView>
  </sheetViews>
  <sheetFormatPr defaultColWidth="11.421875" defaultRowHeight="12.75"/>
  <cols>
    <col min="1" max="1" width="4.140625" style="901" customWidth="1"/>
    <col min="2" max="2" width="5.7109375" style="901" customWidth="1"/>
    <col min="3" max="4" width="7.7109375" style="901" customWidth="1"/>
    <col min="5" max="7" width="9.7109375" style="901" customWidth="1"/>
    <col min="8" max="8" width="15.28125" style="901" customWidth="1"/>
    <col min="9" max="9" width="13.421875" style="901" customWidth="1"/>
    <col min="10" max="12" width="11.7109375" style="901" customWidth="1"/>
    <col min="13" max="13" width="9.7109375" style="901" customWidth="1"/>
    <col min="14" max="14" width="10.7109375" style="901" customWidth="1"/>
    <col min="15" max="15" width="15.140625" style="901" customWidth="1"/>
    <col min="16" max="16" width="11.421875" style="901" customWidth="1"/>
    <col min="17" max="17" width="18.7109375" style="901" customWidth="1"/>
    <col min="18" max="16384" width="11.421875" style="901" customWidth="1"/>
  </cols>
  <sheetData>
    <row r="1" ht="19.5" customHeight="1"/>
    <row r="2" spans="2:17" s="902" customFormat="1" ht="11.25">
      <c r="B2" s="716" t="s">
        <v>814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P2" s="717"/>
      <c r="Q2" s="717"/>
    </row>
    <row r="3" s="903" customFormat="1" ht="11.25"/>
    <row r="4" spans="2:3" s="903" customFormat="1" ht="11.25">
      <c r="B4" s="718" t="s">
        <v>815</v>
      </c>
      <c r="C4" s="908" t="s">
        <v>922</v>
      </c>
    </row>
    <row r="5" s="903" customFormat="1" ht="11.25">
      <c r="B5" s="718"/>
    </row>
    <row r="6" spans="2:17" s="903" customFormat="1" ht="11.25">
      <c r="B6" s="717" t="s">
        <v>816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8"/>
      <c r="P6" s="718"/>
      <c r="Q6" s="718"/>
    </row>
    <row r="7" spans="2:17" s="903" customFormat="1" ht="11.25" customHeight="1" thickBot="1"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</row>
    <row r="8" spans="2:15" s="718" customFormat="1" ht="34.5" customHeight="1" thickBot="1">
      <c r="B8" s="720"/>
      <c r="C8" s="720"/>
      <c r="D8" s="720"/>
      <c r="E8" s="720"/>
      <c r="F8" s="1552" t="s">
        <v>817</v>
      </c>
      <c r="G8" s="1555"/>
      <c r="H8" s="720"/>
      <c r="I8" s="720"/>
      <c r="J8" s="1552" t="s">
        <v>924</v>
      </c>
      <c r="K8" s="1553"/>
      <c r="L8" s="1554"/>
      <c r="M8" s="720"/>
      <c r="N8" s="720"/>
      <c r="O8" s="720"/>
    </row>
    <row r="9" spans="2:15" s="721" customFormat="1" ht="27" customHeight="1" thickBot="1">
      <c r="B9" s="886" t="s">
        <v>826</v>
      </c>
      <c r="C9" s="887" t="s">
        <v>818</v>
      </c>
      <c r="D9" s="888" t="s">
        <v>819</v>
      </c>
      <c r="E9" s="888" t="s">
        <v>820</v>
      </c>
      <c r="F9" s="889">
        <v>2016</v>
      </c>
      <c r="G9" s="890">
        <v>2017</v>
      </c>
      <c r="H9" s="888" t="s">
        <v>821</v>
      </c>
      <c r="I9" s="888" t="s">
        <v>822</v>
      </c>
      <c r="J9" s="888" t="s">
        <v>923</v>
      </c>
      <c r="K9" s="888"/>
      <c r="L9" s="888"/>
      <c r="M9" s="888" t="s">
        <v>823</v>
      </c>
      <c r="N9" s="888" t="s">
        <v>144</v>
      </c>
      <c r="O9" s="891" t="s">
        <v>824</v>
      </c>
    </row>
    <row r="10" spans="1:15" s="719" customFormat="1" ht="21.75" customHeight="1" thickBot="1" thickTop="1">
      <c r="A10" s="892"/>
      <c r="B10" s="893">
        <v>1</v>
      </c>
      <c r="C10" s="894" t="s">
        <v>671</v>
      </c>
      <c r="D10" s="894">
        <v>0</v>
      </c>
      <c r="E10" s="895">
        <v>60206.04</v>
      </c>
      <c r="F10" s="896">
        <v>5131.079999999999</v>
      </c>
      <c r="G10" s="896">
        <v>5416.1399999999985</v>
      </c>
      <c r="H10" s="896">
        <v>10034.34</v>
      </c>
      <c r="I10" s="896">
        <v>0</v>
      </c>
      <c r="J10" s="896">
        <v>0</v>
      </c>
      <c r="K10" s="897"/>
      <c r="L10" s="897"/>
      <c r="M10" s="896">
        <v>13788.612000000001</v>
      </c>
      <c r="N10" s="896">
        <f>(SUM(E10:M10))-F10</f>
        <v>89445.132</v>
      </c>
      <c r="O10" s="898"/>
    </row>
    <row r="11" spans="1:15" ht="21.75" customHeight="1" thickBot="1" thickTop="1">
      <c r="A11" s="892"/>
      <c r="B11" s="899">
        <v>1</v>
      </c>
      <c r="C11" s="929"/>
      <c r="D11" s="929"/>
      <c r="E11" s="900">
        <f>E10</f>
        <v>60206.04</v>
      </c>
      <c r="F11" s="900">
        <f aca="true" t="shared" si="0" ref="F11:N11">F10</f>
        <v>5131.079999999999</v>
      </c>
      <c r="G11" s="900">
        <f t="shared" si="0"/>
        <v>5416.1399999999985</v>
      </c>
      <c r="H11" s="900">
        <f t="shared" si="0"/>
        <v>10034.34</v>
      </c>
      <c r="I11" s="900">
        <f t="shared" si="0"/>
        <v>0</v>
      </c>
      <c r="J11" s="900">
        <f t="shared" si="0"/>
        <v>0</v>
      </c>
      <c r="K11" s="900">
        <f t="shared" si="0"/>
        <v>0</v>
      </c>
      <c r="L11" s="900">
        <f t="shared" si="0"/>
        <v>0</v>
      </c>
      <c r="M11" s="900">
        <f t="shared" si="0"/>
        <v>13788.612000000001</v>
      </c>
      <c r="N11" s="900">
        <f t="shared" si="0"/>
        <v>89445.132</v>
      </c>
      <c r="O11" s="930"/>
    </row>
    <row r="14" ht="12" hidden="1">
      <c r="H14" s="940">
        <f>N11-M11</f>
        <v>75656.51999999999</v>
      </c>
    </row>
    <row r="15" ht="12" hidden="1">
      <c r="N15" s="931"/>
    </row>
    <row r="16" ht="12" hidden="1"/>
    <row r="17" spans="3:7" ht="12" hidden="1">
      <c r="C17" s="954" t="s">
        <v>971</v>
      </c>
      <c r="D17" s="954"/>
      <c r="E17" s="954"/>
      <c r="F17" s="954"/>
      <c r="G17" s="955">
        <f>N11-M11-I11-G11</f>
        <v>70240.37999999999</v>
      </c>
    </row>
    <row r="20" ht="12">
      <c r="H20" s="931"/>
    </row>
  </sheetData>
  <sheetProtection/>
  <mergeCells count="2">
    <mergeCell ref="J8:L8"/>
    <mergeCell ref="F8:G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2:Q37"/>
  <sheetViews>
    <sheetView zoomScalePageLayoutView="0" workbookViewId="0" topLeftCell="A1">
      <pane ySplit="9" topLeftCell="A30" activePane="bottomLeft" state="frozen"/>
      <selection pane="topLeft" activeCell="E35" sqref="E35"/>
      <selection pane="bottomLeft" activeCell="Q1" sqref="Q1:Q16384"/>
    </sheetView>
  </sheetViews>
  <sheetFormatPr defaultColWidth="11.421875" defaultRowHeight="12.75"/>
  <cols>
    <col min="1" max="1" width="6.421875" style="901" customWidth="1"/>
    <col min="2" max="2" width="5.7109375" style="901" customWidth="1"/>
    <col min="3" max="4" width="7.7109375" style="901" customWidth="1"/>
    <col min="5" max="7" width="9.7109375" style="901" customWidth="1"/>
    <col min="8" max="8" width="15.28125" style="901" customWidth="1"/>
    <col min="9" max="9" width="13.421875" style="901" customWidth="1"/>
    <col min="10" max="12" width="11.7109375" style="901" customWidth="1"/>
    <col min="13" max="13" width="9.7109375" style="901" customWidth="1"/>
    <col min="14" max="14" width="10.7109375" style="901" customWidth="1"/>
    <col min="15" max="15" width="15.140625" style="901" customWidth="1"/>
    <col min="16" max="16" width="11.421875" style="901" customWidth="1"/>
    <col min="17" max="17" width="18.7109375" style="901" hidden="1" customWidth="1"/>
    <col min="18" max="16384" width="11.421875" style="901" customWidth="1"/>
  </cols>
  <sheetData>
    <row r="1" ht="25.5" customHeight="1"/>
    <row r="2" spans="2:17" s="902" customFormat="1" ht="11.25">
      <c r="B2" s="716" t="s">
        <v>814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P2" s="717"/>
      <c r="Q2" s="717"/>
    </row>
    <row r="3" s="903" customFormat="1" ht="11.25"/>
    <row r="4" spans="2:3" s="903" customFormat="1" ht="11.25">
      <c r="B4" s="718" t="s">
        <v>815</v>
      </c>
      <c r="C4" s="908" t="s">
        <v>922</v>
      </c>
    </row>
    <row r="5" s="903" customFormat="1" ht="11.25">
      <c r="B5" s="718"/>
    </row>
    <row r="6" spans="2:17" s="903" customFormat="1" ht="11.25">
      <c r="B6" s="717" t="s">
        <v>825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8"/>
      <c r="P6" s="718"/>
      <c r="Q6" s="718"/>
    </row>
    <row r="7" spans="2:17" s="903" customFormat="1" ht="12" thickBot="1"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</row>
    <row r="8" spans="2:15" s="718" customFormat="1" ht="27" customHeight="1" thickBot="1">
      <c r="B8" s="720"/>
      <c r="C8" s="720"/>
      <c r="D8" s="720"/>
      <c r="E8" s="720"/>
      <c r="F8" s="1552" t="s">
        <v>817</v>
      </c>
      <c r="G8" s="1554"/>
      <c r="H8" s="720"/>
      <c r="I8" s="720"/>
      <c r="J8" s="1552" t="s">
        <v>924</v>
      </c>
      <c r="K8" s="1553"/>
      <c r="L8" s="1554"/>
      <c r="M8" s="720"/>
      <c r="N8" s="720"/>
      <c r="O8" s="720"/>
    </row>
    <row r="9" spans="2:15" s="721" customFormat="1" ht="27" customHeight="1" thickBot="1">
      <c r="B9" s="886" t="s">
        <v>826</v>
      </c>
      <c r="C9" s="887" t="s">
        <v>818</v>
      </c>
      <c r="D9" s="888" t="s">
        <v>819</v>
      </c>
      <c r="E9" s="888" t="s">
        <v>820</v>
      </c>
      <c r="F9" s="889">
        <v>2016</v>
      </c>
      <c r="G9" s="890">
        <v>2017</v>
      </c>
      <c r="H9" s="888" t="s">
        <v>821</v>
      </c>
      <c r="I9" s="888" t="s">
        <v>822</v>
      </c>
      <c r="J9" s="888" t="s">
        <v>923</v>
      </c>
      <c r="K9" s="888"/>
      <c r="L9" s="888"/>
      <c r="M9" s="888" t="s">
        <v>823</v>
      </c>
      <c r="N9" s="888" t="s">
        <v>144</v>
      </c>
      <c r="O9" s="891" t="s">
        <v>824</v>
      </c>
    </row>
    <row r="10" spans="1:17" ht="12.75" thickTop="1">
      <c r="A10" s="892"/>
      <c r="B10" s="980">
        <v>1</v>
      </c>
      <c r="C10" s="973" t="s">
        <v>925</v>
      </c>
      <c r="D10" s="973" t="s">
        <v>926</v>
      </c>
      <c r="E10" s="974">
        <v>34639.92</v>
      </c>
      <c r="F10" s="975">
        <v>3990.84</v>
      </c>
      <c r="G10" s="975">
        <v>3990.84</v>
      </c>
      <c r="H10" s="975">
        <v>4167.12</v>
      </c>
      <c r="I10" s="975">
        <v>4258.33</v>
      </c>
      <c r="J10" s="975">
        <v>2651.88</v>
      </c>
      <c r="K10" s="976"/>
      <c r="L10" s="976"/>
      <c r="M10" s="975">
        <v>13788.612000000001</v>
      </c>
      <c r="N10" s="975">
        <f>(SUM(E10:M10))-F10</f>
        <v>63496.70199999999</v>
      </c>
      <c r="O10" s="977"/>
      <c r="Q10" s="914">
        <v>1</v>
      </c>
    </row>
    <row r="11" spans="1:17" ht="12.75" thickBot="1">
      <c r="A11" s="892"/>
      <c r="B11" s="967">
        <v>2</v>
      </c>
      <c r="C11" s="968" t="s">
        <v>927</v>
      </c>
      <c r="D11" s="968" t="s">
        <v>926</v>
      </c>
      <c r="E11" s="969">
        <v>34639.92</v>
      </c>
      <c r="F11" s="970">
        <v>2850.5999999999995</v>
      </c>
      <c r="G11" s="970">
        <v>2850.5999999999995</v>
      </c>
      <c r="H11" s="970">
        <v>4167.12</v>
      </c>
      <c r="I11" s="970">
        <v>4292.41</v>
      </c>
      <c r="J11" s="970">
        <v>0</v>
      </c>
      <c r="K11" s="971"/>
      <c r="L11" s="971"/>
      <c r="M11" s="970">
        <v>13788.612000000001</v>
      </c>
      <c r="N11" s="928">
        <f aca="true" t="shared" si="0" ref="N11:N30">(SUM(E11:M11))-F11</f>
        <v>59738.662</v>
      </c>
      <c r="O11" s="972"/>
      <c r="Q11" s="914"/>
    </row>
    <row r="12" spans="1:17" ht="12">
      <c r="A12" s="892"/>
      <c r="B12" s="915">
        <v>3</v>
      </c>
      <c r="C12" s="909" t="s">
        <v>928</v>
      </c>
      <c r="D12" s="909" t="s">
        <v>929</v>
      </c>
      <c r="E12" s="910">
        <v>31476.840000000004</v>
      </c>
      <c r="F12" s="911">
        <v>3781.2799999999997</v>
      </c>
      <c r="G12" s="911">
        <v>4253.94</v>
      </c>
      <c r="H12" s="911">
        <v>4068.88</v>
      </c>
      <c r="I12" s="911">
        <v>2926.62</v>
      </c>
      <c r="J12" s="911">
        <v>0</v>
      </c>
      <c r="K12" s="912"/>
      <c r="L12" s="912"/>
      <c r="M12" s="911">
        <v>13480.141340000002</v>
      </c>
      <c r="N12" s="911">
        <f t="shared" si="0"/>
        <v>56206.42134000001</v>
      </c>
      <c r="O12" s="913"/>
      <c r="Q12" s="914">
        <v>3</v>
      </c>
    </row>
    <row r="13" spans="1:17" ht="12">
      <c r="A13" s="892"/>
      <c r="B13" s="919">
        <v>4</v>
      </c>
      <c r="C13" s="916" t="s">
        <v>930</v>
      </c>
      <c r="D13" s="916" t="s">
        <v>929</v>
      </c>
      <c r="E13" s="917">
        <v>31476.840000000004</v>
      </c>
      <c r="F13" s="918">
        <v>3781.2799999999997</v>
      </c>
      <c r="G13" s="918">
        <v>3781.2799999999997</v>
      </c>
      <c r="H13" s="918">
        <v>4068.88</v>
      </c>
      <c r="I13" s="918">
        <v>3885.07</v>
      </c>
      <c r="J13" s="918">
        <v>0</v>
      </c>
      <c r="K13" s="904"/>
      <c r="L13" s="904"/>
      <c r="M13" s="918">
        <v>13633.408085</v>
      </c>
      <c r="N13" s="911">
        <f t="shared" si="0"/>
        <v>56845.478084999995</v>
      </c>
      <c r="O13" s="905"/>
      <c r="Q13" s="914">
        <v>4</v>
      </c>
    </row>
    <row r="14" spans="1:17" ht="12">
      <c r="A14" s="892"/>
      <c r="B14" s="919">
        <v>5</v>
      </c>
      <c r="C14" s="916" t="s">
        <v>931</v>
      </c>
      <c r="D14" s="916" t="s">
        <v>929</v>
      </c>
      <c r="E14" s="917">
        <v>31476.840000000004</v>
      </c>
      <c r="F14" s="918">
        <v>2363.2999999999997</v>
      </c>
      <c r="G14" s="918">
        <v>2363.2999999999997</v>
      </c>
      <c r="H14" s="918">
        <v>4068.88</v>
      </c>
      <c r="I14" s="918">
        <v>3985.18</v>
      </c>
      <c r="J14" s="918">
        <v>1687.56</v>
      </c>
      <c r="K14" s="904"/>
      <c r="L14" s="904"/>
      <c r="M14" s="918">
        <v>13750.04528</v>
      </c>
      <c r="N14" s="911">
        <f t="shared" si="0"/>
        <v>57331.80528</v>
      </c>
      <c r="O14" s="905"/>
      <c r="Q14" s="914">
        <v>5</v>
      </c>
    </row>
    <row r="15" spans="1:17" ht="12">
      <c r="A15" s="892"/>
      <c r="B15" s="919">
        <v>6</v>
      </c>
      <c r="C15" s="916" t="s">
        <v>932</v>
      </c>
      <c r="D15" s="916" t="s">
        <v>929</v>
      </c>
      <c r="E15" s="917">
        <v>31476.840000000004</v>
      </c>
      <c r="F15" s="918">
        <v>2730.6</v>
      </c>
      <c r="G15" s="918">
        <v>2887.1799999999994</v>
      </c>
      <c r="H15" s="918">
        <v>4068.88</v>
      </c>
      <c r="I15" s="918">
        <v>3870.24</v>
      </c>
      <c r="J15" s="918">
        <v>0</v>
      </c>
      <c r="K15" s="904"/>
      <c r="L15" s="904"/>
      <c r="M15" s="918">
        <v>13346.64067</v>
      </c>
      <c r="N15" s="911">
        <f t="shared" si="0"/>
        <v>55649.78067</v>
      </c>
      <c r="O15" s="905"/>
      <c r="Q15" s="914">
        <v>6</v>
      </c>
    </row>
    <row r="16" spans="1:17" ht="12.75" thickBot="1">
      <c r="A16" s="892"/>
      <c r="B16" s="919">
        <v>7</v>
      </c>
      <c r="C16" s="916" t="s">
        <v>933</v>
      </c>
      <c r="D16" s="916" t="s">
        <v>929</v>
      </c>
      <c r="E16" s="917">
        <v>31476.840000000004</v>
      </c>
      <c r="F16" s="918">
        <v>1417.9799999999998</v>
      </c>
      <c r="G16" s="918">
        <v>1890.6399999999999</v>
      </c>
      <c r="H16" s="918">
        <v>4068.88</v>
      </c>
      <c r="I16" s="918">
        <v>3986.4</v>
      </c>
      <c r="J16" s="918">
        <v>2109.48</v>
      </c>
      <c r="K16" s="904"/>
      <c r="L16" s="904"/>
      <c r="M16" s="918">
        <v>13734.42172</v>
      </c>
      <c r="N16" s="928">
        <f t="shared" si="0"/>
        <v>57266.661720000004</v>
      </c>
      <c r="O16" s="905"/>
      <c r="Q16" s="914">
        <v>7</v>
      </c>
    </row>
    <row r="17" spans="1:17" ht="12.75" thickBot="1">
      <c r="A17" s="892"/>
      <c r="B17" s="981">
        <v>8</v>
      </c>
      <c r="C17" s="920" t="s">
        <v>934</v>
      </c>
      <c r="D17" s="920" t="s">
        <v>935</v>
      </c>
      <c r="E17" s="921">
        <v>20216.52</v>
      </c>
      <c r="F17" s="922">
        <v>2554.1600000000003</v>
      </c>
      <c r="G17" s="922">
        <v>2554.1600000000003</v>
      </c>
      <c r="H17" s="922">
        <v>2761.7</v>
      </c>
      <c r="I17" s="922">
        <v>3193.64</v>
      </c>
      <c r="J17" s="922">
        <v>1205.4</v>
      </c>
      <c r="K17" s="923"/>
      <c r="L17" s="923"/>
      <c r="M17" s="922">
        <v>9443.363010000001</v>
      </c>
      <c r="N17" s="922">
        <f t="shared" si="0"/>
        <v>39374.78301</v>
      </c>
      <c r="O17" s="924"/>
      <c r="Q17" s="914">
        <v>8</v>
      </c>
    </row>
    <row r="18" spans="1:17" ht="12">
      <c r="A18" s="892"/>
      <c r="B18" s="915">
        <v>9</v>
      </c>
      <c r="C18" s="909" t="s">
        <v>936</v>
      </c>
      <c r="D18" s="909" t="s">
        <v>937</v>
      </c>
      <c r="E18" s="910">
        <v>4671.51</v>
      </c>
      <c r="F18" s="911">
        <v>442.36499999999995</v>
      </c>
      <c r="G18" s="911">
        <v>491.81499999999994</v>
      </c>
      <c r="H18" s="911">
        <v>677.48</v>
      </c>
      <c r="I18" s="911">
        <v>1895.55</v>
      </c>
      <c r="J18" s="911">
        <v>647.91</v>
      </c>
      <c r="K18" s="912"/>
      <c r="L18" s="912"/>
      <c r="M18" s="911">
        <v>3068.64099</v>
      </c>
      <c r="N18" s="911">
        <f t="shared" si="0"/>
        <v>11452.905990000001</v>
      </c>
      <c r="O18" s="913"/>
      <c r="Q18" s="914">
        <v>9</v>
      </c>
    </row>
    <row r="19" spans="1:17" ht="12">
      <c r="A19" s="892"/>
      <c r="B19" s="919">
        <v>10</v>
      </c>
      <c r="C19" s="916" t="s">
        <v>938</v>
      </c>
      <c r="D19" s="916" t="s">
        <v>937</v>
      </c>
      <c r="E19" s="917">
        <v>18686.04</v>
      </c>
      <c r="F19" s="918">
        <v>2022.2399999999998</v>
      </c>
      <c r="G19" s="918">
        <v>2157.2999999999997</v>
      </c>
      <c r="H19" s="918">
        <v>2709.92</v>
      </c>
      <c r="I19" s="918">
        <v>2367.94</v>
      </c>
      <c r="J19" s="918">
        <v>2169.7200000000003</v>
      </c>
      <c r="K19" s="904"/>
      <c r="L19" s="904"/>
      <c r="M19" s="918">
        <v>10281.27672</v>
      </c>
      <c r="N19" s="911">
        <f t="shared" si="0"/>
        <v>38372.19672</v>
      </c>
      <c r="O19" s="905"/>
      <c r="Q19" s="914">
        <v>10</v>
      </c>
    </row>
    <row r="20" spans="1:17" ht="12">
      <c r="A20" s="892"/>
      <c r="B20" s="919">
        <v>11</v>
      </c>
      <c r="C20" s="916" t="s">
        <v>939</v>
      </c>
      <c r="D20" s="916" t="s">
        <v>937</v>
      </c>
      <c r="E20" s="917">
        <v>18686.04</v>
      </c>
      <c r="F20" s="918">
        <v>839.1599999999999</v>
      </c>
      <c r="G20" s="918">
        <v>1091.94</v>
      </c>
      <c r="H20" s="918">
        <v>2709.92</v>
      </c>
      <c r="I20" s="918">
        <v>2643.87</v>
      </c>
      <c r="J20" s="918">
        <v>2471.04</v>
      </c>
      <c r="K20" s="904"/>
      <c r="L20" s="904"/>
      <c r="M20" s="918">
        <v>10102.628459999998</v>
      </c>
      <c r="N20" s="911">
        <f t="shared" si="0"/>
        <v>37705.43845999999</v>
      </c>
      <c r="O20" s="905"/>
      <c r="Q20" s="914">
        <v>11</v>
      </c>
    </row>
    <row r="21" spans="1:17" ht="12">
      <c r="A21" s="892"/>
      <c r="B21" s="919">
        <v>12</v>
      </c>
      <c r="C21" s="916" t="s">
        <v>940</v>
      </c>
      <c r="D21" s="916" t="s">
        <v>937</v>
      </c>
      <c r="E21" s="917">
        <v>18686.04</v>
      </c>
      <c r="F21" s="918">
        <v>1967.2599999999998</v>
      </c>
      <c r="G21" s="918">
        <v>2220.04</v>
      </c>
      <c r="H21" s="918">
        <v>2709.92</v>
      </c>
      <c r="I21" s="918">
        <v>2653.79</v>
      </c>
      <c r="J21" s="918">
        <v>10306.2</v>
      </c>
      <c r="K21" s="904"/>
      <c r="L21" s="904"/>
      <c r="M21" s="918">
        <v>13386.812339999999</v>
      </c>
      <c r="N21" s="911">
        <f t="shared" si="0"/>
        <v>49962.802339999995</v>
      </c>
      <c r="O21" s="905"/>
      <c r="Q21" s="914">
        <v>12</v>
      </c>
    </row>
    <row r="22" spans="1:17" ht="12">
      <c r="A22" s="892"/>
      <c r="B22" s="919">
        <v>13</v>
      </c>
      <c r="C22" s="916" t="s">
        <v>941</v>
      </c>
      <c r="D22" s="916" t="s">
        <v>937</v>
      </c>
      <c r="E22" s="917">
        <v>18686.04</v>
      </c>
      <c r="F22" s="918">
        <v>2404.6799999999994</v>
      </c>
      <c r="G22" s="918">
        <v>2603.5599999999995</v>
      </c>
      <c r="H22" s="918">
        <v>2709.92</v>
      </c>
      <c r="I22" s="918">
        <v>2515.82</v>
      </c>
      <c r="J22" s="918">
        <v>2766.88</v>
      </c>
      <c r="K22" s="904"/>
      <c r="L22" s="904"/>
      <c r="M22" s="918">
        <v>10717.29252</v>
      </c>
      <c r="N22" s="911">
        <f t="shared" si="0"/>
        <v>39999.51252</v>
      </c>
      <c r="O22" s="905"/>
      <c r="Q22" s="914">
        <v>13</v>
      </c>
    </row>
    <row r="23" spans="1:17" ht="12">
      <c r="A23" s="892"/>
      <c r="B23" s="919">
        <v>14</v>
      </c>
      <c r="C23" s="916" t="s">
        <v>942</v>
      </c>
      <c r="D23" s="916" t="s">
        <v>937</v>
      </c>
      <c r="E23" s="917">
        <v>18686.04</v>
      </c>
      <c r="F23" s="918">
        <v>1696.3999999999996</v>
      </c>
      <c r="G23" s="918">
        <v>1769.4599999999998</v>
      </c>
      <c r="H23" s="918">
        <v>2709.92</v>
      </c>
      <c r="I23" s="918">
        <v>2648.83</v>
      </c>
      <c r="J23" s="918">
        <v>2892.96</v>
      </c>
      <c r="K23" s="904"/>
      <c r="L23" s="904"/>
      <c r="M23" s="918">
        <v>10506.83886</v>
      </c>
      <c r="N23" s="911">
        <f t="shared" si="0"/>
        <v>39214.04886</v>
      </c>
      <c r="O23" s="905"/>
      <c r="Q23" s="914">
        <v>14</v>
      </c>
    </row>
    <row r="24" spans="1:17" ht="12">
      <c r="A24" s="892"/>
      <c r="B24" s="919">
        <v>15</v>
      </c>
      <c r="C24" s="916" t="s">
        <v>943</v>
      </c>
      <c r="D24" s="916" t="s">
        <v>937</v>
      </c>
      <c r="E24" s="917">
        <v>18686.04</v>
      </c>
      <c r="F24" s="918">
        <v>1516.6799999999998</v>
      </c>
      <c r="G24" s="918">
        <v>1597.4999999999998</v>
      </c>
      <c r="H24" s="918">
        <v>2709.92</v>
      </c>
      <c r="I24" s="918">
        <v>2676.92</v>
      </c>
      <c r="J24" s="918">
        <v>3115.2000000000003</v>
      </c>
      <c r="K24" s="904"/>
      <c r="L24" s="904"/>
      <c r="M24" s="918">
        <v>10535.522280000001</v>
      </c>
      <c r="N24" s="911">
        <f t="shared" si="0"/>
        <v>39321.10228</v>
      </c>
      <c r="O24" s="905"/>
      <c r="Q24" s="914">
        <v>15</v>
      </c>
    </row>
    <row r="25" spans="1:17" ht="12">
      <c r="A25" s="892"/>
      <c r="B25" s="919">
        <v>16</v>
      </c>
      <c r="C25" s="916" t="s">
        <v>944</v>
      </c>
      <c r="D25" s="916" t="s">
        <v>937</v>
      </c>
      <c r="E25" s="917">
        <v>18686.04</v>
      </c>
      <c r="F25" s="918">
        <v>1769.4599999999998</v>
      </c>
      <c r="G25" s="918">
        <v>1985.3399999999997</v>
      </c>
      <c r="H25" s="918">
        <v>2709.92</v>
      </c>
      <c r="I25" s="918">
        <v>2609.17</v>
      </c>
      <c r="J25" s="918">
        <v>2169.7200000000003</v>
      </c>
      <c r="K25" s="904"/>
      <c r="L25" s="904"/>
      <c r="M25" s="918">
        <v>10306.62954</v>
      </c>
      <c r="N25" s="911">
        <f t="shared" si="0"/>
        <v>38466.819540000004</v>
      </c>
      <c r="O25" s="905"/>
      <c r="Q25" s="914">
        <v>16</v>
      </c>
    </row>
    <row r="26" spans="1:17" ht="12.75" thickBot="1">
      <c r="A26" s="892"/>
      <c r="B26" s="925">
        <v>17</v>
      </c>
      <c r="C26" s="926" t="s">
        <v>945</v>
      </c>
      <c r="D26" s="926" t="s">
        <v>937</v>
      </c>
      <c r="E26" s="927">
        <v>4671.51</v>
      </c>
      <c r="F26" s="928">
        <v>559.53</v>
      </c>
      <c r="G26" s="928">
        <v>568.7549999999999</v>
      </c>
      <c r="H26" s="928">
        <v>677.48</v>
      </c>
      <c r="I26" s="928">
        <v>644.03</v>
      </c>
      <c r="J26" s="928">
        <v>1506.75</v>
      </c>
      <c r="K26" s="906"/>
      <c r="L26" s="906"/>
      <c r="M26" s="928">
        <v>2953.08015</v>
      </c>
      <c r="N26" s="928">
        <f t="shared" si="0"/>
        <v>11021.60515</v>
      </c>
      <c r="O26" s="907"/>
      <c r="Q26" s="914">
        <v>17</v>
      </c>
    </row>
    <row r="27" spans="1:17" ht="12.75" thickBot="1">
      <c r="A27" s="892"/>
      <c r="B27" s="981">
        <v>18</v>
      </c>
      <c r="C27" s="920" t="s">
        <v>946</v>
      </c>
      <c r="D27" s="920" t="s">
        <v>947</v>
      </c>
      <c r="E27" s="921">
        <v>15792.600000000002</v>
      </c>
      <c r="F27" s="922">
        <v>939.09</v>
      </c>
      <c r="G27" s="922">
        <v>952.6999999999999</v>
      </c>
      <c r="H27" s="922">
        <v>2296.34</v>
      </c>
      <c r="I27" s="922">
        <v>2440.28</v>
      </c>
      <c r="J27" s="922">
        <v>0</v>
      </c>
      <c r="K27" s="923"/>
      <c r="L27" s="923"/>
      <c r="M27" s="922">
        <v>6777.545760000001</v>
      </c>
      <c r="N27" s="922">
        <f t="shared" si="0"/>
        <v>28259.465760000003</v>
      </c>
      <c r="O27" s="924"/>
      <c r="Q27" s="914">
        <v>18</v>
      </c>
    </row>
    <row r="28" spans="1:17" ht="12">
      <c r="A28" s="892"/>
      <c r="B28" s="919">
        <v>19</v>
      </c>
      <c r="C28" s="916" t="s">
        <v>948</v>
      </c>
      <c r="D28" s="916" t="s">
        <v>947</v>
      </c>
      <c r="E28" s="917">
        <v>15792.600000000002</v>
      </c>
      <c r="F28" s="918">
        <v>1524.32</v>
      </c>
      <c r="G28" s="918">
        <v>1524.32</v>
      </c>
      <c r="H28" s="918">
        <v>2296.34</v>
      </c>
      <c r="I28" s="918">
        <v>2319.26</v>
      </c>
      <c r="J28" s="918">
        <v>1356.0716883116884</v>
      </c>
      <c r="K28" s="904"/>
      <c r="L28" s="904"/>
      <c r="M28" s="918">
        <v>8523.62455792208</v>
      </c>
      <c r="N28" s="911">
        <f t="shared" si="0"/>
        <v>31812.216246233773</v>
      </c>
      <c r="O28" s="905"/>
      <c r="Q28" s="914">
        <v>19</v>
      </c>
    </row>
    <row r="29" spans="1:17" ht="12">
      <c r="A29" s="892"/>
      <c r="B29" s="919">
        <v>20</v>
      </c>
      <c r="C29" s="916" t="s">
        <v>949</v>
      </c>
      <c r="D29" s="916" t="s">
        <v>947</v>
      </c>
      <c r="E29" s="917">
        <v>15792.600000000002</v>
      </c>
      <c r="F29" s="918">
        <v>1143.24</v>
      </c>
      <c r="G29" s="918">
        <v>1224.9</v>
      </c>
      <c r="H29" s="918">
        <v>2296.34</v>
      </c>
      <c r="I29" s="918">
        <v>2320.74</v>
      </c>
      <c r="J29" s="918">
        <v>1356.0716883116884</v>
      </c>
      <c r="K29" s="904"/>
      <c r="L29" s="904"/>
      <c r="M29" s="918">
        <v>8414.57851792208</v>
      </c>
      <c r="N29" s="911">
        <f t="shared" si="0"/>
        <v>31405.230206233773</v>
      </c>
      <c r="O29" s="905"/>
      <c r="Q29" s="914">
        <v>20</v>
      </c>
    </row>
    <row r="30" spans="1:17" ht="12.75" thickBot="1">
      <c r="A30" s="892"/>
      <c r="B30" s="919">
        <v>21</v>
      </c>
      <c r="C30" s="916" t="s">
        <v>950</v>
      </c>
      <c r="D30" s="916" t="s">
        <v>947</v>
      </c>
      <c r="E30" s="917">
        <v>7896.300000000001</v>
      </c>
      <c r="F30" s="918">
        <v>1143.24</v>
      </c>
      <c r="G30" s="918">
        <v>571.62</v>
      </c>
      <c r="H30" s="918">
        <v>1148.17</v>
      </c>
      <c r="I30" s="918">
        <v>2325.15</v>
      </c>
      <c r="J30" s="918">
        <v>1356.0716883116884</v>
      </c>
      <c r="K30" s="904"/>
      <c r="L30" s="904"/>
      <c r="M30" s="918">
        <v>4866.816077922079</v>
      </c>
      <c r="N30" s="911">
        <f t="shared" si="0"/>
        <v>18164.127766233767</v>
      </c>
      <c r="O30" s="905"/>
      <c r="Q30" s="914">
        <v>21</v>
      </c>
    </row>
    <row r="31" spans="1:15" ht="13.5" thickBot="1" thickTop="1">
      <c r="A31" s="892"/>
      <c r="B31" s="899">
        <v>21</v>
      </c>
      <c r="C31" s="929"/>
      <c r="D31" s="929"/>
      <c r="E31" s="900">
        <f>SUM(E10:E30)</f>
        <v>442299.9599999998</v>
      </c>
      <c r="F31" s="900">
        <f aca="true" t="shared" si="1" ref="F31:N31">SUM(F10:F30)</f>
        <v>41437.70499999999</v>
      </c>
      <c r="G31" s="900">
        <f t="shared" si="1"/>
        <v>43331.18999999999</v>
      </c>
      <c r="H31" s="900">
        <f t="shared" si="1"/>
        <v>59801.92999999999</v>
      </c>
      <c r="I31" s="900">
        <f t="shared" si="1"/>
        <v>60459.24</v>
      </c>
      <c r="J31" s="900">
        <f t="shared" si="1"/>
        <v>39768.91506493508</v>
      </c>
      <c r="K31" s="900">
        <f t="shared" si="1"/>
        <v>0</v>
      </c>
      <c r="L31" s="900">
        <f t="shared" si="1"/>
        <v>0</v>
      </c>
      <c r="M31" s="900">
        <f t="shared" si="1"/>
        <v>215406.5308787662</v>
      </c>
      <c r="N31" s="900">
        <f t="shared" si="1"/>
        <v>861067.7659437013</v>
      </c>
      <c r="O31" s="930"/>
    </row>
    <row r="32" ht="12">
      <c r="O32" s="931"/>
    </row>
    <row r="34" spans="8:10" ht="12" hidden="1">
      <c r="H34" s="940">
        <f>E31+G31+H31</f>
        <v>545433.0799999998</v>
      </c>
      <c r="J34" s="940">
        <f>H34+J31</f>
        <v>585201.995064935</v>
      </c>
    </row>
    <row r="35" ht="12" hidden="1">
      <c r="H35" s="931"/>
    </row>
    <row r="36" ht="12" hidden="1"/>
    <row r="37" spans="2:7" ht="12" hidden="1">
      <c r="B37" s="954" t="s">
        <v>971</v>
      </c>
      <c r="G37" s="955">
        <f>N31-M31-I31-G31</f>
        <v>541870.8050649351</v>
      </c>
    </row>
  </sheetData>
  <sheetProtection/>
  <mergeCells count="2">
    <mergeCell ref="F8:G8"/>
    <mergeCell ref="J8:L8"/>
  </mergeCells>
  <printOptions/>
  <pageMargins left="0.7" right="0.7" top="0.75" bottom="0.75" header="0.3" footer="0.3"/>
  <pageSetup orientation="portrait" paperSize="9"/>
  <ignoredErrors>
    <ignoredError sqref="N10:N30" emptyCellReference="1"/>
    <ignoredError sqref="F31:G3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2:Q34"/>
  <sheetViews>
    <sheetView zoomScalePageLayoutView="0" workbookViewId="0" topLeftCell="A7">
      <selection activeCell="A31" sqref="A31:IV35"/>
    </sheetView>
  </sheetViews>
  <sheetFormatPr defaultColWidth="11.421875" defaultRowHeight="12.75"/>
  <cols>
    <col min="1" max="1" width="7.7109375" style="901" customWidth="1"/>
    <col min="2" max="2" width="5.7109375" style="901" customWidth="1"/>
    <col min="3" max="4" width="7.7109375" style="901" customWidth="1"/>
    <col min="5" max="7" width="9.7109375" style="901" customWidth="1"/>
    <col min="8" max="8" width="15.28125" style="901" customWidth="1"/>
    <col min="9" max="9" width="13.421875" style="901" customWidth="1"/>
    <col min="10" max="12" width="11.7109375" style="901" customWidth="1"/>
    <col min="13" max="13" width="9.7109375" style="901" customWidth="1"/>
    <col min="14" max="14" width="10.7109375" style="901" customWidth="1"/>
    <col min="15" max="15" width="15.140625" style="901" customWidth="1"/>
    <col min="16" max="16" width="11.421875" style="901" customWidth="1"/>
    <col min="17" max="17" width="18.7109375" style="901" customWidth="1"/>
    <col min="18" max="16384" width="11.421875" style="901" customWidth="1"/>
  </cols>
  <sheetData>
    <row r="1" ht="22.5" customHeight="1"/>
    <row r="2" spans="2:17" s="902" customFormat="1" ht="11.25">
      <c r="B2" s="716" t="s">
        <v>814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P2" s="717"/>
      <c r="Q2" s="717"/>
    </row>
    <row r="3" s="903" customFormat="1" ht="11.25"/>
    <row r="4" spans="2:3" s="903" customFormat="1" ht="11.25">
      <c r="B4" s="718" t="s">
        <v>815</v>
      </c>
      <c r="C4" s="908" t="s">
        <v>922</v>
      </c>
    </row>
    <row r="5" s="903" customFormat="1" ht="11.25">
      <c r="B5" s="718"/>
    </row>
    <row r="6" spans="2:17" s="903" customFormat="1" ht="11.25">
      <c r="B6" s="717" t="s">
        <v>827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8"/>
      <c r="P6" s="718"/>
      <c r="Q6" s="718"/>
    </row>
    <row r="7" spans="2:17" s="903" customFormat="1" ht="12" thickBot="1"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</row>
    <row r="8" spans="2:15" s="718" customFormat="1" ht="27" customHeight="1" thickBot="1">
      <c r="B8" s="720"/>
      <c r="C8" s="720"/>
      <c r="D8" s="720"/>
      <c r="E8" s="720"/>
      <c r="F8" s="1552" t="s">
        <v>817</v>
      </c>
      <c r="G8" s="1554"/>
      <c r="H8" s="720"/>
      <c r="I8" s="720"/>
      <c r="J8" s="1552" t="s">
        <v>924</v>
      </c>
      <c r="K8" s="1553"/>
      <c r="L8" s="1554"/>
      <c r="M8" s="720"/>
      <c r="N8" s="720"/>
      <c r="O8" s="720"/>
    </row>
    <row r="9" spans="2:15" s="721" customFormat="1" ht="27" customHeight="1" thickBot="1">
      <c r="B9" s="886" t="s">
        <v>826</v>
      </c>
      <c r="C9" s="887" t="s">
        <v>818</v>
      </c>
      <c r="D9" s="888" t="s">
        <v>819</v>
      </c>
      <c r="E9" s="888" t="s">
        <v>820</v>
      </c>
      <c r="F9" s="889">
        <v>2016</v>
      </c>
      <c r="G9" s="890">
        <v>2017</v>
      </c>
      <c r="H9" s="888" t="s">
        <v>821</v>
      </c>
      <c r="I9" s="888" t="s">
        <v>822</v>
      </c>
      <c r="J9" s="888" t="s">
        <v>923</v>
      </c>
      <c r="K9" s="888"/>
      <c r="L9" s="888"/>
      <c r="M9" s="888" t="s">
        <v>823</v>
      </c>
      <c r="N9" s="888" t="s">
        <v>144</v>
      </c>
      <c r="O9" s="891" t="s">
        <v>824</v>
      </c>
    </row>
    <row r="10" spans="1:15" ht="13.5" thickBot="1" thickTop="1">
      <c r="A10" s="892"/>
      <c r="B10" s="925">
        <v>1</v>
      </c>
      <c r="C10" s="926" t="s">
        <v>951</v>
      </c>
      <c r="D10" s="926" t="s">
        <v>926</v>
      </c>
      <c r="E10" s="927">
        <v>34639.92</v>
      </c>
      <c r="F10" s="928">
        <v>2850.5999999999995</v>
      </c>
      <c r="G10" s="928">
        <v>2850.5999999999995</v>
      </c>
      <c r="H10" s="928">
        <v>4167.12</v>
      </c>
      <c r="I10" s="928">
        <v>4187.53</v>
      </c>
      <c r="J10" s="928">
        <v>2651.88</v>
      </c>
      <c r="K10" s="906"/>
      <c r="L10" s="906"/>
      <c r="M10" s="928">
        <v>13788.612000000001</v>
      </c>
      <c r="N10" s="928">
        <f>(SUM(E10:M10))-F10</f>
        <v>62285.662</v>
      </c>
      <c r="O10" s="907"/>
    </row>
    <row r="11" spans="1:15" ht="12">
      <c r="A11" s="892"/>
      <c r="B11" s="932">
        <v>2</v>
      </c>
      <c r="C11" s="909" t="s">
        <v>952</v>
      </c>
      <c r="D11" s="909" t="s">
        <v>929</v>
      </c>
      <c r="E11" s="910">
        <v>31476.840000000004</v>
      </c>
      <c r="F11" s="911">
        <v>638.75</v>
      </c>
      <c r="G11" s="911">
        <v>970.9299999999998</v>
      </c>
      <c r="H11" s="911">
        <v>4068.88</v>
      </c>
      <c r="I11" s="911">
        <v>3987.62</v>
      </c>
      <c r="J11" s="911">
        <v>1687.56</v>
      </c>
      <c r="K11" s="912"/>
      <c r="L11" s="912"/>
      <c r="M11" s="911">
        <v>13311.522365</v>
      </c>
      <c r="N11" s="978">
        <f aca="true" t="shared" si="0" ref="N11:N27">(SUM(E11:M11))-F11</f>
        <v>55503.352365</v>
      </c>
      <c r="O11" s="913"/>
    </row>
    <row r="12" spans="1:15" ht="12.75" thickBot="1">
      <c r="A12" s="892"/>
      <c r="B12" s="933">
        <v>3</v>
      </c>
      <c r="C12" s="926" t="s">
        <v>953</v>
      </c>
      <c r="D12" s="926" t="s">
        <v>929</v>
      </c>
      <c r="E12" s="927">
        <v>27939.239999999998</v>
      </c>
      <c r="F12" s="928">
        <v>0</v>
      </c>
      <c r="G12" s="928">
        <v>0</v>
      </c>
      <c r="H12" s="928">
        <v>3567.68</v>
      </c>
      <c r="I12" s="928">
        <v>3597.79</v>
      </c>
      <c r="J12" s="928">
        <v>0</v>
      </c>
      <c r="K12" s="906"/>
      <c r="L12" s="906"/>
      <c r="M12" s="928">
        <v>11075.536005</v>
      </c>
      <c r="N12" s="970">
        <f t="shared" si="0"/>
        <v>46180.246005</v>
      </c>
      <c r="O12" s="907"/>
    </row>
    <row r="13" spans="1:15" ht="12">
      <c r="A13" s="892"/>
      <c r="B13" s="932">
        <v>4</v>
      </c>
      <c r="C13" s="909" t="s">
        <v>954</v>
      </c>
      <c r="D13" s="909" t="s">
        <v>937</v>
      </c>
      <c r="E13" s="910">
        <v>17659.559999999998</v>
      </c>
      <c r="F13" s="911">
        <v>1606.9099999999996</v>
      </c>
      <c r="G13" s="911">
        <v>1859.6899999999998</v>
      </c>
      <c r="H13" s="911">
        <v>2554.92</v>
      </c>
      <c r="I13" s="911">
        <v>2513.26</v>
      </c>
      <c r="J13" s="911">
        <v>0</v>
      </c>
      <c r="K13" s="912"/>
      <c r="L13" s="912"/>
      <c r="M13" s="911">
        <v>7757.334164999999</v>
      </c>
      <c r="N13" s="978">
        <f t="shared" si="0"/>
        <v>32344.764164999997</v>
      </c>
      <c r="O13" s="913"/>
    </row>
    <row r="14" spans="1:15" ht="12">
      <c r="A14" s="892"/>
      <c r="B14" s="934">
        <v>5</v>
      </c>
      <c r="C14" s="916" t="s">
        <v>955</v>
      </c>
      <c r="D14" s="916" t="s">
        <v>937</v>
      </c>
      <c r="E14" s="917">
        <v>17659.559999999998</v>
      </c>
      <c r="F14" s="918">
        <v>1444.3600000000001</v>
      </c>
      <c r="G14" s="918">
        <v>1552.4999999999998</v>
      </c>
      <c r="H14" s="918">
        <v>2554.92</v>
      </c>
      <c r="I14" s="918">
        <v>2735.92</v>
      </c>
      <c r="J14" s="918">
        <v>2763.7200000000003</v>
      </c>
      <c r="K14" s="904"/>
      <c r="L14" s="904"/>
      <c r="M14" s="918">
        <v>8602.618609999998</v>
      </c>
      <c r="N14" s="918">
        <f t="shared" si="0"/>
        <v>35869.23860999999</v>
      </c>
      <c r="O14" s="905"/>
    </row>
    <row r="15" spans="1:15" ht="12">
      <c r="A15" s="892"/>
      <c r="B15" s="934">
        <v>6</v>
      </c>
      <c r="C15" s="916" t="s">
        <v>956</v>
      </c>
      <c r="D15" s="916" t="s">
        <v>937</v>
      </c>
      <c r="E15" s="917">
        <v>17659.559999999998</v>
      </c>
      <c r="F15" s="918">
        <v>1137.51</v>
      </c>
      <c r="G15" s="918">
        <v>1390.29</v>
      </c>
      <c r="H15" s="918">
        <v>2554.92</v>
      </c>
      <c r="I15" s="918">
        <v>2536.25</v>
      </c>
      <c r="J15" s="918">
        <v>0</v>
      </c>
      <c r="K15" s="904"/>
      <c r="L15" s="904"/>
      <c r="M15" s="918">
        <v>7459.575179999999</v>
      </c>
      <c r="N15" s="918">
        <f t="shared" si="0"/>
        <v>31600.59518</v>
      </c>
      <c r="O15" s="905"/>
    </row>
    <row r="16" spans="1:15" ht="12">
      <c r="A16" s="892"/>
      <c r="B16" s="934">
        <v>7</v>
      </c>
      <c r="C16" s="916" t="s">
        <v>957</v>
      </c>
      <c r="D16" s="916" t="s">
        <v>937</v>
      </c>
      <c r="E16" s="917">
        <v>17659.559999999998</v>
      </c>
      <c r="F16" s="918">
        <v>1263.8999999999999</v>
      </c>
      <c r="G16" s="918">
        <v>1263.8999999999999</v>
      </c>
      <c r="H16" s="918">
        <v>2554.92</v>
      </c>
      <c r="I16" s="918">
        <v>2527.2</v>
      </c>
      <c r="J16" s="918">
        <v>0</v>
      </c>
      <c r="K16" s="904"/>
      <c r="L16" s="904"/>
      <c r="M16" s="918">
        <v>7417.724219999999</v>
      </c>
      <c r="N16" s="918">
        <f t="shared" si="0"/>
        <v>31423.304219999998</v>
      </c>
      <c r="O16" s="905"/>
    </row>
    <row r="17" spans="1:15" ht="12">
      <c r="A17" s="892"/>
      <c r="B17" s="934">
        <v>8</v>
      </c>
      <c r="C17" s="916" t="s">
        <v>958</v>
      </c>
      <c r="D17" s="916" t="s">
        <v>937</v>
      </c>
      <c r="E17" s="917">
        <v>17659.559999999998</v>
      </c>
      <c r="F17" s="918">
        <v>1263.8999999999999</v>
      </c>
      <c r="G17" s="918">
        <v>1263.8999999999999</v>
      </c>
      <c r="H17" s="918">
        <v>2554.92</v>
      </c>
      <c r="I17" s="918">
        <v>2639.65</v>
      </c>
      <c r="J17" s="918">
        <v>0</v>
      </c>
      <c r="K17" s="904"/>
      <c r="L17" s="904"/>
      <c r="M17" s="918">
        <v>7452.47127</v>
      </c>
      <c r="N17" s="918">
        <f t="shared" si="0"/>
        <v>31570.50127</v>
      </c>
      <c r="O17" s="905"/>
    </row>
    <row r="18" spans="1:15" ht="12.75" thickBot="1">
      <c r="A18" s="892"/>
      <c r="B18" s="933">
        <v>9</v>
      </c>
      <c r="C18" s="926" t="s">
        <v>959</v>
      </c>
      <c r="D18" s="926" t="s">
        <v>937</v>
      </c>
      <c r="E18" s="927">
        <v>17659.559999999998</v>
      </c>
      <c r="F18" s="928">
        <v>1263.8999999999999</v>
      </c>
      <c r="G18" s="928">
        <v>1263.8999999999999</v>
      </c>
      <c r="H18" s="928">
        <v>2554.92</v>
      </c>
      <c r="I18" s="928">
        <v>2583.83</v>
      </c>
      <c r="J18" s="928">
        <v>0</v>
      </c>
      <c r="K18" s="906"/>
      <c r="L18" s="906"/>
      <c r="M18" s="928">
        <v>7435.22289</v>
      </c>
      <c r="N18" s="970">
        <f t="shared" si="0"/>
        <v>31497.43289</v>
      </c>
      <c r="O18" s="907"/>
    </row>
    <row r="19" spans="1:15" ht="12">
      <c r="A19" s="892"/>
      <c r="B19" s="932">
        <v>10</v>
      </c>
      <c r="C19" s="909" t="s">
        <v>960</v>
      </c>
      <c r="D19" s="909" t="s">
        <v>947</v>
      </c>
      <c r="E19" s="910">
        <v>15792.600000000002</v>
      </c>
      <c r="F19" s="911">
        <v>558.01</v>
      </c>
      <c r="G19" s="911">
        <v>571.62</v>
      </c>
      <c r="H19" s="911">
        <v>2296.34</v>
      </c>
      <c r="I19" s="911">
        <v>2365.57</v>
      </c>
      <c r="J19" s="911">
        <v>5476.799999999999</v>
      </c>
      <c r="K19" s="912"/>
      <c r="L19" s="912"/>
      <c r="M19" s="911">
        <v>9700.07238</v>
      </c>
      <c r="N19" s="978">
        <f t="shared" si="0"/>
        <v>36203.00238</v>
      </c>
      <c r="O19" s="913"/>
    </row>
    <row r="20" spans="1:15" ht="12">
      <c r="A20" s="892"/>
      <c r="B20" s="934">
        <v>11</v>
      </c>
      <c r="C20" s="916" t="s">
        <v>961</v>
      </c>
      <c r="D20" s="916" t="s">
        <v>947</v>
      </c>
      <c r="E20" s="917">
        <v>14254.080000000002</v>
      </c>
      <c r="F20" s="918">
        <v>0</v>
      </c>
      <c r="G20" s="918">
        <v>0</v>
      </c>
      <c r="H20" s="918">
        <v>2133.82</v>
      </c>
      <c r="I20" s="918">
        <v>0</v>
      </c>
      <c r="J20" s="918">
        <v>1777.9916883116884</v>
      </c>
      <c r="K20" s="904"/>
      <c r="L20" s="904"/>
      <c r="M20" s="918">
        <v>6648.716357922079</v>
      </c>
      <c r="N20" s="918">
        <f t="shared" si="0"/>
        <v>24814.60804623377</v>
      </c>
      <c r="O20" s="905"/>
    </row>
    <row r="21" spans="1:15" ht="12">
      <c r="A21" s="892"/>
      <c r="B21" s="934">
        <v>12</v>
      </c>
      <c r="C21" s="916" t="s">
        <v>962</v>
      </c>
      <c r="D21" s="916" t="s">
        <v>947</v>
      </c>
      <c r="E21" s="917">
        <v>15792.600000000002</v>
      </c>
      <c r="F21" s="918">
        <v>639.67</v>
      </c>
      <c r="G21" s="918">
        <v>762.16</v>
      </c>
      <c r="H21" s="918">
        <v>2296.34</v>
      </c>
      <c r="I21" s="918">
        <v>2365.57</v>
      </c>
      <c r="J21" s="918">
        <v>1657.3916883116883</v>
      </c>
      <c r="K21" s="904"/>
      <c r="L21" s="904"/>
      <c r="M21" s="918">
        <v>8371.90657792208</v>
      </c>
      <c r="N21" s="918">
        <f t="shared" si="0"/>
        <v>31245.96826623377</v>
      </c>
      <c r="O21" s="905"/>
    </row>
    <row r="22" spans="1:15" ht="12">
      <c r="A22" s="892"/>
      <c r="B22" s="934">
        <v>13</v>
      </c>
      <c r="C22" s="916" t="s">
        <v>963</v>
      </c>
      <c r="D22" s="916" t="s">
        <v>947</v>
      </c>
      <c r="E22" s="917">
        <v>15792.600000000002</v>
      </c>
      <c r="F22" s="918">
        <v>585.23</v>
      </c>
      <c r="G22" s="918">
        <v>762.16</v>
      </c>
      <c r="H22" s="918">
        <v>2296.34</v>
      </c>
      <c r="I22" s="918">
        <v>2399.4</v>
      </c>
      <c r="J22" s="918">
        <v>1356.0716883116884</v>
      </c>
      <c r="K22" s="904"/>
      <c r="L22" s="904"/>
      <c r="M22" s="918">
        <v>8274.005237922078</v>
      </c>
      <c r="N22" s="918">
        <f t="shared" si="0"/>
        <v>30880.576926233767</v>
      </c>
      <c r="O22" s="905"/>
    </row>
    <row r="23" spans="1:15" ht="12">
      <c r="A23" s="892"/>
      <c r="B23" s="934">
        <v>14</v>
      </c>
      <c r="C23" s="916" t="s">
        <v>964</v>
      </c>
      <c r="D23" s="916" t="s">
        <v>947</v>
      </c>
      <c r="E23" s="917">
        <v>15792.600000000002</v>
      </c>
      <c r="F23" s="918">
        <v>571.62</v>
      </c>
      <c r="G23" s="918">
        <v>571.62</v>
      </c>
      <c r="H23" s="918">
        <v>2296.34</v>
      </c>
      <c r="I23" s="918">
        <v>2379.54</v>
      </c>
      <c r="J23" s="918">
        <v>3043.7516883116878</v>
      </c>
      <c r="K23" s="904"/>
      <c r="L23" s="904"/>
      <c r="M23" s="918">
        <v>8814.689717922078</v>
      </c>
      <c r="N23" s="918">
        <f t="shared" si="0"/>
        <v>32898.541406233766</v>
      </c>
      <c r="O23" s="905"/>
    </row>
    <row r="24" spans="1:15" ht="12">
      <c r="A24" s="892"/>
      <c r="B24" s="934">
        <v>15</v>
      </c>
      <c r="C24" s="916" t="s">
        <v>965</v>
      </c>
      <c r="D24" s="916" t="s">
        <v>947</v>
      </c>
      <c r="E24" s="917">
        <v>15792.600000000002</v>
      </c>
      <c r="F24" s="918">
        <v>571.62</v>
      </c>
      <c r="G24" s="918">
        <v>571.62</v>
      </c>
      <c r="H24" s="918">
        <v>2296.34</v>
      </c>
      <c r="I24" s="918">
        <v>2112.9</v>
      </c>
      <c r="J24" s="918">
        <v>1777.9916883116884</v>
      </c>
      <c r="K24" s="904"/>
      <c r="L24" s="904"/>
      <c r="M24" s="918">
        <v>8253.831317922079</v>
      </c>
      <c r="N24" s="918">
        <f t="shared" si="0"/>
        <v>30805.283006233774</v>
      </c>
      <c r="O24" s="905"/>
    </row>
    <row r="25" spans="1:15" ht="12">
      <c r="A25" s="892"/>
      <c r="B25" s="934">
        <v>16</v>
      </c>
      <c r="C25" s="916" t="s">
        <v>966</v>
      </c>
      <c r="D25" s="916" t="s">
        <v>947</v>
      </c>
      <c r="E25" s="917">
        <v>15792.600000000002</v>
      </c>
      <c r="F25" s="918">
        <v>571.62</v>
      </c>
      <c r="G25" s="918">
        <v>571.62</v>
      </c>
      <c r="H25" s="918">
        <v>2296.34</v>
      </c>
      <c r="I25" s="918">
        <v>2364.1</v>
      </c>
      <c r="J25" s="918">
        <v>3043.7516883116878</v>
      </c>
      <c r="K25" s="904"/>
      <c r="L25" s="904"/>
      <c r="M25" s="918">
        <v>8809.038677922079</v>
      </c>
      <c r="N25" s="918">
        <f t="shared" si="0"/>
        <v>32877.45036623377</v>
      </c>
      <c r="O25" s="905"/>
    </row>
    <row r="26" spans="1:15" ht="12">
      <c r="A26" s="892"/>
      <c r="B26" s="934">
        <v>17</v>
      </c>
      <c r="C26" s="916" t="s">
        <v>967</v>
      </c>
      <c r="D26" s="916" t="s">
        <v>947</v>
      </c>
      <c r="E26" s="917">
        <v>15792.600000000002</v>
      </c>
      <c r="F26" s="918">
        <v>571.62</v>
      </c>
      <c r="G26" s="918">
        <v>571.62</v>
      </c>
      <c r="H26" s="918">
        <v>2296.34</v>
      </c>
      <c r="I26" s="918">
        <v>2394.97</v>
      </c>
      <c r="J26" s="918">
        <v>3043.7516883116878</v>
      </c>
      <c r="K26" s="904"/>
      <c r="L26" s="904"/>
      <c r="M26" s="918">
        <v>8820.337097922076</v>
      </c>
      <c r="N26" s="918">
        <f t="shared" si="0"/>
        <v>32919.61878623377</v>
      </c>
      <c r="O26" s="905"/>
    </row>
    <row r="27" spans="1:15" ht="12.75" thickBot="1">
      <c r="A27" s="892"/>
      <c r="B27" s="979">
        <v>18</v>
      </c>
      <c r="C27" s="935" t="s">
        <v>968</v>
      </c>
      <c r="D27" s="935" t="s">
        <v>947</v>
      </c>
      <c r="E27" s="936">
        <v>15792.600000000002</v>
      </c>
      <c r="F27" s="937">
        <v>571.62</v>
      </c>
      <c r="G27" s="937">
        <v>571.62</v>
      </c>
      <c r="H27" s="937">
        <v>2296.34</v>
      </c>
      <c r="I27" s="937">
        <v>2343.52</v>
      </c>
      <c r="J27" s="937">
        <v>1777.9916883116884</v>
      </c>
      <c r="K27" s="938"/>
      <c r="L27" s="938"/>
      <c r="M27" s="937">
        <v>8338.238237922078</v>
      </c>
      <c r="N27" s="970">
        <f t="shared" si="0"/>
        <v>31120.309926233775</v>
      </c>
      <c r="O27" s="939"/>
    </row>
    <row r="28" spans="1:15" ht="13.5" thickBot="1" thickTop="1">
      <c r="A28" s="892"/>
      <c r="B28" s="899">
        <v>18</v>
      </c>
      <c r="C28" s="929"/>
      <c r="D28" s="929"/>
      <c r="E28" s="900">
        <f>SUM(E10:E27)</f>
        <v>340608.2399999999</v>
      </c>
      <c r="F28" s="900">
        <f aca="true" t="shared" si="1" ref="F28:N28">SUM(F10:F27)</f>
        <v>16110.840000000002</v>
      </c>
      <c r="G28" s="900">
        <f t="shared" si="1"/>
        <v>17369.75</v>
      </c>
      <c r="H28" s="900">
        <f t="shared" si="1"/>
        <v>47637.739999999976</v>
      </c>
      <c r="I28" s="900">
        <f t="shared" si="1"/>
        <v>46034.62</v>
      </c>
      <c r="J28" s="900">
        <f t="shared" si="1"/>
        <v>30058.65350649351</v>
      </c>
      <c r="K28" s="900">
        <f t="shared" si="1"/>
        <v>0</v>
      </c>
      <c r="L28" s="900">
        <f t="shared" si="1"/>
        <v>0</v>
      </c>
      <c r="M28" s="900">
        <f t="shared" si="1"/>
        <v>160331.4523083766</v>
      </c>
      <c r="N28" s="900">
        <f t="shared" si="1"/>
        <v>642040.4558148701</v>
      </c>
      <c r="O28" s="930"/>
    </row>
    <row r="29" ht="12">
      <c r="O29" s="931"/>
    </row>
    <row r="31" spans="8:14" ht="12" hidden="1">
      <c r="H31" s="940">
        <f>E28+G28+H28</f>
        <v>405615.72999999986</v>
      </c>
      <c r="J31" s="940">
        <f>H31+J28</f>
        <v>435674.38350649335</v>
      </c>
      <c r="M31" s="1029">
        <f>'PD 2017 (Personal)'!M11+'LF 2017 (Personal)'!M31+'LT 2017 (Personal)'!M28</f>
        <v>389526.59518714284</v>
      </c>
      <c r="N31" s="1029">
        <f>N28+'LF 2017 (Personal)'!N31+'PD 2017 (Personal)'!N11</f>
        <v>1592553.3537585714</v>
      </c>
    </row>
    <row r="32" spans="8:10" ht="12" hidden="1">
      <c r="H32" s="931"/>
      <c r="J32" s="931">
        <f>'PD 2017 (Personal)'!H14+'LF 2017 (Personal)'!J34+'LT 2017 (Personal)'!J31</f>
        <v>1096532.8985714284</v>
      </c>
    </row>
    <row r="33" ht="12" hidden="1">
      <c r="J33" s="931">
        <f>Personal!E35</f>
        <v>5914.468068390799</v>
      </c>
    </row>
    <row r="34" spans="2:10" ht="12" hidden="1">
      <c r="B34" s="954" t="s">
        <v>971</v>
      </c>
      <c r="G34" s="955">
        <f>N28-M28-I28-G28</f>
        <v>418304.63350649347</v>
      </c>
      <c r="J34" s="931">
        <f>J32+J33</f>
        <v>1102447.3666398192</v>
      </c>
    </row>
    <row r="35" ht="12" hidden="1"/>
  </sheetData>
  <sheetProtection/>
  <mergeCells count="2">
    <mergeCell ref="F8:G8"/>
    <mergeCell ref="J8:L8"/>
  </mergeCells>
  <printOptions/>
  <pageMargins left="0.7" right="0.7" top="0.75" bottom="0.75" header="0.3" footer="0.3"/>
  <pageSetup horizontalDpi="1200" verticalDpi="1200" orientation="portrait" paperSize="9"/>
  <ignoredErrors>
    <ignoredError sqref="N10:N27" emptyCellReference="1"/>
    <ignoredError sqref="F28:G2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2:D1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.140625" style="984" customWidth="1"/>
    <col min="2" max="2" width="53.28125" style="984" customWidth="1"/>
    <col min="3" max="16384" width="11.421875" style="984" customWidth="1"/>
  </cols>
  <sheetData>
    <row r="2" ht="15">
      <c r="B2" s="983" t="s">
        <v>828</v>
      </c>
    </row>
    <row r="3" ht="12.75">
      <c r="B3" s="908" t="s">
        <v>922</v>
      </c>
    </row>
    <row r="4" spans="2:4" s="985" customFormat="1" ht="15">
      <c r="B4" s="988" t="s">
        <v>829</v>
      </c>
      <c r="C4" s="988">
        <v>2016</v>
      </c>
      <c r="D4" s="988">
        <v>2017</v>
      </c>
    </row>
    <row r="5" spans="2:4" ht="12.75">
      <c r="B5" s="989" t="s">
        <v>830</v>
      </c>
      <c r="C5" s="997"/>
      <c r="D5" s="997"/>
    </row>
    <row r="6" spans="2:4" ht="12.75">
      <c r="B6" s="990" t="s">
        <v>831</v>
      </c>
      <c r="C6" s="997"/>
      <c r="D6" s="997"/>
    </row>
    <row r="7" spans="2:4" ht="12.75">
      <c r="B7" s="991" t="s">
        <v>144</v>
      </c>
      <c r="C7" s="998">
        <f>SUM(C5:C6)</f>
        <v>0</v>
      </c>
      <c r="D7" s="998">
        <f>SUM(D5:D6)</f>
        <v>0</v>
      </c>
    </row>
    <row r="8" spans="2:4" ht="12.75">
      <c r="B8" s="992"/>
      <c r="C8" s="999"/>
      <c r="D8" s="999"/>
    </row>
    <row r="9" spans="2:4" ht="12.75">
      <c r="B9" s="993"/>
      <c r="C9" s="993"/>
      <c r="D9" s="993"/>
    </row>
    <row r="10" spans="2:4" ht="12.75">
      <c r="B10" s="993"/>
      <c r="C10" s="993"/>
      <c r="D10" s="993"/>
    </row>
    <row r="11" spans="2:4" s="986" customFormat="1" ht="15">
      <c r="B11" s="994" t="s">
        <v>832</v>
      </c>
      <c r="C11" s="994">
        <v>2016</v>
      </c>
      <c r="D11" s="994">
        <v>2017</v>
      </c>
    </row>
    <row r="12" spans="2:4" ht="12.75">
      <c r="B12" s="995" t="s">
        <v>833</v>
      </c>
      <c r="C12" s="987"/>
      <c r="D12" s="987"/>
    </row>
    <row r="13" spans="2:4" ht="12.75">
      <c r="B13" s="995" t="s">
        <v>834</v>
      </c>
      <c r="C13" s="987"/>
      <c r="D13" s="987"/>
    </row>
    <row r="14" spans="2:4" ht="12.75">
      <c r="B14" s="995" t="s">
        <v>977</v>
      </c>
      <c r="C14" s="982">
        <f>12800+6600</f>
        <v>19400</v>
      </c>
      <c r="D14" s="982">
        <f>13000+7000</f>
        <v>20000</v>
      </c>
    </row>
    <row r="15" spans="2:4" ht="12.75">
      <c r="B15" s="995" t="s">
        <v>835</v>
      </c>
      <c r="C15" s="982">
        <v>15000</v>
      </c>
      <c r="D15" s="982">
        <v>15000</v>
      </c>
    </row>
    <row r="16" spans="2:4" ht="12.75">
      <c r="B16" s="995" t="s">
        <v>969</v>
      </c>
      <c r="C16" s="982">
        <v>8000</v>
      </c>
      <c r="D16" s="982">
        <v>8500</v>
      </c>
    </row>
    <row r="17" spans="2:4" ht="12.75">
      <c r="B17" s="995" t="s">
        <v>970</v>
      </c>
      <c r="C17" s="982">
        <f>34290.74+1553.59</f>
        <v>35844.329999999994</v>
      </c>
      <c r="D17" s="982">
        <v>35600</v>
      </c>
    </row>
    <row r="18" spans="2:4" ht="12.75">
      <c r="B18" s="989" t="s">
        <v>978</v>
      </c>
      <c r="C18" s="982">
        <v>100</v>
      </c>
      <c r="D18" s="982">
        <v>100</v>
      </c>
    </row>
    <row r="19" spans="2:4" ht="12.75">
      <c r="B19" s="991" t="s">
        <v>144</v>
      </c>
      <c r="C19" s="996">
        <f>SUM(C12:C18)</f>
        <v>78344.32999999999</v>
      </c>
      <c r="D19" s="996">
        <f>SUM(D12:D18)</f>
        <v>79200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S25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2.140625" style="984" customWidth="1"/>
    <col min="2" max="2" width="18.7109375" style="984" customWidth="1"/>
    <col min="3" max="3" width="11.421875" style="984" customWidth="1"/>
    <col min="4" max="4" width="13.140625" style="984" customWidth="1"/>
    <col min="5" max="5" width="13.00390625" style="984" customWidth="1"/>
    <col min="6" max="6" width="21.7109375" style="984" customWidth="1"/>
    <col min="7" max="7" width="6.140625" style="984" customWidth="1"/>
    <col min="8" max="8" width="14.00390625" style="984" hidden="1" customWidth="1"/>
    <col min="9" max="9" width="0" style="984" hidden="1" customWidth="1"/>
    <col min="10" max="10" width="11.7109375" style="984" hidden="1" customWidth="1"/>
    <col min="11" max="11" width="0" style="984" hidden="1" customWidth="1"/>
    <col min="12" max="12" width="29.8515625" style="984" hidden="1" customWidth="1"/>
    <col min="13" max="15" width="12.28125" style="984" hidden="1" customWidth="1"/>
    <col min="16" max="16" width="11.7109375" style="984" hidden="1" customWidth="1"/>
    <col min="17" max="17" width="12.28125" style="984" hidden="1" customWidth="1"/>
    <col min="18" max="19" width="21.00390625" style="984" hidden="1" customWidth="1"/>
    <col min="20" max="23" width="0" style="984" hidden="1" customWidth="1"/>
    <col min="24" max="16384" width="11.421875" style="984" customWidth="1"/>
  </cols>
  <sheetData>
    <row r="1" ht="12.75"/>
    <row r="2" ht="13.5" thickBot="1"/>
    <row r="3" spans="2:6" ht="13.5" thickBot="1">
      <c r="B3" s="1008" t="s">
        <v>836</v>
      </c>
      <c r="C3" s="1000"/>
      <c r="D3" s="1000"/>
      <c r="E3" s="1000"/>
      <c r="F3" s="1001"/>
    </row>
    <row r="4" spans="2:8" ht="12.75">
      <c r="B4" s="908" t="s">
        <v>922</v>
      </c>
      <c r="H4" s="1023" t="s">
        <v>972</v>
      </c>
    </row>
    <row r="5" ht="13.5" thickBot="1">
      <c r="H5" s="1023" t="s">
        <v>973</v>
      </c>
    </row>
    <row r="6" spans="4:9" s="1009" customFormat="1" ht="13.5" thickBot="1">
      <c r="D6" s="1010">
        <v>2017</v>
      </c>
      <c r="E6" s="1011">
        <v>2016</v>
      </c>
      <c r="F6" s="1012" t="s">
        <v>412</v>
      </c>
      <c r="H6" s="1009">
        <v>2017</v>
      </c>
      <c r="I6" s="1009">
        <v>2017</v>
      </c>
    </row>
    <row r="7" spans="2:10" ht="19.5" customHeight="1">
      <c r="B7" s="1024" t="s">
        <v>837</v>
      </c>
      <c r="C7" s="1013"/>
      <c r="D7" s="1019">
        <f>'LT 2017 (Personal)'!J34-'COMPARATIVA 2016-2017'!D8</f>
        <v>1036330.2866398193</v>
      </c>
      <c r="E7" s="1020">
        <f>1101500-E8</f>
        <v>1038820.375</v>
      </c>
      <c r="F7" s="1002"/>
      <c r="H7" s="1003">
        <f>D7+D8</f>
        <v>1102447.3666398192</v>
      </c>
      <c r="I7" s="1003">
        <f>D7+D8</f>
        <v>1102447.3666398192</v>
      </c>
      <c r="J7" s="1028">
        <f>H7-I7</f>
        <v>0</v>
      </c>
    </row>
    <row r="8" spans="2:8" ht="19.5" customHeight="1">
      <c r="B8" s="1025" t="s">
        <v>817</v>
      </c>
      <c r="C8" s="1014"/>
      <c r="D8" s="997">
        <f>'PD 2017 (Personal)'!G11+'LF 2017 (Personal)'!G31+'LT 2017 (Personal)'!G28</f>
        <v>66117.07999999999</v>
      </c>
      <c r="E8" s="997">
        <f>'PD 2017 (Personal)'!F11+'LF 2017 (Personal)'!F31+'LT 2017 (Personal)'!F28</f>
        <v>62679.62499999999</v>
      </c>
      <c r="F8" s="1004"/>
      <c r="H8" s="1003"/>
    </row>
    <row r="9" spans="2:8" ht="19.5" customHeight="1">
      <c r="B9" s="1025" t="s">
        <v>822</v>
      </c>
      <c r="C9" s="1014"/>
      <c r="D9" s="997">
        <f>'PD 2017 (Personal)'!I11+'LF 2017 (Personal)'!I31+'LT 2017 (Personal)'!I28</f>
        <v>106493.86</v>
      </c>
      <c r="E9" s="997">
        <v>106493.86</v>
      </c>
      <c r="F9" s="1004"/>
      <c r="H9" s="1003">
        <f>D9</f>
        <v>106493.86</v>
      </c>
    </row>
    <row r="10" spans="2:8" ht="19.5" customHeight="1">
      <c r="B10" s="1026" t="s">
        <v>838</v>
      </c>
      <c r="C10" s="1015"/>
      <c r="D10" s="1021">
        <f>'PRESTACIONES Y GASTOS SOCIALES'!D19</f>
        <v>79200</v>
      </c>
      <c r="E10" s="1021">
        <f>'PRESTACIONES Y GASTOS SOCIALES'!C19</f>
        <v>78344.32999999999</v>
      </c>
      <c r="F10" s="1005"/>
      <c r="H10" s="1003">
        <v>79200</v>
      </c>
    </row>
    <row r="11" spans="2:8" ht="19.5" customHeight="1" thickBot="1">
      <c r="B11" s="1027" t="s">
        <v>839</v>
      </c>
      <c r="C11" s="1015"/>
      <c r="D11" s="1022">
        <f>'PD 2017 (Personal)'!M11+'LF 2017 (Personal)'!M31+'LT 2017 (Personal)'!M28</f>
        <v>389526.59518714284</v>
      </c>
      <c r="E11" s="1021">
        <v>387000</v>
      </c>
      <c r="F11" s="1006"/>
      <c r="H11" s="1003">
        <v>389526.6</v>
      </c>
    </row>
    <row r="12" spans="2:11" ht="19.5" customHeight="1" thickBot="1">
      <c r="B12" s="1016"/>
      <c r="C12" s="1017" t="s">
        <v>144</v>
      </c>
      <c r="D12" s="1018">
        <f>SUM(D7:D11)</f>
        <v>1677667.8218269623</v>
      </c>
      <c r="E12" s="1018">
        <f>SUM(E7:E11)</f>
        <v>1673338.1900000002</v>
      </c>
      <c r="H12" s="1007">
        <f>SUM(H7:H11)</f>
        <v>1677667.8266398194</v>
      </c>
      <c r="J12" s="1028">
        <f>H12-D12</f>
        <v>0.004812857136130333</v>
      </c>
      <c r="K12" s="1028">
        <f>J12-J7</f>
        <v>0.004812857136130333</v>
      </c>
    </row>
    <row r="13" spans="2:8" ht="13.5" thickBot="1">
      <c r="B13" s="1016"/>
      <c r="C13" s="1016"/>
      <c r="H13" s="1003"/>
    </row>
    <row r="14" spans="2:5" ht="15.75" thickBot="1">
      <c r="B14" s="1109" t="s">
        <v>1013</v>
      </c>
      <c r="C14" s="1110"/>
      <c r="D14" s="1111"/>
      <c r="E14" s="1112">
        <f>+D12/E12-1</f>
        <v>0.0025874218689541095</v>
      </c>
    </row>
    <row r="15" spans="2:3" ht="13.5" thickBot="1">
      <c r="B15" s="1016"/>
      <c r="C15" s="1057"/>
    </row>
    <row r="16" spans="4:8" ht="13.5" thickBot="1">
      <c r="D16" s="1003"/>
      <c r="H16" s="1018">
        <v>-1673338.1900000002</v>
      </c>
    </row>
    <row r="17" ht="13.5" thickBot="1">
      <c r="H17" s="1018"/>
    </row>
    <row r="18" spans="4:18" ht="13.5" thickBot="1">
      <c r="D18" s="1057"/>
      <c r="H18" s="1018">
        <v>-1688731.13</v>
      </c>
      <c r="L18" s="984" t="s">
        <v>15</v>
      </c>
      <c r="M18" s="1003">
        <v>-1354469.0900000003</v>
      </c>
      <c r="N18" s="1003">
        <v>-1673338.1900000002</v>
      </c>
      <c r="O18" s="1003">
        <v>-1688731.13</v>
      </c>
      <c r="P18" s="1003">
        <f>SUM(D7:D9)</f>
        <v>1208941.2266398193</v>
      </c>
      <c r="Q18" s="1003">
        <f>P18+O19</f>
        <v>-34663.3033601807</v>
      </c>
      <c r="R18" s="1003">
        <f>-1688731.13</f>
        <v>-1688731.13</v>
      </c>
    </row>
    <row r="19" spans="12:18" ht="12.75">
      <c r="L19" s="984" t="s">
        <v>16</v>
      </c>
      <c r="M19" s="1003">
        <v>-1213100.33</v>
      </c>
      <c r="N19" s="1003">
        <v>-1231093.86</v>
      </c>
      <c r="O19" s="1003">
        <v>-1243604.53</v>
      </c>
      <c r="R19" s="1003">
        <f>-1243604.53+Q21</f>
        <v>-1219498.33</v>
      </c>
    </row>
    <row r="20" spans="8:18" ht="12.75">
      <c r="H20" s="1003">
        <f>H18+D12</f>
        <v>-11063.3081730376</v>
      </c>
      <c r="L20" s="984" t="s">
        <v>398</v>
      </c>
      <c r="M20" s="1003"/>
      <c r="N20" s="1003"/>
      <c r="O20" s="1003"/>
      <c r="R20" s="1003"/>
    </row>
    <row r="21" spans="12:18" ht="12.75">
      <c r="L21" s="984" t="s">
        <v>399</v>
      </c>
      <c r="M21" s="1003">
        <v>-386762</v>
      </c>
      <c r="N21" s="1003">
        <v>-387000</v>
      </c>
      <c r="O21" s="1108">
        <v>-389526.6</v>
      </c>
      <c r="Q21" s="984">
        <v>24106.2</v>
      </c>
      <c r="R21" s="1003">
        <v>-389526.6</v>
      </c>
    </row>
    <row r="22" spans="12:18" ht="12.75">
      <c r="L22" s="984" t="s">
        <v>400</v>
      </c>
      <c r="M22" s="1003">
        <v>-34211.32</v>
      </c>
      <c r="N22" s="1003">
        <v>-35844.329999999994</v>
      </c>
      <c r="O22" s="1003">
        <v>-35600</v>
      </c>
      <c r="R22" s="1003">
        <f>-35600-H20</f>
        <v>-24536.6918269624</v>
      </c>
    </row>
    <row r="23" spans="12:19" ht="12.75">
      <c r="L23" s="984" t="s">
        <v>401</v>
      </c>
      <c r="M23" s="1003">
        <v>-17058.34</v>
      </c>
      <c r="N23" s="1003">
        <v>-19400</v>
      </c>
      <c r="O23" s="1003">
        <v>-20000</v>
      </c>
      <c r="R23" s="1003">
        <f>-20000-Q21</f>
        <v>-44106.2</v>
      </c>
      <c r="S23" s="1003">
        <f>SUM(R22:R23)</f>
        <v>-68642.8918269624</v>
      </c>
    </row>
    <row r="24" spans="12:18" ht="12.75">
      <c r="L24" s="984" t="s">
        <v>402</v>
      </c>
      <c r="M24" s="1003">
        <v>296662.9</v>
      </c>
      <c r="N24" s="1003">
        <v>0</v>
      </c>
      <c r="O24" s="1003">
        <v>0</v>
      </c>
      <c r="R24" s="1003">
        <v>0</v>
      </c>
    </row>
    <row r="25" ht="12.75">
      <c r="R25" s="1003">
        <f>SUM(R19:R24)</f>
        <v>-1677667.8218269625</v>
      </c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88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B2:G67"/>
  <sheetViews>
    <sheetView zoomScale="75" zoomScaleNormal="75" zoomScalePageLayoutView="0" workbookViewId="0" topLeftCell="A1">
      <selection activeCell="B3" sqref="B3:D3"/>
    </sheetView>
  </sheetViews>
  <sheetFormatPr defaultColWidth="11.421875" defaultRowHeight="12.75"/>
  <cols>
    <col min="1" max="1" width="11.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421875" style="214" customWidth="1"/>
    <col min="7" max="7" width="11.7109375" style="214" bestFit="1" customWidth="1"/>
    <col min="8" max="16384" width="11.421875" style="214" customWidth="1"/>
  </cols>
  <sheetData>
    <row r="1" ht="13.5" thickBot="1"/>
    <row r="2" spans="2:5" ht="49.5" customHeight="1">
      <c r="B2" s="1559" t="s">
        <v>599</v>
      </c>
      <c r="C2" s="1560"/>
      <c r="D2" s="1561"/>
      <c r="E2" s="228">
        <f>CPYG!E2</f>
        <v>2017</v>
      </c>
    </row>
    <row r="3" spans="2:5" ht="42.75" customHeight="1">
      <c r="B3" s="1562" t="str">
        <f>CPYG!B3</f>
        <v>ENTIDAD: ENTIDAD PÚBLICA EMPRESARIAL LOCAL BALSAS DE TENERIFE, BALTEN</v>
      </c>
      <c r="C3" s="1563"/>
      <c r="D3" s="1564"/>
      <c r="E3" s="305" t="s">
        <v>204</v>
      </c>
    </row>
    <row r="4" spans="2:5" s="133" customFormat="1" ht="24.75" customHeight="1">
      <c r="B4" s="1565" t="s">
        <v>794</v>
      </c>
      <c r="C4" s="1566"/>
      <c r="D4" s="1566"/>
      <c r="E4" s="1567"/>
    </row>
    <row r="5" spans="2:5" s="133" customFormat="1" ht="16.5" customHeight="1">
      <c r="B5" s="1568" t="s">
        <v>121</v>
      </c>
      <c r="C5" s="1569"/>
      <c r="D5" s="1570" t="s">
        <v>123</v>
      </c>
      <c r="E5" s="1571"/>
    </row>
    <row r="6" spans="2:5" s="133" customFormat="1" ht="19.5" customHeight="1">
      <c r="B6" s="619" t="s">
        <v>122</v>
      </c>
      <c r="C6" s="299" t="s">
        <v>119</v>
      </c>
      <c r="D6" s="299" t="s">
        <v>122</v>
      </c>
      <c r="E6" s="620" t="s">
        <v>119</v>
      </c>
    </row>
    <row r="7" spans="2:5" s="133" customFormat="1" ht="19.5" customHeight="1">
      <c r="B7" s="308" t="s">
        <v>146</v>
      </c>
      <c r="C7" s="300">
        <v>16000</v>
      </c>
      <c r="D7" s="301" t="s">
        <v>146</v>
      </c>
      <c r="E7" s="310"/>
    </row>
    <row r="8" spans="2:5" s="222" customFormat="1" ht="19.5" customHeight="1">
      <c r="B8" s="615" t="s">
        <v>147</v>
      </c>
      <c r="C8" s="302">
        <v>3000</v>
      </c>
      <c r="D8" s="732" t="s">
        <v>147</v>
      </c>
      <c r="E8" s="618"/>
    </row>
    <row r="9" spans="2:5" s="222" customFormat="1" ht="19.5" customHeight="1">
      <c r="B9" s="615" t="s">
        <v>148</v>
      </c>
      <c r="C9" s="302">
        <v>15000</v>
      </c>
      <c r="D9" s="732" t="s">
        <v>148</v>
      </c>
      <c r="E9" s="618"/>
    </row>
    <row r="10" spans="2:5" s="222" customFormat="1" ht="19.5" customHeight="1">
      <c r="B10" s="615" t="s">
        <v>149</v>
      </c>
      <c r="C10" s="302"/>
      <c r="D10" s="732" t="s">
        <v>149</v>
      </c>
      <c r="E10" s="618"/>
    </row>
    <row r="11" spans="2:5" s="222" customFormat="1" ht="19.5" customHeight="1">
      <c r="B11" s="615" t="s">
        <v>150</v>
      </c>
      <c r="C11" s="302"/>
      <c r="D11" s="732" t="s">
        <v>150</v>
      </c>
      <c r="E11" s="618">
        <v>1556096.24</v>
      </c>
    </row>
    <row r="12" spans="2:5" s="222" customFormat="1" ht="19.5" customHeight="1">
      <c r="B12" s="615" t="s">
        <v>598</v>
      </c>
      <c r="C12" s="302"/>
      <c r="D12" s="732" t="s">
        <v>598</v>
      </c>
      <c r="E12" s="618"/>
    </row>
    <row r="13" spans="2:5" s="222" customFormat="1" ht="19.5" customHeight="1">
      <c r="B13" s="615" t="s">
        <v>795</v>
      </c>
      <c r="C13" s="302"/>
      <c r="D13" s="732" t="s">
        <v>795</v>
      </c>
      <c r="E13" s="618"/>
    </row>
    <row r="14" spans="2:5" s="222" customFormat="1" ht="19.5" customHeight="1">
      <c r="B14" s="615" t="s">
        <v>183</v>
      </c>
      <c r="C14" s="302"/>
      <c r="D14" s="732" t="s">
        <v>183</v>
      </c>
      <c r="E14" s="618"/>
    </row>
    <row r="15" spans="2:7" s="222" customFormat="1" ht="19.5" customHeight="1">
      <c r="B15" s="615" t="s">
        <v>151</v>
      </c>
      <c r="C15" s="722"/>
      <c r="D15" s="732" t="s">
        <v>151</v>
      </c>
      <c r="E15" s="728"/>
      <c r="G15" s="723"/>
    </row>
    <row r="16" spans="2:5" s="222" customFormat="1" ht="19.5" customHeight="1">
      <c r="B16" s="615" t="s">
        <v>152</v>
      </c>
      <c r="C16" s="722"/>
      <c r="D16" s="732" t="s">
        <v>152</v>
      </c>
      <c r="E16" s="728"/>
    </row>
    <row r="17" spans="2:5" s="222" customFormat="1" ht="19.5" customHeight="1">
      <c r="B17" s="615" t="s">
        <v>153</v>
      </c>
      <c r="C17" s="722"/>
      <c r="D17" s="732" t="s">
        <v>153</v>
      </c>
      <c r="E17" s="728"/>
    </row>
    <row r="18" spans="2:5" s="222" customFormat="1" ht="19.5" customHeight="1">
      <c r="B18" s="615" t="s">
        <v>155</v>
      </c>
      <c r="C18" s="722"/>
      <c r="D18" s="732" t="s">
        <v>155</v>
      </c>
      <c r="E18" s="618"/>
    </row>
    <row r="19" spans="2:5" s="222" customFormat="1" ht="19.5" customHeight="1">
      <c r="B19" s="615" t="s">
        <v>154</v>
      </c>
      <c r="C19" s="302"/>
      <c r="D19" s="732" t="s">
        <v>154</v>
      </c>
      <c r="E19" s="618"/>
    </row>
    <row r="20" spans="2:5" s="222" customFormat="1" ht="19.5" customHeight="1">
      <c r="B20" s="615" t="s">
        <v>796</v>
      </c>
      <c r="C20" s="302"/>
      <c r="D20" s="732" t="s">
        <v>797</v>
      </c>
      <c r="E20" s="302">
        <v>1146.48</v>
      </c>
    </row>
    <row r="21" spans="2:5" s="222" customFormat="1" ht="19.5" customHeight="1">
      <c r="B21" s="615" t="s">
        <v>156</v>
      </c>
      <c r="C21" s="302"/>
      <c r="D21" s="732" t="s">
        <v>156</v>
      </c>
      <c r="E21" s="618"/>
    </row>
    <row r="22" spans="2:5" s="222" customFormat="1" ht="19.5" customHeight="1">
      <c r="B22" s="615" t="s">
        <v>798</v>
      </c>
      <c r="C22" s="302">
        <v>7000</v>
      </c>
      <c r="D22" s="732" t="s">
        <v>798</v>
      </c>
      <c r="E22" s="618"/>
    </row>
    <row r="23" spans="2:5" s="222" customFormat="1" ht="19.5" customHeight="1">
      <c r="B23" s="615" t="s">
        <v>159</v>
      </c>
      <c r="C23" s="302"/>
      <c r="D23" s="732" t="s">
        <v>159</v>
      </c>
      <c r="E23" s="618"/>
    </row>
    <row r="24" spans="2:5" s="222" customFormat="1" ht="19.5" customHeight="1">
      <c r="B24" s="615" t="s">
        <v>799</v>
      </c>
      <c r="C24" s="302"/>
      <c r="D24" s="732" t="s">
        <v>799</v>
      </c>
      <c r="E24" s="618"/>
    </row>
    <row r="25" spans="2:5" s="222" customFormat="1" ht="19.5" customHeight="1">
      <c r="B25" s="615" t="s">
        <v>800</v>
      </c>
      <c r="C25" s="302"/>
      <c r="D25" s="732" t="s">
        <v>800</v>
      </c>
      <c r="E25" s="618"/>
    </row>
    <row r="26" spans="2:5" s="222" customFormat="1" ht="19.5" customHeight="1">
      <c r="B26" s="615" t="s">
        <v>158</v>
      </c>
      <c r="C26" s="302">
        <v>19000</v>
      </c>
      <c r="D26" s="732" t="s">
        <v>158</v>
      </c>
      <c r="E26" s="618"/>
    </row>
    <row r="27" spans="2:5" s="222" customFormat="1" ht="19.5" customHeight="1">
      <c r="B27" s="615" t="s">
        <v>801</v>
      </c>
      <c r="C27" s="302"/>
      <c r="D27" s="732" t="s">
        <v>801</v>
      </c>
      <c r="E27" s="618">
        <v>6000</v>
      </c>
    </row>
    <row r="28" spans="2:5" s="222" customFormat="1" ht="19.5" customHeight="1">
      <c r="B28" s="615" t="s">
        <v>802</v>
      </c>
      <c r="C28" s="302">
        <v>13000</v>
      </c>
      <c r="D28" s="732" t="s">
        <v>802</v>
      </c>
      <c r="E28" s="618"/>
    </row>
    <row r="29" spans="2:5" s="222" customFormat="1" ht="19.5" customHeight="1">
      <c r="B29" s="615" t="s">
        <v>803</v>
      </c>
      <c r="C29" s="302"/>
      <c r="D29" s="732" t="s">
        <v>803</v>
      </c>
      <c r="E29" s="618"/>
    </row>
    <row r="30" spans="2:5" s="222" customFormat="1" ht="19.5" customHeight="1">
      <c r="B30" s="615" t="s">
        <v>804</v>
      </c>
      <c r="C30" s="302">
        <v>4000</v>
      </c>
      <c r="D30" s="732" t="s">
        <v>804</v>
      </c>
      <c r="E30" s="618"/>
    </row>
    <row r="31" spans="2:5" s="222" customFormat="1" ht="29.25" customHeight="1">
      <c r="B31" s="729" t="s">
        <v>440</v>
      </c>
      <c r="C31" s="302"/>
      <c r="D31" s="732" t="s">
        <v>440</v>
      </c>
      <c r="E31" s="618"/>
    </row>
    <row r="32" spans="2:5" s="222" customFormat="1" ht="29.25" customHeight="1">
      <c r="B32" s="729" t="s">
        <v>184</v>
      </c>
      <c r="C32" s="302"/>
      <c r="D32" s="732" t="s">
        <v>184</v>
      </c>
      <c r="E32" s="618"/>
    </row>
    <row r="33" spans="2:5" s="222" customFormat="1" ht="29.25" customHeight="1">
      <c r="B33" s="729" t="s">
        <v>190</v>
      </c>
      <c r="C33" s="302"/>
      <c r="D33" s="732" t="s">
        <v>190</v>
      </c>
      <c r="E33" s="618"/>
    </row>
    <row r="34" spans="2:5" s="222" customFormat="1" ht="29.25" customHeight="1">
      <c r="B34" s="729" t="s">
        <v>841</v>
      </c>
      <c r="C34" s="302"/>
      <c r="D34" s="733" t="s">
        <v>841</v>
      </c>
      <c r="E34" s="618"/>
    </row>
    <row r="35" spans="2:5" s="222" customFormat="1" ht="29.25" customHeight="1">
      <c r="B35" s="729" t="s">
        <v>842</v>
      </c>
      <c r="C35" s="302"/>
      <c r="D35" s="733" t="s">
        <v>842</v>
      </c>
      <c r="E35" s="618"/>
    </row>
    <row r="36" spans="2:5" s="222" customFormat="1" ht="29.25" customHeight="1">
      <c r="B36" s="729" t="s">
        <v>840</v>
      </c>
      <c r="C36" s="302"/>
      <c r="D36" s="733" t="s">
        <v>840</v>
      </c>
      <c r="E36" s="618"/>
    </row>
    <row r="37" spans="2:5" s="222" customFormat="1" ht="29.25" customHeight="1">
      <c r="B37" s="729" t="s">
        <v>752</v>
      </c>
      <c r="C37" s="302"/>
      <c r="D37" s="732" t="str">
        <f>B37</f>
        <v>FUNDACION TENERIFE RURAL</v>
      </c>
      <c r="E37" s="618"/>
    </row>
    <row r="38" spans="2:5" s="222" customFormat="1" ht="29.25" customHeight="1">
      <c r="B38" s="729" t="s">
        <v>186</v>
      </c>
      <c r="C38" s="302"/>
      <c r="D38" s="732" t="s">
        <v>186</v>
      </c>
      <c r="E38" s="618"/>
    </row>
    <row r="39" spans="2:5" s="222" customFormat="1" ht="22.5" customHeight="1">
      <c r="B39" s="729" t="s">
        <v>185</v>
      </c>
      <c r="C39" s="302"/>
      <c r="D39" s="732" t="s">
        <v>185</v>
      </c>
      <c r="E39" s="618"/>
    </row>
    <row r="40" spans="2:5" s="222" customFormat="1" ht="29.25" customHeight="1">
      <c r="B40" s="729" t="s">
        <v>187</v>
      </c>
      <c r="C40" s="302"/>
      <c r="D40" s="732" t="s">
        <v>187</v>
      </c>
      <c r="E40" s="618"/>
    </row>
    <row r="41" spans="2:5" s="133" customFormat="1" ht="29.25" customHeight="1">
      <c r="B41" s="621" t="s">
        <v>843</v>
      </c>
      <c r="C41" s="300"/>
      <c r="D41" s="731" t="s">
        <v>843</v>
      </c>
      <c r="E41" s="310"/>
    </row>
    <row r="42" spans="2:5" s="133" customFormat="1" ht="29.25" customHeight="1">
      <c r="B42" s="621" t="s">
        <v>849</v>
      </c>
      <c r="C42" s="300"/>
      <c r="D42" s="731" t="s">
        <v>849</v>
      </c>
      <c r="E42" s="310"/>
    </row>
    <row r="43" spans="2:5" s="133" customFormat="1" ht="29.25" customHeight="1">
      <c r="B43" s="621" t="s">
        <v>850</v>
      </c>
      <c r="C43" s="300"/>
      <c r="D43" s="731" t="s">
        <v>850</v>
      </c>
      <c r="E43" s="310"/>
    </row>
    <row r="44" spans="2:5" s="133" customFormat="1" ht="29.25" customHeight="1">
      <c r="B44" s="621" t="s">
        <v>851</v>
      </c>
      <c r="C44" s="300"/>
      <c r="D44" s="731" t="s">
        <v>851</v>
      </c>
      <c r="E44" s="310"/>
    </row>
    <row r="45" spans="2:5" s="133" customFormat="1" ht="29.25" customHeight="1" thickBot="1">
      <c r="B45" s="724" t="s">
        <v>852</v>
      </c>
      <c r="C45" s="725"/>
      <c r="D45" s="727" t="s">
        <v>852</v>
      </c>
      <c r="E45" s="726"/>
    </row>
    <row r="46" spans="2:5" s="133" customFormat="1" ht="33" customHeight="1" thickBot="1">
      <c r="B46" s="734" t="s">
        <v>144</v>
      </c>
      <c r="C46" s="735">
        <f>SUM(C7:C45)</f>
        <v>77000</v>
      </c>
      <c r="D46" s="736" t="s">
        <v>144</v>
      </c>
      <c r="E46" s="737">
        <f>SUM(E7:E45)</f>
        <v>1563242.72</v>
      </c>
    </row>
    <row r="47" ht="12.75">
      <c r="C47" s="303"/>
    </row>
    <row r="48" ht="13.5" thickBot="1"/>
    <row r="49" spans="2:5" ht="24.75" customHeight="1" thickBot="1">
      <c r="B49" s="1556" t="s">
        <v>188</v>
      </c>
      <c r="C49" s="1557"/>
      <c r="D49" s="1557"/>
      <c r="E49" s="1558"/>
    </row>
    <row r="50" spans="2:5" ht="20.25" customHeight="1" thickBot="1">
      <c r="B50" s="1556" t="s">
        <v>794</v>
      </c>
      <c r="C50" s="1557"/>
      <c r="D50" s="1557"/>
      <c r="E50" s="1558"/>
    </row>
    <row r="51" spans="2:5" ht="18" customHeight="1">
      <c r="B51" s="1573" t="s">
        <v>121</v>
      </c>
      <c r="C51" s="1574"/>
      <c r="D51" s="1575" t="s">
        <v>123</v>
      </c>
      <c r="E51" s="1576"/>
    </row>
    <row r="52" spans="2:5" ht="19.5" customHeight="1">
      <c r="B52" s="619" t="s">
        <v>122</v>
      </c>
      <c r="C52" s="299" t="s">
        <v>119</v>
      </c>
      <c r="D52" s="299" t="s">
        <v>122</v>
      </c>
      <c r="E52" s="620" t="s">
        <v>119</v>
      </c>
    </row>
    <row r="53" spans="2:5" ht="23.25" customHeight="1">
      <c r="B53" s="308" t="s">
        <v>844</v>
      </c>
      <c r="C53" s="299"/>
      <c r="D53" s="730" t="s">
        <v>844</v>
      </c>
      <c r="E53" s="620"/>
    </row>
    <row r="54" spans="2:5" ht="23.25" customHeight="1">
      <c r="B54" s="621" t="s">
        <v>189</v>
      </c>
      <c r="C54" s="299"/>
      <c r="D54" s="731" t="s">
        <v>189</v>
      </c>
      <c r="E54" s="620"/>
    </row>
    <row r="55" spans="2:5" ht="25.5" customHeight="1">
      <c r="B55" s="621" t="s">
        <v>845</v>
      </c>
      <c r="C55" s="299"/>
      <c r="D55" s="731" t="s">
        <v>845</v>
      </c>
      <c r="E55" s="620"/>
    </row>
    <row r="56" spans="2:5" s="133" customFormat="1" ht="29.25" customHeight="1">
      <c r="B56" s="621" t="s">
        <v>846</v>
      </c>
      <c r="C56" s="300"/>
      <c r="D56" s="731" t="s">
        <v>846</v>
      </c>
      <c r="E56" s="310"/>
    </row>
    <row r="57" spans="2:5" s="133" customFormat="1" ht="29.25" customHeight="1">
      <c r="B57" s="724" t="s">
        <v>847</v>
      </c>
      <c r="C57" s="300"/>
      <c r="D57" s="727" t="s">
        <v>847</v>
      </c>
      <c r="E57" s="726"/>
    </row>
    <row r="58" spans="2:5" s="133" customFormat="1" ht="29.25" customHeight="1" thickBot="1">
      <c r="B58" s="724" t="s">
        <v>848</v>
      </c>
      <c r="C58" s="725"/>
      <c r="D58" s="727" t="s">
        <v>848</v>
      </c>
      <c r="E58" s="726"/>
    </row>
    <row r="59" spans="2:5" s="133" customFormat="1" ht="34.5" customHeight="1" thickBot="1">
      <c r="B59" s="734" t="s">
        <v>144</v>
      </c>
      <c r="C59" s="735">
        <f>SUM(C53:C58)</f>
        <v>0</v>
      </c>
      <c r="D59" s="736" t="s">
        <v>144</v>
      </c>
      <c r="E59" s="737">
        <f>SUM(E53:E58)</f>
        <v>0</v>
      </c>
    </row>
    <row r="60" spans="2:3" ht="12.75">
      <c r="B60" s="304"/>
      <c r="C60" s="303"/>
    </row>
    <row r="61" ht="12.75">
      <c r="C61" s="303"/>
    </row>
    <row r="62" spans="2:5" ht="12.75">
      <c r="B62" s="1572" t="s">
        <v>157</v>
      </c>
      <c r="C62" s="1572"/>
      <c r="D62" s="1572"/>
      <c r="E62" s="1572"/>
    </row>
    <row r="63" spans="2:5" ht="12.75">
      <c r="B63" s="1572" t="s">
        <v>160</v>
      </c>
      <c r="C63" s="1572"/>
      <c r="D63" s="1572"/>
      <c r="E63" s="1572"/>
    </row>
    <row r="64" ht="12.75">
      <c r="C64" s="303"/>
    </row>
    <row r="65" ht="12.75">
      <c r="C65" s="303"/>
    </row>
    <row r="66" ht="12.75">
      <c r="C66" s="303"/>
    </row>
    <row r="67" spans="2:3" ht="12.75">
      <c r="B67" s="746"/>
      <c r="C67" s="747"/>
    </row>
  </sheetData>
  <sheetProtection/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rintOptions horizontalCentered="1" verticalCentered="1"/>
  <pageMargins left="0.34" right="0.35433070866141736" top="1.1811023622047245" bottom="0.984251968503937" header="0.5118110236220472" footer="0.5118110236220472"/>
  <pageSetup horizontalDpi="300" verticalDpi="300" orientation="portrait" paperSize="9" scale="5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421875" style="133" customWidth="1"/>
  </cols>
  <sheetData>
    <row r="1" ht="13.5" thickBot="1"/>
    <row r="2" spans="2:6" ht="49.5" customHeight="1">
      <c r="B2" s="1333" t="s">
        <v>599</v>
      </c>
      <c r="C2" s="1334"/>
      <c r="D2" s="1334"/>
      <c r="E2" s="1334"/>
      <c r="F2" s="228">
        <f>CPYG!E2</f>
        <v>2017</v>
      </c>
    </row>
    <row r="3" spans="2:6" ht="44.25" customHeight="1">
      <c r="B3" s="1562" t="str">
        <f>CPYG!B3</f>
        <v>ENTIDAD: ENTIDAD PÚBLICA EMPRESARIAL LOCAL BALSAS DE TENERIFE, BALTEN</v>
      </c>
      <c r="C3" s="1577"/>
      <c r="D3" s="1577"/>
      <c r="E3" s="1578"/>
      <c r="F3" s="305" t="s">
        <v>203</v>
      </c>
    </row>
    <row r="4" spans="2:6" ht="24.75" customHeight="1">
      <c r="B4" s="1565" t="s">
        <v>805</v>
      </c>
      <c r="C4" s="1579"/>
      <c r="D4" s="1579"/>
      <c r="E4" s="1579"/>
      <c r="F4" s="1580"/>
    </row>
    <row r="5" spans="2:6" ht="30" customHeight="1">
      <c r="B5" s="306" t="s">
        <v>117</v>
      </c>
      <c r="C5" s="298" t="s">
        <v>118</v>
      </c>
      <c r="D5" s="626" t="s">
        <v>347</v>
      </c>
      <c r="E5" s="626" t="s">
        <v>547</v>
      </c>
      <c r="F5" s="307" t="s">
        <v>120</v>
      </c>
    </row>
    <row r="6" spans="2:6" ht="19.5" customHeight="1">
      <c r="B6" s="308"/>
      <c r="C6" s="312"/>
      <c r="D6" s="312"/>
      <c r="E6" s="608"/>
      <c r="F6" s="310"/>
    </row>
    <row r="7" spans="2:6" ht="19.5" customHeight="1">
      <c r="B7" s="615"/>
      <c r="C7" s="616"/>
      <c r="D7" s="616"/>
      <c r="E7" s="617"/>
      <c r="F7" s="618"/>
    </row>
    <row r="8" spans="2:6" ht="19.5" customHeight="1">
      <c r="B8" s="615"/>
      <c r="C8" s="616"/>
      <c r="D8" s="616"/>
      <c r="E8" s="617"/>
      <c r="F8" s="618"/>
    </row>
    <row r="9" spans="2:6" ht="19.5" customHeight="1">
      <c r="B9" s="615"/>
      <c r="C9" s="616"/>
      <c r="D9" s="616"/>
      <c r="E9" s="617"/>
      <c r="F9" s="618"/>
    </row>
    <row r="10" spans="2:6" ht="19.5" customHeight="1">
      <c r="B10" s="308"/>
      <c r="C10" s="312"/>
      <c r="D10" s="312"/>
      <c r="E10" s="608"/>
      <c r="F10" s="310"/>
    </row>
    <row r="11" spans="2:6" ht="19.5" customHeight="1">
      <c r="B11" s="308"/>
      <c r="C11" s="312"/>
      <c r="D11" s="312"/>
      <c r="E11" s="608"/>
      <c r="F11" s="310"/>
    </row>
    <row r="12" spans="2:6" ht="19.5" customHeight="1">
      <c r="B12" s="308"/>
      <c r="C12" s="312"/>
      <c r="D12" s="312"/>
      <c r="E12" s="608"/>
      <c r="F12" s="310"/>
    </row>
    <row r="13" spans="2:6" ht="19.5" customHeight="1">
      <c r="B13" s="308"/>
      <c r="C13" s="312"/>
      <c r="D13" s="312"/>
      <c r="E13" s="608"/>
      <c r="F13" s="310"/>
    </row>
    <row r="14" spans="2:6" ht="19.5" customHeight="1">
      <c r="B14" s="308"/>
      <c r="C14" s="312"/>
      <c r="D14" s="312"/>
      <c r="E14" s="608"/>
      <c r="F14" s="310"/>
    </row>
    <row r="15" spans="2:6" ht="19.5" customHeight="1">
      <c r="B15" s="308"/>
      <c r="C15" s="311"/>
      <c r="D15" s="311"/>
      <c r="E15" s="312"/>
      <c r="F15" s="310"/>
    </row>
    <row r="16" spans="2:6" ht="19.5" customHeight="1">
      <c r="B16" s="308"/>
      <c r="C16" s="300"/>
      <c r="D16" s="625"/>
      <c r="E16" s="309"/>
      <c r="F16" s="310"/>
    </row>
    <row r="17" spans="2:6" ht="19.5" customHeight="1">
      <c r="B17" s="308"/>
      <c r="C17" s="300"/>
      <c r="D17" s="625"/>
      <c r="E17" s="309"/>
      <c r="F17" s="310"/>
    </row>
    <row r="18" spans="2:6" ht="19.5" customHeight="1">
      <c r="B18" s="308"/>
      <c r="C18" s="300"/>
      <c r="D18" s="625"/>
      <c r="E18" s="309"/>
      <c r="F18" s="310"/>
    </row>
    <row r="19" spans="2:6" ht="19.5" customHeight="1">
      <c r="B19" s="308"/>
      <c r="C19" s="300"/>
      <c r="D19" s="625"/>
      <c r="E19" s="309"/>
      <c r="F19" s="310"/>
    </row>
    <row r="20" spans="2:6" ht="19.5" customHeight="1">
      <c r="B20" s="308"/>
      <c r="C20" s="300"/>
      <c r="D20" s="625"/>
      <c r="E20" s="309"/>
      <c r="F20" s="310"/>
    </row>
    <row r="21" spans="2:6" ht="19.5" customHeight="1">
      <c r="B21" s="308"/>
      <c r="C21" s="300"/>
      <c r="D21" s="625"/>
      <c r="E21" s="309"/>
      <c r="F21" s="310"/>
    </row>
    <row r="22" spans="2:6" ht="19.5" customHeight="1">
      <c r="B22" s="308"/>
      <c r="C22" s="300"/>
      <c r="D22" s="625"/>
      <c r="E22" s="309"/>
      <c r="F22" s="310"/>
    </row>
    <row r="23" spans="2:6" ht="23.25" customHeight="1" thickBot="1">
      <c r="B23" s="313"/>
      <c r="C23" s="314"/>
      <c r="D23" s="314"/>
      <c r="E23" s="556">
        <f>SUM(E6:E22)</f>
        <v>0</v>
      </c>
      <c r="F23" s="295"/>
    </row>
    <row r="24" spans="3:4" ht="12.75">
      <c r="C24" s="567"/>
      <c r="D24" s="567"/>
    </row>
    <row r="25" spans="3:4" ht="12.75">
      <c r="C25" s="567"/>
      <c r="D25" s="567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567"/>
      <c r="D28" s="567"/>
      <c r="E28" s="169"/>
      <c r="F28" s="169"/>
    </row>
    <row r="29" spans="3:6" ht="12.75">
      <c r="C29" s="567"/>
      <c r="D29" s="567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09"/>
      <c r="D32" s="609"/>
      <c r="E32" s="610"/>
      <c r="F32" s="610"/>
    </row>
    <row r="33" spans="3:6" ht="12.75">
      <c r="C33" s="567"/>
      <c r="D33" s="567"/>
      <c r="E33" s="169"/>
      <c r="F33" s="169"/>
    </row>
    <row r="34" spans="3:4" ht="12.75">
      <c r="C34" s="567"/>
      <c r="D34" s="567"/>
    </row>
    <row r="35" spans="3:6" ht="12.75">
      <c r="C35" s="609"/>
      <c r="D35" s="609"/>
      <c r="E35" s="610"/>
      <c r="F35" s="610"/>
    </row>
    <row r="36" spans="3:6" ht="12.75">
      <c r="C36" s="609"/>
      <c r="D36" s="609"/>
      <c r="E36" s="610"/>
      <c r="F36" s="610"/>
    </row>
    <row r="37" spans="3:4" ht="12.75">
      <c r="C37" s="567"/>
      <c r="D37" s="567"/>
    </row>
    <row r="38" spans="3:4" ht="12.75">
      <c r="C38" s="567"/>
      <c r="D38" s="567"/>
    </row>
    <row r="39" spans="3:4" ht="12.75">
      <c r="C39" s="567"/>
      <c r="D39" s="567"/>
    </row>
    <row r="40" spans="3:4" ht="12.75">
      <c r="C40" s="567"/>
      <c r="D40" s="567"/>
    </row>
    <row r="41" spans="3:4" ht="12.75">
      <c r="C41" s="567"/>
      <c r="D41" s="567"/>
    </row>
    <row r="42" spans="3:4" ht="12.75">
      <c r="C42" s="567"/>
      <c r="D42" s="567"/>
    </row>
    <row r="43" spans="3:4" ht="12.75">
      <c r="C43" s="567"/>
      <c r="D43" s="567"/>
    </row>
    <row r="44" spans="3:4" ht="12.75">
      <c r="C44" s="567"/>
      <c r="D44" s="567"/>
    </row>
    <row r="45" spans="3:4" ht="12.75">
      <c r="C45" s="567"/>
      <c r="D45" s="567"/>
    </row>
    <row r="46" spans="3:4" ht="12.75">
      <c r="C46" s="567"/>
      <c r="D46" s="567"/>
    </row>
    <row r="47" spans="3:4" ht="12.75">
      <c r="C47" s="567"/>
      <c r="D47" s="567"/>
    </row>
    <row r="48" spans="3:4" ht="12.75">
      <c r="C48" s="567"/>
      <c r="D48" s="567"/>
    </row>
    <row r="49" spans="3:4" ht="12.75">
      <c r="C49" s="567"/>
      <c r="D49" s="567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9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7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7109375" style="222" customWidth="1"/>
    <col min="5" max="5" width="30.421875" style="133" customWidth="1"/>
    <col min="6" max="6" width="25.28125" style="133" customWidth="1"/>
    <col min="7" max="16384" width="11.421875" style="133" customWidth="1"/>
  </cols>
  <sheetData>
    <row r="1" ht="13.5" thickBot="1"/>
    <row r="2" spans="2:6" ht="36.75" customHeight="1" thickBot="1">
      <c r="B2" s="1592" t="s">
        <v>573</v>
      </c>
      <c r="C2" s="1593"/>
      <c r="D2" s="1593"/>
      <c r="E2" s="1593"/>
      <c r="F2" s="710">
        <v>2017</v>
      </c>
    </row>
    <row r="3" spans="2:6" ht="36" customHeight="1" thickBot="1">
      <c r="B3" s="1594" t="s">
        <v>1015</v>
      </c>
      <c r="C3" s="1595"/>
      <c r="D3" s="1595"/>
      <c r="E3" s="1595"/>
      <c r="F3" s="711" t="s">
        <v>548</v>
      </c>
    </row>
    <row r="4" spans="2:6" ht="57" customHeight="1" thickBot="1">
      <c r="B4" s="1590" t="s">
        <v>608</v>
      </c>
      <c r="C4" s="1591"/>
      <c r="D4" s="831" t="s">
        <v>549</v>
      </c>
      <c r="E4" s="1596" t="s">
        <v>584</v>
      </c>
      <c r="F4" s="1597"/>
    </row>
    <row r="5" spans="2:6" ht="19.5" customHeight="1">
      <c r="B5" s="712" t="s">
        <v>550</v>
      </c>
      <c r="C5" s="463"/>
      <c r="D5" s="957">
        <f>SUM(D6:D14)</f>
        <v>9479810.54</v>
      </c>
      <c r="E5" s="1588"/>
      <c r="F5" s="1589"/>
    </row>
    <row r="6" spans="2:6" ht="15" customHeight="1">
      <c r="B6" s="223"/>
      <c r="C6" s="713" t="s">
        <v>551</v>
      </c>
      <c r="D6" s="958">
        <f>CPYG!E7</f>
        <v>8255146.54</v>
      </c>
      <c r="E6" s="1585"/>
      <c r="F6" s="1520"/>
    </row>
    <row r="7" spans="2:6" ht="15" customHeight="1">
      <c r="B7" s="223"/>
      <c r="C7" s="713" t="s">
        <v>552</v>
      </c>
      <c r="D7" s="958">
        <f>CPYG!E11</f>
        <v>0</v>
      </c>
      <c r="E7" s="1585"/>
      <c r="F7" s="1520"/>
    </row>
    <row r="8" spans="2:6" ht="15" customHeight="1">
      <c r="B8" s="223"/>
      <c r="C8" s="713" t="s">
        <v>553</v>
      </c>
      <c r="D8" s="958">
        <f>CPYG!E18</f>
        <v>19715</v>
      </c>
      <c r="E8" s="1585"/>
      <c r="F8" s="1520"/>
    </row>
    <row r="9" spans="2:6" ht="15" customHeight="1">
      <c r="B9" s="223"/>
      <c r="C9" s="713" t="s">
        <v>554</v>
      </c>
      <c r="D9" s="958">
        <f>'Transf. y subv.'!F39</f>
        <v>703449</v>
      </c>
      <c r="E9" s="1585"/>
      <c r="F9" s="1520"/>
    </row>
    <row r="10" spans="2:6" ht="15" customHeight="1">
      <c r="B10" s="223"/>
      <c r="C10" s="713" t="s">
        <v>555</v>
      </c>
      <c r="D10" s="958">
        <f>CPYG!E70</f>
        <v>1500</v>
      </c>
      <c r="E10" s="1585"/>
      <c r="F10" s="1520"/>
    </row>
    <row r="11" spans="2:6" ht="15" customHeight="1">
      <c r="B11" s="223"/>
      <c r="C11" s="713" t="s">
        <v>556</v>
      </c>
      <c r="D11" s="958">
        <f>CPYG!E67</f>
        <v>0</v>
      </c>
      <c r="E11" s="1585"/>
      <c r="F11" s="1520"/>
    </row>
    <row r="12" spans="2:6" ht="15" customHeight="1">
      <c r="B12" s="223"/>
      <c r="C12" s="713" t="s">
        <v>676</v>
      </c>
      <c r="D12" s="958">
        <f>CPYG!E64</f>
        <v>0</v>
      </c>
      <c r="E12" s="1585"/>
      <c r="F12" s="1520"/>
    </row>
    <row r="13" spans="2:6" ht="15" customHeight="1">
      <c r="B13" s="223"/>
      <c r="C13" s="713" t="s">
        <v>557</v>
      </c>
      <c r="D13" s="958"/>
      <c r="E13" s="1585"/>
      <c r="F13" s="1520"/>
    </row>
    <row r="14" spans="2:6" ht="15" customHeight="1">
      <c r="B14" s="223"/>
      <c r="C14" s="713" t="s">
        <v>558</v>
      </c>
      <c r="D14" s="958">
        <f>'Transf. y subv.'!F15</f>
        <v>500000</v>
      </c>
      <c r="E14" s="1585"/>
      <c r="F14" s="1520"/>
    </row>
    <row r="15" spans="2:6" ht="3" customHeight="1">
      <c r="B15" s="223"/>
      <c r="C15" s="713"/>
      <c r="D15" s="958"/>
      <c r="E15" s="1585"/>
      <c r="F15" s="1520"/>
    </row>
    <row r="16" spans="2:6" ht="19.5" customHeight="1">
      <c r="B16" s="699" t="s">
        <v>559</v>
      </c>
      <c r="C16" s="713"/>
      <c r="D16" s="959">
        <f>SUM(D17:D28)</f>
        <v>-9668265.27</v>
      </c>
      <c r="E16" s="1585"/>
      <c r="F16" s="1520"/>
    </row>
    <row r="17" spans="2:6" ht="15" customHeight="1">
      <c r="B17" s="223"/>
      <c r="C17" s="713" t="s">
        <v>560</v>
      </c>
      <c r="D17" s="958">
        <f>CPYG!E12</f>
        <v>-4408415.38</v>
      </c>
      <c r="E17" s="1585"/>
      <c r="F17" s="1520"/>
    </row>
    <row r="18" spans="2:6" ht="15" customHeight="1">
      <c r="B18" s="223"/>
      <c r="C18" s="713" t="s">
        <v>561</v>
      </c>
      <c r="D18" s="958">
        <f>CPYG!E29</f>
        <v>-1678174.0299999998</v>
      </c>
      <c r="E18" s="1585"/>
      <c r="F18" s="1520"/>
    </row>
    <row r="19" spans="2:6" ht="15" customHeight="1">
      <c r="B19" s="223"/>
      <c r="C19" s="713" t="s">
        <v>562</v>
      </c>
      <c r="D19" s="958">
        <f>CPYG!E37</f>
        <v>-2856675.86</v>
      </c>
      <c r="E19" s="1585"/>
      <c r="F19" s="1520"/>
    </row>
    <row r="20" spans="2:6" ht="15" customHeight="1">
      <c r="B20" s="223"/>
      <c r="C20" s="713" t="s">
        <v>563</v>
      </c>
      <c r="D20" s="958">
        <f>CPYG!E74</f>
        <v>0</v>
      </c>
      <c r="E20" s="1585"/>
      <c r="F20" s="1520"/>
    </row>
    <row r="21" spans="2:6" ht="15" customHeight="1">
      <c r="B21" s="223"/>
      <c r="C21" s="713" t="s">
        <v>564</v>
      </c>
      <c r="D21" s="958">
        <f>CPYG!E90</f>
        <v>0</v>
      </c>
      <c r="E21" s="1585"/>
      <c r="F21" s="1520"/>
    </row>
    <row r="22" spans="2:6" ht="15" customHeight="1">
      <c r="B22" s="223"/>
      <c r="C22" s="713" t="s">
        <v>565</v>
      </c>
      <c r="D22" s="958"/>
      <c r="E22" s="1585"/>
      <c r="F22" s="1520"/>
    </row>
    <row r="23" spans="2:6" ht="15" customHeight="1">
      <c r="B23" s="223"/>
      <c r="C23" s="713" t="s">
        <v>566</v>
      </c>
      <c r="D23" s="958">
        <f>CPYG!E63</f>
        <v>0</v>
      </c>
      <c r="E23" s="1585"/>
      <c r="F23" s="1520"/>
    </row>
    <row r="24" spans="2:6" ht="15" customHeight="1">
      <c r="B24" s="223"/>
      <c r="C24" s="713" t="s">
        <v>567</v>
      </c>
      <c r="D24" s="958">
        <f>-'Inv. NO FIN'!D21</f>
        <v>-725000</v>
      </c>
      <c r="E24" s="1585"/>
      <c r="F24" s="1520"/>
    </row>
    <row r="25" spans="2:6" ht="15" customHeight="1">
      <c r="B25" s="223"/>
      <c r="C25" s="713" t="s">
        <v>572</v>
      </c>
      <c r="D25" s="958">
        <f>CPYG!E8</f>
        <v>0</v>
      </c>
      <c r="E25" s="1585"/>
      <c r="F25" s="1520"/>
    </row>
    <row r="26" spans="2:6" ht="15" customHeight="1">
      <c r="B26" s="223"/>
      <c r="C26" s="713" t="s">
        <v>568</v>
      </c>
      <c r="D26" s="958"/>
      <c r="E26" s="1585"/>
      <c r="F26" s="1520"/>
    </row>
    <row r="27" spans="2:6" ht="15" customHeight="1">
      <c r="B27" s="223"/>
      <c r="C27" s="713" t="s">
        <v>569</v>
      </c>
      <c r="D27" s="958"/>
      <c r="E27" s="1585"/>
      <c r="F27" s="1520"/>
    </row>
    <row r="28" spans="2:6" ht="15" customHeight="1">
      <c r="B28" s="714"/>
      <c r="C28" s="715" t="s">
        <v>570</v>
      </c>
      <c r="D28" s="960"/>
      <c r="E28" s="1586"/>
      <c r="F28" s="1587"/>
    </row>
    <row r="29" spans="2:6" ht="22.5" customHeight="1" thickBot="1">
      <c r="B29" s="1581" t="s">
        <v>571</v>
      </c>
      <c r="C29" s="1582"/>
      <c r="D29" s="1137">
        <f>D5+D16</f>
        <v>-188454.73000000045</v>
      </c>
      <c r="E29" s="1583"/>
      <c r="F29" s="1584"/>
    </row>
    <row r="30" ht="12.75">
      <c r="D30" s="723"/>
    </row>
    <row r="31" ht="12.75">
      <c r="D31" s="723"/>
    </row>
    <row r="32" ht="12.75">
      <c r="D32" s="723"/>
    </row>
    <row r="33" ht="12.75">
      <c r="D33" s="723"/>
    </row>
    <row r="34" ht="12.75">
      <c r="D34" s="723"/>
    </row>
    <row r="35" spans="3:4" ht="12.75">
      <c r="C35" s="966"/>
      <c r="D35" s="723"/>
    </row>
    <row r="36" ht="12.75">
      <c r="D36" s="723"/>
    </row>
    <row r="37" ht="12.75">
      <c r="D37" s="723"/>
    </row>
    <row r="38" ht="12.75">
      <c r="D38" s="723"/>
    </row>
    <row r="39" ht="12.75">
      <c r="D39" s="723"/>
    </row>
    <row r="40" ht="12.75">
      <c r="D40" s="723"/>
    </row>
    <row r="41" ht="12.75">
      <c r="D41" s="723"/>
    </row>
    <row r="42" ht="12.75">
      <c r="D42" s="723"/>
    </row>
    <row r="43" ht="12.75">
      <c r="D43" s="723"/>
    </row>
    <row r="44" ht="12.75">
      <c r="D44" s="723"/>
    </row>
    <row r="45" ht="12.75">
      <c r="D45" s="723"/>
    </row>
    <row r="46" ht="12.75">
      <c r="D46" s="723"/>
    </row>
    <row r="47" ht="12.75">
      <c r="D47" s="723"/>
    </row>
    <row r="48" ht="12.75">
      <c r="D48" s="723"/>
    </row>
    <row r="49" ht="12.75">
      <c r="D49" s="723"/>
    </row>
    <row r="50" ht="12.75">
      <c r="D50" s="723"/>
    </row>
    <row r="51" ht="12.75">
      <c r="D51" s="723"/>
    </row>
    <row r="52" ht="12.75">
      <c r="D52" s="723"/>
    </row>
    <row r="53" ht="12.75">
      <c r="D53" s="723"/>
    </row>
    <row r="54" ht="12.75">
      <c r="D54" s="723"/>
    </row>
    <row r="55" ht="12.75">
      <c r="D55" s="723"/>
    </row>
    <row r="56" ht="12.75">
      <c r="D56" s="723"/>
    </row>
    <row r="57" ht="12.75">
      <c r="D57" s="723"/>
    </row>
    <row r="58" ht="12.75">
      <c r="D58" s="723"/>
    </row>
    <row r="59" ht="12.75">
      <c r="D59" s="723"/>
    </row>
    <row r="60" ht="12.75">
      <c r="D60" s="723"/>
    </row>
    <row r="61" ht="12.75">
      <c r="D61" s="723"/>
    </row>
    <row r="62" ht="12.75">
      <c r="D62" s="723"/>
    </row>
    <row r="63" ht="12.75">
      <c r="D63" s="723"/>
    </row>
    <row r="64" ht="12.75">
      <c r="D64" s="723"/>
    </row>
    <row r="65" ht="12.75">
      <c r="D65" s="723"/>
    </row>
    <row r="66" ht="12.75">
      <c r="D66" s="723"/>
    </row>
    <row r="67" ht="12.75">
      <c r="D67" s="723"/>
    </row>
    <row r="68" ht="12.75">
      <c r="D68" s="723"/>
    </row>
    <row r="69" ht="12.75">
      <c r="D69" s="723"/>
    </row>
    <row r="70" ht="12.75">
      <c r="D70" s="723"/>
    </row>
    <row r="71" ht="12.75">
      <c r="D71" s="723"/>
    </row>
    <row r="72" ht="12.75">
      <c r="D72" s="723"/>
    </row>
    <row r="73" ht="12.75">
      <c r="D73" s="723"/>
    </row>
    <row r="74" ht="12.75">
      <c r="D74" s="723"/>
    </row>
    <row r="75" ht="12.75">
      <c r="D75" s="723"/>
    </row>
    <row r="76" ht="12.75">
      <c r="D76" s="723"/>
    </row>
    <row r="77" ht="12.75">
      <c r="D77" s="723"/>
    </row>
  </sheetData>
  <sheetProtection/>
  <mergeCells count="30">
    <mergeCell ref="E5:F5"/>
    <mergeCell ref="E6:F6"/>
    <mergeCell ref="E7:F7"/>
    <mergeCell ref="E8:F8"/>
    <mergeCell ref="B4:C4"/>
    <mergeCell ref="B2:E2"/>
    <mergeCell ref="B3:E3"/>
    <mergeCell ref="E4:F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5"/>
  <sheetViews>
    <sheetView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4.7109375" style="0" customWidth="1"/>
    <col min="8" max="8" width="22.421875" style="0" customWidth="1"/>
    <col min="9" max="9" width="15.28125" style="646" customWidth="1"/>
  </cols>
  <sheetData>
    <row r="1" ht="13.5" thickBot="1"/>
    <row r="2" spans="1:9" ht="51" customHeight="1">
      <c r="A2" s="647">
        <v>1</v>
      </c>
      <c r="B2" s="1170" t="s">
        <v>130</v>
      </c>
      <c r="C2" s="1171"/>
      <c r="D2" s="1171"/>
      <c r="E2" s="1171"/>
      <c r="F2" s="1171"/>
      <c r="G2" s="1171"/>
      <c r="H2" s="1171"/>
      <c r="I2" s="632">
        <f>'ORGANOS DE GOBIERNO'!I3</f>
        <v>2017</v>
      </c>
    </row>
    <row r="3" spans="2:9" ht="24" customHeight="1">
      <c r="B3" s="1167" t="str">
        <f>'ORGANOS DE GOBIERNO'!B4:I4</f>
        <v>ENTIDAD: ENTIDAD PÚBLICA EMPRESARIAL LOCAL BALSAS DE TENERIFE, BALTEN</v>
      </c>
      <c r="C3" s="1168"/>
      <c r="D3" s="1168"/>
      <c r="E3" s="1168"/>
      <c r="F3" s="1168"/>
      <c r="G3" s="1168"/>
      <c r="H3" s="1168"/>
      <c r="I3" s="1169"/>
    </row>
    <row r="4" spans="2:9" ht="12.75">
      <c r="B4" s="634"/>
      <c r="C4" s="635"/>
      <c r="D4" s="635"/>
      <c r="E4" s="635"/>
      <c r="F4" s="635"/>
      <c r="G4" s="635"/>
      <c r="H4" s="635"/>
      <c r="I4" s="648"/>
    </row>
    <row r="5" spans="2:11" ht="15.75">
      <c r="B5" s="637" t="s">
        <v>639</v>
      </c>
      <c r="C5" s="638"/>
      <c r="D5" s="638"/>
      <c r="E5" s="635"/>
      <c r="F5" s="635"/>
      <c r="G5" s="635"/>
      <c r="H5" s="635"/>
      <c r="I5" s="648"/>
      <c r="K5" s="956" t="s">
        <v>974</v>
      </c>
    </row>
    <row r="6" spans="2:9" ht="12.75">
      <c r="B6" s="634"/>
      <c r="C6" s="635"/>
      <c r="D6" s="635"/>
      <c r="E6" s="635"/>
      <c r="F6" s="635"/>
      <c r="G6" s="635"/>
      <c r="H6" s="635"/>
      <c r="I6" s="648"/>
    </row>
    <row r="7" spans="2:9" ht="12.75">
      <c r="B7" s="639" t="s">
        <v>640</v>
      </c>
      <c r="C7" s="638" t="s">
        <v>641</v>
      </c>
      <c r="D7" s="638"/>
      <c r="E7" s="635"/>
      <c r="F7" s="635"/>
      <c r="G7" s="635"/>
      <c r="H7" s="635"/>
      <c r="I7" s="649">
        <f>I9+I10+I11</f>
        <v>81834.6</v>
      </c>
    </row>
    <row r="8" spans="2:9" ht="12.75">
      <c r="B8" s="634"/>
      <c r="C8" s="635"/>
      <c r="D8" s="635"/>
      <c r="E8" s="635"/>
      <c r="F8" s="635"/>
      <c r="G8" s="635"/>
      <c r="H8" s="635"/>
      <c r="I8" s="648"/>
    </row>
    <row r="9" spans="2:9" ht="12.75">
      <c r="B9" s="634"/>
      <c r="C9" s="635" t="s">
        <v>642</v>
      </c>
      <c r="D9" s="635" t="s">
        <v>643</v>
      </c>
      <c r="E9" s="635"/>
      <c r="F9" s="635"/>
      <c r="G9" s="635"/>
      <c r="H9" s="635"/>
      <c r="I9" s="650">
        <f>'INF. ADIC. CPYG '!K7+'INF. ADIC. CPYG '!K10</f>
        <v>77000</v>
      </c>
    </row>
    <row r="10" spans="2:9" ht="12.75">
      <c r="B10" s="634"/>
      <c r="C10" s="635" t="s">
        <v>644</v>
      </c>
      <c r="D10" s="635" t="s">
        <v>645</v>
      </c>
      <c r="E10" s="635"/>
      <c r="F10" s="635"/>
      <c r="G10" s="635"/>
      <c r="H10" s="635"/>
      <c r="I10" s="650">
        <f>'INF. ADIC. CPYG '!K23+'INF. ADIC. CPYG '!K27</f>
        <v>4834.6</v>
      </c>
    </row>
    <row r="11" spans="2:9" ht="12.75">
      <c r="B11" s="634"/>
      <c r="C11" s="635" t="s">
        <v>646</v>
      </c>
      <c r="D11" s="635" t="s">
        <v>647</v>
      </c>
      <c r="E11" s="635"/>
      <c r="F11" s="635"/>
      <c r="G11" s="635"/>
      <c r="H11" s="635"/>
      <c r="I11" s="650"/>
    </row>
    <row r="12" spans="2:9" ht="7.5" customHeight="1">
      <c r="B12" s="634"/>
      <c r="C12" s="635"/>
      <c r="D12" s="635"/>
      <c r="E12" s="635"/>
      <c r="F12" s="635"/>
      <c r="G12" s="635"/>
      <c r="H12" s="635"/>
      <c r="I12" s="648"/>
    </row>
    <row r="13" spans="2:9" ht="12.75">
      <c r="B13" s="639" t="s">
        <v>648</v>
      </c>
      <c r="C13" s="638" t="s">
        <v>649</v>
      </c>
      <c r="D13" s="635"/>
      <c r="E13" s="635"/>
      <c r="F13" s="635"/>
      <c r="G13" s="635"/>
      <c r="H13" s="635"/>
      <c r="I13" s="649">
        <f>'INF. ADIC. CPYG '!K31+'INF. ADIC. CPYG '!K32</f>
        <v>8173311.94</v>
      </c>
    </row>
    <row r="14" spans="2:9" ht="12.75">
      <c r="B14" s="639" t="s">
        <v>650</v>
      </c>
      <c r="C14" s="638" t="s">
        <v>651</v>
      </c>
      <c r="D14" s="635"/>
      <c r="E14" s="635"/>
      <c r="F14" s="635"/>
      <c r="G14" s="635"/>
      <c r="H14" s="635"/>
      <c r="I14" s="649">
        <f>I16+I17+I18</f>
        <v>1965571.63</v>
      </c>
    </row>
    <row r="15" spans="2:9" ht="12.75">
      <c r="B15" s="634"/>
      <c r="C15" s="635"/>
      <c r="D15" s="635"/>
      <c r="E15" s="635"/>
      <c r="F15" s="635"/>
      <c r="G15" s="635"/>
      <c r="H15" s="635"/>
      <c r="I15" s="648"/>
    </row>
    <row r="16" spans="2:11" ht="12.75">
      <c r="B16" s="634"/>
      <c r="C16" s="635" t="s">
        <v>642</v>
      </c>
      <c r="D16" s="635" t="s">
        <v>652</v>
      </c>
      <c r="E16" s="635"/>
      <c r="F16" s="635"/>
      <c r="G16" s="635"/>
      <c r="H16" s="635"/>
      <c r="I16" s="650">
        <f>'Transf. y subv.'!F15+'Transf. y subv.'!F39+'Inversiones reales'!M7+'Inversiones reales'!M20+'Transf. y subv.'!F28</f>
        <v>1965571.63</v>
      </c>
      <c r="K16" t="s">
        <v>976</v>
      </c>
    </row>
    <row r="17" spans="2:9" ht="12.75">
      <c r="B17" s="634"/>
      <c r="C17" s="635" t="s">
        <v>644</v>
      </c>
      <c r="D17" s="635" t="s">
        <v>653</v>
      </c>
      <c r="E17" s="635"/>
      <c r="F17" s="635"/>
      <c r="G17" s="635"/>
      <c r="H17" s="635"/>
      <c r="I17" s="650"/>
    </row>
    <row r="18" spans="2:9" ht="12.75">
      <c r="B18" s="634"/>
      <c r="C18" s="635" t="s">
        <v>646</v>
      </c>
      <c r="D18" s="635" t="s">
        <v>654</v>
      </c>
      <c r="E18" s="635"/>
      <c r="F18" s="635"/>
      <c r="G18" s="635"/>
      <c r="H18" s="635"/>
      <c r="I18" s="650"/>
    </row>
    <row r="19" spans="2:9" ht="12.75">
      <c r="B19" s="634"/>
      <c r="C19" s="635"/>
      <c r="D19" s="635"/>
      <c r="E19" s="635"/>
      <c r="F19" s="635"/>
      <c r="G19" s="635"/>
      <c r="H19" s="635"/>
      <c r="I19" s="648"/>
    </row>
    <row r="20" spans="2:9" ht="12.75">
      <c r="B20" s="639" t="s">
        <v>655</v>
      </c>
      <c r="C20" s="638" t="s">
        <v>656</v>
      </c>
      <c r="D20" s="635"/>
      <c r="E20" s="635"/>
      <c r="F20" s="635"/>
      <c r="G20" s="635"/>
      <c r="H20" s="635"/>
      <c r="I20" s="649">
        <f>CPYG!E17+CPYG!E66</f>
        <v>80215</v>
      </c>
    </row>
    <row r="21" spans="2:9" ht="5.25" customHeight="1">
      <c r="B21" s="634"/>
      <c r="C21" s="635"/>
      <c r="D21" s="635"/>
      <c r="E21" s="635"/>
      <c r="F21" s="635"/>
      <c r="G21" s="635"/>
      <c r="H21" s="635"/>
      <c r="I21" s="648"/>
    </row>
    <row r="22" spans="2:9" ht="21" customHeight="1">
      <c r="B22" s="634"/>
      <c r="C22" s="635"/>
      <c r="D22" s="1172" t="s">
        <v>975</v>
      </c>
      <c r="E22" s="1172"/>
      <c r="F22" s="1172"/>
      <c r="G22" s="1172"/>
      <c r="H22" s="1172"/>
      <c r="I22" s="648"/>
    </row>
    <row r="23" spans="2:9" ht="12.75">
      <c r="B23" s="634"/>
      <c r="C23" s="635"/>
      <c r="D23" s="635"/>
      <c r="E23" s="635"/>
      <c r="F23" s="635"/>
      <c r="G23" s="635"/>
      <c r="H23" s="635"/>
      <c r="I23" s="648"/>
    </row>
    <row r="24" spans="2:9" ht="12.75">
      <c r="B24" s="639" t="s">
        <v>657</v>
      </c>
      <c r="C24" s="635"/>
      <c r="D24" s="635"/>
      <c r="E24" s="635"/>
      <c r="F24" s="635"/>
      <c r="G24" s="635"/>
      <c r="H24" s="635"/>
      <c r="I24" s="649">
        <f>I7+I13+I14+I20</f>
        <v>10300933.17</v>
      </c>
    </row>
    <row r="25" spans="2:9" ht="13.5" thickBot="1">
      <c r="B25" s="643"/>
      <c r="C25" s="644"/>
      <c r="D25" s="644"/>
      <c r="E25" s="644"/>
      <c r="F25" s="644"/>
      <c r="G25" s="644"/>
      <c r="H25" s="644"/>
      <c r="I25" s="651"/>
    </row>
  </sheetData>
  <sheetProtection/>
  <mergeCells count="3">
    <mergeCell ref="B2:H2"/>
    <mergeCell ref="D22:H22"/>
    <mergeCell ref="B3:I3"/>
  </mergeCells>
  <printOptions/>
  <pageMargins left="0.75" right="0.75" top="1" bottom="1" header="0" footer="0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6"/>
  <sheetViews>
    <sheetView zoomScale="70" zoomScaleNormal="70" zoomScalePageLayoutView="0" workbookViewId="0" topLeftCell="A4">
      <selection activeCell="E35" sqref="E35"/>
    </sheetView>
  </sheetViews>
  <sheetFormatPr defaultColWidth="11.421875" defaultRowHeight="12.75"/>
  <cols>
    <col min="1" max="1" width="7.7109375" style="133" customWidth="1"/>
    <col min="2" max="2" width="48.8515625" style="133" customWidth="1"/>
    <col min="3" max="3" width="16.140625" style="133" customWidth="1"/>
    <col min="4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421875" style="133" customWidth="1"/>
  </cols>
  <sheetData>
    <row r="2" ht="13.5" thickBot="1"/>
    <row r="3" spans="1:10" ht="33.75" customHeight="1">
      <c r="A3" s="654"/>
      <c r="B3" s="1175" t="s">
        <v>448</v>
      </c>
      <c r="C3" s="1176"/>
      <c r="D3" s="1176"/>
      <c r="E3" s="1176"/>
      <c r="F3" s="1176"/>
      <c r="G3" s="1176"/>
      <c r="H3" s="1176"/>
      <c r="I3" s="1177"/>
      <c r="J3" s="1178">
        <v>2017</v>
      </c>
    </row>
    <row r="4" spans="1:10" ht="22.5" customHeight="1" thickBot="1">
      <c r="A4" s="654"/>
      <c r="B4" s="1180" t="s">
        <v>342</v>
      </c>
      <c r="C4" s="1181"/>
      <c r="D4" s="1181"/>
      <c r="E4" s="1181"/>
      <c r="F4" s="1181"/>
      <c r="G4" s="1181"/>
      <c r="H4" s="1181"/>
      <c r="I4" s="1182"/>
      <c r="J4" s="1179"/>
    </row>
    <row r="5" spans="2:10" ht="30" customHeight="1">
      <c r="B5" s="1183" t="str">
        <f>'ORGANOS DE GOBIERNO'!B4:I4</f>
        <v>ENTIDAD: ENTIDAD PÚBLICA EMPRESARIAL LOCAL BALSAS DE TENERIFE, BALTEN</v>
      </c>
      <c r="C5" s="1184"/>
      <c r="D5" s="1184"/>
      <c r="E5" s="1184"/>
      <c r="F5" s="1184"/>
      <c r="G5" s="1184"/>
      <c r="H5" s="1184"/>
      <c r="I5" s="1184"/>
      <c r="J5" s="1185"/>
    </row>
    <row r="6" spans="2:10" ht="6" customHeight="1">
      <c r="B6" s="655"/>
      <c r="C6" s="656"/>
      <c r="D6" s="656"/>
      <c r="E6" s="656"/>
      <c r="F6" s="656"/>
      <c r="G6" s="158"/>
      <c r="H6" s="158"/>
      <c r="I6" s="158"/>
      <c r="J6" s="224"/>
    </row>
    <row r="7" spans="2:10" ht="18" customHeight="1">
      <c r="B7" s="657" t="s">
        <v>658</v>
      </c>
      <c r="C7" s="158"/>
      <c r="D7" s="158"/>
      <c r="E7" s="158"/>
      <c r="F7" s="158"/>
      <c r="G7" s="158"/>
      <c r="H7" s="158"/>
      <c r="I7" s="158"/>
      <c r="J7" s="224"/>
    </row>
    <row r="8" spans="2:10" ht="28.5" customHeight="1">
      <c r="B8" s="658"/>
      <c r="C8" s="659"/>
      <c r="D8" s="158"/>
      <c r="E8" s="158"/>
      <c r="F8" s="158"/>
      <c r="G8" s="1173" t="s">
        <v>449</v>
      </c>
      <c r="H8" s="1173"/>
      <c r="I8" s="1173"/>
      <c r="J8" s="1174"/>
    </row>
    <row r="9" spans="2:10" ht="46.5" customHeight="1" thickBot="1">
      <c r="B9" s="660" t="s">
        <v>659</v>
      </c>
      <c r="C9" s="661" t="s">
        <v>660</v>
      </c>
      <c r="D9" s="662" t="s">
        <v>450</v>
      </c>
      <c r="E9" s="662" t="s">
        <v>451</v>
      </c>
      <c r="F9" s="661" t="s">
        <v>457</v>
      </c>
      <c r="G9" s="661" t="s">
        <v>452</v>
      </c>
      <c r="H9" s="661" t="s">
        <v>453</v>
      </c>
      <c r="I9" s="661" t="s">
        <v>454</v>
      </c>
      <c r="J9" s="663" t="s">
        <v>455</v>
      </c>
    </row>
    <row r="10" spans="2:10" ht="15" customHeight="1">
      <c r="B10" s="738" t="s">
        <v>856</v>
      </c>
      <c r="C10" s="739">
        <v>1</v>
      </c>
      <c r="D10" s="665"/>
      <c r="E10" s="666"/>
      <c r="F10" s="667"/>
      <c r="G10" s="158"/>
      <c r="H10" s="158"/>
      <c r="I10" s="158"/>
      <c r="J10" s="224"/>
    </row>
    <row r="11" spans="2:10" ht="15" customHeight="1">
      <c r="B11" s="658"/>
      <c r="C11" s="664"/>
      <c r="D11" s="668"/>
      <c r="E11" s="669"/>
      <c r="F11" s="669"/>
      <c r="G11" s="158"/>
      <c r="H11" s="158"/>
      <c r="I11" s="158"/>
      <c r="J11" s="224"/>
    </row>
    <row r="12" spans="2:10" ht="15" customHeight="1">
      <c r="B12" s="658"/>
      <c r="C12" s="664"/>
      <c r="D12" s="668"/>
      <c r="E12" s="669"/>
      <c r="F12" s="669"/>
      <c r="G12" s="158"/>
      <c r="H12" s="158"/>
      <c r="I12" s="158"/>
      <c r="J12" s="224"/>
    </row>
    <row r="13" spans="2:10" ht="15" customHeight="1">
      <c r="B13" s="658"/>
      <c r="C13" s="631"/>
      <c r="D13" s="668"/>
      <c r="E13" s="669"/>
      <c r="F13" s="669"/>
      <c r="G13" s="158"/>
      <c r="H13" s="158"/>
      <c r="I13" s="158"/>
      <c r="J13" s="224"/>
    </row>
    <row r="14" spans="2:10" ht="15" customHeight="1">
      <c r="B14" s="658"/>
      <c r="C14" s="670"/>
      <c r="D14" s="668"/>
      <c r="E14" s="669"/>
      <c r="F14" s="669"/>
      <c r="G14" s="158"/>
      <c r="H14" s="158"/>
      <c r="I14" s="158"/>
      <c r="J14" s="224"/>
    </row>
    <row r="15" spans="2:10" ht="15" customHeight="1">
      <c r="B15" s="223"/>
      <c r="C15" s="631"/>
      <c r="D15" s="668"/>
      <c r="E15" s="669"/>
      <c r="F15" s="669"/>
      <c r="G15" s="158"/>
      <c r="H15" s="158"/>
      <c r="I15" s="158"/>
      <c r="J15" s="224"/>
    </row>
    <row r="16" spans="2:10" ht="15" customHeight="1">
      <c r="B16" s="657" t="s">
        <v>661</v>
      </c>
      <c r="C16" s="631"/>
      <c r="D16" s="158"/>
      <c r="E16" s="669"/>
      <c r="F16" s="669"/>
      <c r="G16" s="158"/>
      <c r="H16" s="158"/>
      <c r="I16" s="158"/>
      <c r="J16" s="224"/>
    </row>
    <row r="17" spans="2:10" ht="27.75" customHeight="1">
      <c r="B17" s="658"/>
      <c r="C17" s="670"/>
      <c r="D17" s="158"/>
      <c r="E17" s="158"/>
      <c r="F17" s="158"/>
      <c r="G17" s="1173" t="s">
        <v>449</v>
      </c>
      <c r="H17" s="1173"/>
      <c r="I17" s="1173"/>
      <c r="J17" s="1174"/>
    </row>
    <row r="18" spans="2:10" ht="36" customHeight="1" thickBot="1">
      <c r="B18" s="660" t="s">
        <v>662</v>
      </c>
      <c r="C18" s="661" t="s">
        <v>660</v>
      </c>
      <c r="D18" s="662" t="s">
        <v>450</v>
      </c>
      <c r="E18" s="662" t="s">
        <v>451</v>
      </c>
      <c r="F18" s="661" t="s">
        <v>456</v>
      </c>
      <c r="G18" s="661" t="s">
        <v>452</v>
      </c>
      <c r="H18" s="661" t="s">
        <v>453</v>
      </c>
      <c r="I18" s="661" t="s">
        <v>454</v>
      </c>
      <c r="J18" s="663" t="s">
        <v>455</v>
      </c>
    </row>
    <row r="19" spans="2:10" ht="15" customHeight="1">
      <c r="B19" s="738" t="s">
        <v>857</v>
      </c>
      <c r="C19" s="739">
        <v>1</v>
      </c>
      <c r="D19" s="740">
        <v>109</v>
      </c>
      <c r="E19" s="158"/>
      <c r="F19" s="158">
        <v>0</v>
      </c>
      <c r="G19" s="158"/>
      <c r="H19" s="158"/>
      <c r="I19" s="158"/>
      <c r="J19" s="224"/>
    </row>
    <row r="20" spans="2:10" ht="15" customHeight="1">
      <c r="B20" s="738" t="s">
        <v>858</v>
      </c>
      <c r="C20" s="739">
        <f>15/720</f>
        <v>0.020833333333333332</v>
      </c>
      <c r="D20" s="740">
        <v>15</v>
      </c>
      <c r="E20" s="158"/>
      <c r="F20" s="158">
        <v>0</v>
      </c>
      <c r="G20" s="158"/>
      <c r="H20" s="158"/>
      <c r="I20" s="158"/>
      <c r="J20" s="224"/>
    </row>
    <row r="21" spans="2:10" ht="15" customHeight="1">
      <c r="B21" s="738" t="s">
        <v>859</v>
      </c>
      <c r="C21" s="739">
        <f>80/400</f>
        <v>0.2</v>
      </c>
      <c r="D21" s="740">
        <v>80</v>
      </c>
      <c r="E21" s="158"/>
      <c r="F21" s="158">
        <v>0</v>
      </c>
      <c r="G21" s="158"/>
      <c r="H21" s="158"/>
      <c r="I21" s="158"/>
      <c r="J21" s="224"/>
    </row>
    <row r="22" spans="2:10" ht="15" customHeight="1">
      <c r="B22" s="658"/>
      <c r="C22" s="671"/>
      <c r="D22" s="158"/>
      <c r="E22" s="158"/>
      <c r="F22" s="158"/>
      <c r="G22" s="158"/>
      <c r="H22" s="158"/>
      <c r="I22" s="158"/>
      <c r="J22" s="224"/>
    </row>
    <row r="23" spans="2:10" ht="15" customHeight="1">
      <c r="B23" s="658"/>
      <c r="C23" s="659"/>
      <c r="D23" s="158"/>
      <c r="E23" s="158"/>
      <c r="F23" s="158"/>
      <c r="G23" s="158"/>
      <c r="H23" s="158"/>
      <c r="I23" s="158"/>
      <c r="J23" s="224"/>
    </row>
    <row r="24" spans="2:10" ht="15" customHeight="1">
      <c r="B24" s="658"/>
      <c r="C24" s="659"/>
      <c r="D24" s="158"/>
      <c r="E24" s="158"/>
      <c r="F24" s="158"/>
      <c r="G24" s="158"/>
      <c r="H24" s="158"/>
      <c r="I24" s="158"/>
      <c r="J24" s="224"/>
    </row>
    <row r="25" spans="2:10" ht="15" customHeight="1">
      <c r="B25" s="223"/>
      <c r="C25" s="158"/>
      <c r="D25" s="158"/>
      <c r="E25" s="158"/>
      <c r="F25" s="158"/>
      <c r="G25" s="158"/>
      <c r="H25" s="158"/>
      <c r="I25" s="158"/>
      <c r="J25" s="224"/>
    </row>
    <row r="26" spans="2:10" ht="15" customHeight="1">
      <c r="B26" s="658"/>
      <c r="C26" s="659"/>
      <c r="D26" s="158"/>
      <c r="E26" s="158"/>
      <c r="F26" s="158"/>
      <c r="G26" s="158"/>
      <c r="H26" s="158"/>
      <c r="I26" s="158"/>
      <c r="J26" s="224"/>
    </row>
    <row r="27" spans="2:10" ht="15" customHeight="1">
      <c r="B27" s="658"/>
      <c r="C27" s="659"/>
      <c r="D27" s="158"/>
      <c r="E27" s="158"/>
      <c r="F27" s="158"/>
      <c r="G27" s="158"/>
      <c r="H27" s="158"/>
      <c r="I27" s="158"/>
      <c r="J27" s="224"/>
    </row>
    <row r="28" spans="2:10" ht="15" customHeight="1">
      <c r="B28" s="657" t="s">
        <v>663</v>
      </c>
      <c r="C28" s="158"/>
      <c r="D28" s="158"/>
      <c r="E28" s="158"/>
      <c r="F28" s="158"/>
      <c r="G28" s="158"/>
      <c r="H28" s="158"/>
      <c r="I28" s="158"/>
      <c r="J28" s="224"/>
    </row>
    <row r="29" spans="2:10" ht="5.25" customHeight="1">
      <c r="B29" s="658"/>
      <c r="C29" s="659"/>
      <c r="D29" s="158"/>
      <c r="E29" s="158"/>
      <c r="F29" s="158"/>
      <c r="G29" s="158"/>
      <c r="H29" s="158"/>
      <c r="I29" s="158"/>
      <c r="J29" s="224"/>
    </row>
    <row r="30" spans="2:10" ht="29.25" customHeight="1" thickBot="1">
      <c r="B30" s="660" t="s">
        <v>664</v>
      </c>
      <c r="C30" s="672" t="s">
        <v>665</v>
      </c>
      <c r="D30" s="661" t="s">
        <v>666</v>
      </c>
      <c r="E30" s="294"/>
      <c r="F30" s="294"/>
      <c r="G30" s="294"/>
      <c r="H30" s="294"/>
      <c r="I30" s="294"/>
      <c r="J30" s="297"/>
    </row>
    <row r="31" spans="2:10" ht="9.75" customHeight="1">
      <c r="B31" s="673"/>
      <c r="C31" s="674"/>
      <c r="D31" s="653"/>
      <c r="E31" s="158"/>
      <c r="F31" s="158"/>
      <c r="G31" s="158"/>
      <c r="H31" s="158"/>
      <c r="I31" s="158"/>
      <c r="J31" s="224"/>
    </row>
    <row r="32" spans="2:10" ht="16.5" customHeight="1">
      <c r="B32" s="658" t="s">
        <v>860</v>
      </c>
      <c r="C32" s="158" t="s">
        <v>667</v>
      </c>
      <c r="D32" s="675"/>
      <c r="E32" s="158"/>
      <c r="F32" s="158"/>
      <c r="G32" s="158"/>
      <c r="H32" s="158"/>
      <c r="I32" s="158"/>
      <c r="J32" s="224"/>
    </row>
    <row r="33" spans="2:10" ht="15" customHeight="1">
      <c r="B33" s="658"/>
      <c r="C33" s="158" t="s">
        <v>668</v>
      </c>
      <c r="D33" s="675"/>
      <c r="E33" s="158"/>
      <c r="F33" s="158"/>
      <c r="G33" s="158"/>
      <c r="H33" s="158"/>
      <c r="I33" s="158"/>
      <c r="J33" s="224"/>
    </row>
    <row r="34" spans="2:10" ht="15" customHeight="1">
      <c r="B34" s="658" t="s">
        <v>861</v>
      </c>
      <c r="C34" s="158" t="s">
        <v>669</v>
      </c>
      <c r="D34" s="675"/>
      <c r="E34" s="158"/>
      <c r="F34" s="158"/>
      <c r="G34" s="158"/>
      <c r="H34" s="158"/>
      <c r="I34" s="158"/>
      <c r="J34" s="224"/>
    </row>
    <row r="35" spans="2:10" ht="15" customHeight="1">
      <c r="B35" s="658"/>
      <c r="C35" s="158" t="s">
        <v>670</v>
      </c>
      <c r="D35" s="676"/>
      <c r="E35" s="158"/>
      <c r="F35" s="158"/>
      <c r="G35" s="158"/>
      <c r="H35" s="158"/>
      <c r="I35" s="158"/>
      <c r="J35" s="224"/>
    </row>
    <row r="36" spans="2:10" ht="15" customHeight="1">
      <c r="B36" s="658"/>
      <c r="C36" s="158" t="s">
        <v>669</v>
      </c>
      <c r="D36" s="675"/>
      <c r="E36" s="158"/>
      <c r="F36" s="158"/>
      <c r="G36" s="158"/>
      <c r="H36" s="158"/>
      <c r="I36" s="158"/>
      <c r="J36" s="224"/>
    </row>
    <row r="37" spans="2:10" ht="15" customHeight="1">
      <c r="B37" s="658" t="s">
        <v>862</v>
      </c>
      <c r="C37" s="158" t="s">
        <v>671</v>
      </c>
      <c r="D37" s="675"/>
      <c r="E37" s="158"/>
      <c r="F37" s="158"/>
      <c r="G37" s="158"/>
      <c r="H37" s="158"/>
      <c r="I37" s="158"/>
      <c r="J37" s="224"/>
    </row>
    <row r="38" spans="2:10" ht="15" customHeight="1">
      <c r="B38" s="223"/>
      <c r="C38" s="158"/>
      <c r="D38" s="158"/>
      <c r="E38" s="158"/>
      <c r="F38" s="158"/>
      <c r="G38" s="158"/>
      <c r="H38" s="158"/>
      <c r="I38" s="158"/>
      <c r="J38" s="224"/>
    </row>
    <row r="39" spans="2:10" ht="20.25" customHeight="1">
      <c r="B39" s="657" t="s">
        <v>672</v>
      </c>
      <c r="C39" s="158"/>
      <c r="D39" s="158"/>
      <c r="E39" s="158"/>
      <c r="F39" s="158"/>
      <c r="G39" s="158"/>
      <c r="H39" s="158"/>
      <c r="I39" s="158"/>
      <c r="J39" s="224"/>
    </row>
    <row r="40" spans="2:10" ht="15" customHeight="1">
      <c r="B40" s="223"/>
      <c r="C40" s="158"/>
      <c r="D40" s="158"/>
      <c r="E40" s="158"/>
      <c r="F40" s="158"/>
      <c r="G40" s="158"/>
      <c r="H40" s="158"/>
      <c r="I40" s="158"/>
      <c r="J40" s="224"/>
    </row>
    <row r="41" spans="2:10" ht="15" customHeight="1">
      <c r="B41" s="673" t="s">
        <v>664</v>
      </c>
      <c r="C41" s="659"/>
      <c r="D41" s="158"/>
      <c r="E41" s="158"/>
      <c r="F41" s="158"/>
      <c r="G41" s="158"/>
      <c r="H41" s="158"/>
      <c r="I41" s="158"/>
      <c r="J41" s="224"/>
    </row>
    <row r="42" spans="2:10" ht="15" customHeight="1">
      <c r="B42" s="673"/>
      <c r="C42" s="659"/>
      <c r="D42" s="158"/>
      <c r="E42" s="158"/>
      <c r="F42" s="158"/>
      <c r="G42" s="158"/>
      <c r="H42" s="158"/>
      <c r="I42" s="158"/>
      <c r="J42" s="224"/>
    </row>
    <row r="43" spans="1:10" ht="15" customHeight="1">
      <c r="A43" s="673"/>
      <c r="B43" s="658" t="s">
        <v>863</v>
      </c>
      <c r="C43" s="659"/>
      <c r="D43" s="158"/>
      <c r="E43" s="158"/>
      <c r="F43" s="158"/>
      <c r="G43" s="158"/>
      <c r="H43" s="158"/>
      <c r="I43" s="158"/>
      <c r="J43" s="224"/>
    </row>
    <row r="44" spans="2:10" ht="15" customHeight="1" thickBot="1">
      <c r="B44" s="296"/>
      <c r="C44" s="294"/>
      <c r="D44" s="294"/>
      <c r="E44" s="294"/>
      <c r="F44" s="294"/>
      <c r="G44" s="294"/>
      <c r="H44" s="294"/>
      <c r="I44" s="294"/>
      <c r="J44" s="297"/>
    </row>
    <row r="45" spans="2:6" ht="13.5" customHeight="1">
      <c r="B45" s="158"/>
      <c r="C45" s="158"/>
      <c r="D45" s="158"/>
      <c r="E45" s="158"/>
      <c r="F45" s="158"/>
    </row>
    <row r="46" spans="2:6" ht="13.5" customHeight="1">
      <c r="B46" s="158"/>
      <c r="C46" s="158"/>
      <c r="D46" s="158"/>
      <c r="E46" s="158"/>
      <c r="F46" s="158"/>
    </row>
    <row r="47" ht="13.5" customHeight="1"/>
    <row r="48" ht="13.5" customHeight="1"/>
    <row r="49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2.421875" style="580" customWidth="1"/>
    <col min="6" max="6" width="13.7109375" style="575" customWidth="1"/>
    <col min="7" max="7" width="8.7109375" style="133" customWidth="1"/>
    <col min="8" max="16384" width="11.421875" style="133" customWidth="1"/>
  </cols>
  <sheetData>
    <row r="2" spans="2:5" ht="12.75">
      <c r="B2" s="1190" t="s">
        <v>673</v>
      </c>
      <c r="C2" s="1190"/>
      <c r="D2" s="1190"/>
      <c r="E2" s="578"/>
    </row>
    <row r="3" spans="2:5" ht="13.5" thickBot="1">
      <c r="B3" s="183"/>
      <c r="C3" s="183"/>
      <c r="D3" s="183"/>
      <c r="E3" s="578"/>
    </row>
    <row r="4" spans="2:5" ht="15.75" thickBot="1">
      <c r="B4" s="1191" t="str">
        <f>'ORGANOS DE GOBIERNO'!B4:I4</f>
        <v>ENTIDAD: ENTIDAD PÚBLICA EMPRESARIAL LOCAL BALSAS DE TENERIFE, BALTEN</v>
      </c>
      <c r="C4" s="1192"/>
      <c r="D4" s="1193"/>
      <c r="E4" s="579"/>
    </row>
    <row r="5" spans="2:3" ht="13.5" thickBot="1">
      <c r="B5" s="184"/>
      <c r="C5" s="184"/>
    </row>
    <row r="6" spans="2:5" ht="15.75" thickBot="1">
      <c r="B6" s="1194" t="s">
        <v>425</v>
      </c>
      <c r="C6" s="1195"/>
      <c r="D6" s="1196"/>
      <c r="E6" s="579"/>
    </row>
    <row r="7" spans="2:3" ht="13.5" thickBot="1">
      <c r="B7" s="184"/>
      <c r="C7" s="184"/>
    </row>
    <row r="8" spans="2:5" ht="13.5" customHeight="1">
      <c r="B8" s="1197" t="s">
        <v>694</v>
      </c>
      <c r="C8" s="1198"/>
      <c r="D8" s="1186"/>
      <c r="E8" s="581"/>
    </row>
    <row r="9" spans="2:5" ht="12.75" customHeight="1">
      <c r="B9" s="1206"/>
      <c r="C9" s="1207"/>
      <c r="D9" s="1201"/>
      <c r="E9" s="582"/>
    </row>
    <row r="10" spans="2:5" ht="12.75">
      <c r="B10" s="135"/>
      <c r="C10" s="136"/>
      <c r="D10" s="137"/>
      <c r="E10" s="583"/>
    </row>
    <row r="11" spans="2:8" ht="12.75">
      <c r="B11" s="138" t="s">
        <v>696</v>
      </c>
      <c r="C11" s="139" t="s">
        <v>782</v>
      </c>
      <c r="D11" s="140">
        <v>0</v>
      </c>
      <c r="E11" s="584"/>
      <c r="F11" s="576">
        <f>+D11-'PRESUPUESTO CPYG'!D11</f>
        <v>0</v>
      </c>
      <c r="H11" s="576"/>
    </row>
    <row r="12" spans="2:8" ht="12.75">
      <c r="B12" s="138" t="s">
        <v>697</v>
      </c>
      <c r="C12" s="139" t="s">
        <v>783</v>
      </c>
      <c r="D12" s="140">
        <v>0</v>
      </c>
      <c r="E12" s="584"/>
      <c r="F12" s="576">
        <f>+D12-'PRESUPUESTO CPYG'!D12</f>
        <v>0</v>
      </c>
      <c r="H12" s="576"/>
    </row>
    <row r="13" spans="2:8" ht="12.75">
      <c r="B13" s="138" t="s">
        <v>698</v>
      </c>
      <c r="C13" s="139" t="s">
        <v>784</v>
      </c>
      <c r="D13" s="140">
        <f>'PRESUPUESTO CPYG'!D13</f>
        <v>8274861.54</v>
      </c>
      <c r="E13" s="584"/>
      <c r="F13" s="576">
        <f>+D13-'PRESUPUESTO CPYG'!D13</f>
        <v>0</v>
      </c>
      <c r="H13" s="576"/>
    </row>
    <row r="14" spans="2:8" ht="12.75">
      <c r="B14" s="138" t="s">
        <v>699</v>
      </c>
      <c r="C14" s="139" t="s">
        <v>785</v>
      </c>
      <c r="D14" s="140">
        <f>'PRESUPUESTO CPYG'!D14+'Transf. y subv.'!F39</f>
        <v>762449</v>
      </c>
      <c r="E14" s="584"/>
      <c r="F14" s="576">
        <f>+D14-'PRESUPUESTO CPYG'!D14</f>
        <v>703449</v>
      </c>
      <c r="H14" s="576"/>
    </row>
    <row r="15" spans="2:8" ht="12.75">
      <c r="B15" s="138" t="s">
        <v>700</v>
      </c>
      <c r="C15" s="139" t="s">
        <v>786</v>
      </c>
      <c r="D15" s="140">
        <f>'PRESUPUESTO CPYG'!D15</f>
        <v>1500</v>
      </c>
      <c r="E15" s="584"/>
      <c r="F15" s="576">
        <f>+D15-'PRESUPUESTO CPYG'!D15</f>
        <v>0</v>
      </c>
      <c r="H15" s="576"/>
    </row>
    <row r="16" spans="2:5" ht="12.75">
      <c r="B16" s="141"/>
      <c r="C16" s="142"/>
      <c r="D16" s="143"/>
      <c r="E16" s="585"/>
    </row>
    <row r="17" spans="2:5" ht="12.75">
      <c r="B17" s="144" t="s">
        <v>701</v>
      </c>
      <c r="C17" s="145"/>
      <c r="D17" s="146">
        <f>SUM(D11:D15)</f>
        <v>9038810.54</v>
      </c>
      <c r="E17" s="586"/>
    </row>
    <row r="18" spans="2:5" ht="12.75">
      <c r="B18" s="147"/>
      <c r="C18" s="148"/>
      <c r="D18" s="149"/>
      <c r="E18" s="585"/>
    </row>
    <row r="19" spans="2:5" ht="12.75">
      <c r="B19" s="141"/>
      <c r="C19" s="142"/>
      <c r="D19" s="143"/>
      <c r="E19" s="585"/>
    </row>
    <row r="20" spans="2:5" ht="12.75">
      <c r="B20" s="138" t="s">
        <v>702</v>
      </c>
      <c r="C20" s="139" t="s">
        <v>787</v>
      </c>
      <c r="D20" s="143">
        <f>-'Inv. NO FIN'!I21</f>
        <v>0</v>
      </c>
      <c r="E20" s="585"/>
    </row>
    <row r="21" spans="2:5" ht="12.75">
      <c r="B21" s="138" t="s">
        <v>703</v>
      </c>
      <c r="C21" s="139" t="s">
        <v>788</v>
      </c>
      <c r="D21" s="143">
        <f>'Transf. y subv.'!F15</f>
        <v>500000</v>
      </c>
      <c r="E21" s="585"/>
    </row>
    <row r="22" spans="2:5" ht="12.75">
      <c r="B22" s="141"/>
      <c r="C22" s="142"/>
      <c r="D22" s="143"/>
      <c r="E22" s="585"/>
    </row>
    <row r="23" spans="2:5" ht="12.75">
      <c r="B23" s="144" t="s">
        <v>704</v>
      </c>
      <c r="C23" s="145"/>
      <c r="D23" s="146">
        <f>SUM(D20:D21)</f>
        <v>500000</v>
      </c>
      <c r="E23" s="586"/>
    </row>
    <row r="24" spans="2:5" ht="12.75">
      <c r="B24" s="147"/>
      <c r="C24" s="148"/>
      <c r="D24" s="149"/>
      <c r="E24" s="585"/>
    </row>
    <row r="25" spans="2:5" ht="12.75">
      <c r="B25" s="141"/>
      <c r="C25" s="142"/>
      <c r="D25" s="143"/>
      <c r="E25" s="585"/>
    </row>
    <row r="26" spans="2:5" ht="12.75">
      <c r="B26" s="138" t="s">
        <v>705</v>
      </c>
      <c r="C26" s="139" t="s">
        <v>789</v>
      </c>
      <c r="D26" s="140">
        <f>-'Inv. FIN'!H14-'Inv. FIN'!H21-'Inv. FIN'!H33-'Inv. FIN'!H40</f>
        <v>9462</v>
      </c>
      <c r="E26" s="584"/>
    </row>
    <row r="27" spans="2:5" ht="12.75">
      <c r="B27" s="138" t="s">
        <v>706</v>
      </c>
      <c r="C27" s="139" t="s">
        <v>790</v>
      </c>
      <c r="D27" s="140">
        <f>'Deuda L.P.'!L24</f>
        <v>0</v>
      </c>
      <c r="E27" s="584"/>
    </row>
    <row r="28" spans="2:5" ht="12.75">
      <c r="B28" s="141"/>
      <c r="C28" s="142"/>
      <c r="D28" s="143"/>
      <c r="E28" s="585"/>
    </row>
    <row r="29" spans="2:5" ht="12.75">
      <c r="B29" s="144" t="s">
        <v>707</v>
      </c>
      <c r="C29" s="145"/>
      <c r="D29" s="150">
        <f>SUM(D26:D27)</f>
        <v>9462</v>
      </c>
      <c r="E29" s="587"/>
    </row>
    <row r="30" spans="2:5" ht="12.75">
      <c r="B30" s="151"/>
      <c r="C30" s="152"/>
      <c r="D30" s="153"/>
      <c r="E30" s="588"/>
    </row>
    <row r="31" spans="2:5" ht="12.75">
      <c r="B31" s="315"/>
      <c r="C31" s="188"/>
      <c r="D31" s="316"/>
      <c r="E31" s="583"/>
    </row>
    <row r="32" spans="2:5" ht="12.75">
      <c r="B32" s="154"/>
      <c r="C32" s="156" t="s">
        <v>708</v>
      </c>
      <c r="D32" s="157">
        <f>D17+D23+D29</f>
        <v>9548272.54</v>
      </c>
      <c r="E32" s="587"/>
    </row>
    <row r="33" spans="2:5" ht="13.5" thickBot="1">
      <c r="B33" s="164"/>
      <c r="C33" s="203"/>
      <c r="D33" s="166"/>
      <c r="E33" s="583"/>
    </row>
    <row r="34" spans="3:5" ht="12.75">
      <c r="C34" s="158"/>
      <c r="D34" s="133"/>
      <c r="E34" s="222"/>
    </row>
    <row r="36" ht="13.5" thickBot="1"/>
    <row r="37" spans="2:5" ht="13.5" customHeight="1">
      <c r="B37" s="1197" t="s">
        <v>694</v>
      </c>
      <c r="C37" s="1204"/>
      <c r="D37" s="1202"/>
      <c r="E37" s="589"/>
    </row>
    <row r="38" spans="2:5" ht="12.75" customHeight="1" thickBot="1">
      <c r="B38" s="1199"/>
      <c r="C38" s="1205"/>
      <c r="D38" s="1203"/>
      <c r="E38" s="590"/>
    </row>
    <row r="39" spans="2:8" ht="12.75">
      <c r="B39" s="151"/>
      <c r="C39" s="159"/>
      <c r="D39" s="153"/>
      <c r="E39" s="588"/>
      <c r="H39" s="158"/>
    </row>
    <row r="40" spans="2:8" ht="12.75">
      <c r="B40" s="138" t="s">
        <v>696</v>
      </c>
      <c r="C40" s="210" t="s">
        <v>710</v>
      </c>
      <c r="D40" s="168">
        <f>'PRESUPUESTO CPYG'!D45</f>
        <v>1678174.0299999998</v>
      </c>
      <c r="E40" s="574"/>
      <c r="F40" s="1058">
        <f>+D40-'PRESUPUESTO CPYG'!D45</f>
        <v>0</v>
      </c>
      <c r="H40" s="576"/>
    </row>
    <row r="41" spans="2:8" ht="12.75">
      <c r="B41" s="138" t="s">
        <v>697</v>
      </c>
      <c r="C41" s="210" t="s">
        <v>711</v>
      </c>
      <c r="D41" s="168">
        <f>'PRESUPUESTO CPYG'!D46</f>
        <v>7265091.24</v>
      </c>
      <c r="E41" s="574"/>
      <c r="F41" s="1058">
        <f>+D41-'PRESUPUESTO CPYG'!D46</f>
        <v>0</v>
      </c>
      <c r="H41" s="576"/>
    </row>
    <row r="42" spans="2:8" ht="12.75">
      <c r="B42" s="138" t="s">
        <v>698</v>
      </c>
      <c r="C42" s="210" t="s">
        <v>136</v>
      </c>
      <c r="D42" s="168">
        <f>'PRESUPUESTO CPYG'!D47</f>
        <v>0</v>
      </c>
      <c r="E42" s="574"/>
      <c r="F42" s="1058">
        <f>+D42-'PRESUPUESTO CPYG'!D47</f>
        <v>0</v>
      </c>
      <c r="H42" s="576"/>
    </row>
    <row r="43" spans="2:8" ht="12.75">
      <c r="B43" s="138" t="s">
        <v>699</v>
      </c>
      <c r="C43" s="210" t="s">
        <v>712</v>
      </c>
      <c r="D43" s="451">
        <f>'PRESUPUESTO CPYG'!D48</f>
        <v>0</v>
      </c>
      <c r="E43" s="574"/>
      <c r="F43" s="1058">
        <f>+D43-'PRESUPUESTO CPYG'!D48</f>
        <v>0</v>
      </c>
      <c r="H43" s="576"/>
    </row>
    <row r="44" spans="2:8" ht="12.75">
      <c r="B44" s="151"/>
      <c r="C44" s="159"/>
      <c r="D44" s="168"/>
      <c r="E44" s="574"/>
      <c r="H44" s="576"/>
    </row>
    <row r="45" spans="2:5" ht="12.75">
      <c r="B45" s="144" t="s">
        <v>713</v>
      </c>
      <c r="C45" s="211"/>
      <c r="D45" s="150">
        <f>SUM(D40:D43)</f>
        <v>8943265.27</v>
      </c>
      <c r="E45" s="587"/>
    </row>
    <row r="46" spans="2:5" ht="12.75">
      <c r="B46" s="147"/>
      <c r="C46" s="212"/>
      <c r="D46" s="170"/>
      <c r="E46" s="588"/>
    </row>
    <row r="47" spans="2:5" ht="12.75">
      <c r="B47" s="151"/>
      <c r="C47" s="159"/>
      <c r="D47" s="153"/>
      <c r="E47" s="588"/>
    </row>
    <row r="48" spans="2:5" ht="12.75">
      <c r="B48" s="138" t="s">
        <v>702</v>
      </c>
      <c r="C48" s="210" t="s">
        <v>715</v>
      </c>
      <c r="D48" s="168">
        <f>'Inv. NO FIN'!D21+'Inv. NO FIN'!F21</f>
        <v>725000</v>
      </c>
      <c r="E48" s="574"/>
    </row>
    <row r="49" spans="2:5" ht="12.75">
      <c r="B49" s="138" t="s">
        <v>703</v>
      </c>
      <c r="C49" s="210" t="s">
        <v>716</v>
      </c>
      <c r="D49" s="168">
        <v>0</v>
      </c>
      <c r="E49" s="574"/>
    </row>
    <row r="50" spans="2:5" ht="12.75">
      <c r="B50" s="151"/>
      <c r="C50" s="159"/>
      <c r="D50" s="153"/>
      <c r="E50" s="588"/>
    </row>
    <row r="51" spans="2:5" ht="12.75">
      <c r="B51" s="144" t="s">
        <v>717</v>
      </c>
      <c r="C51" s="211"/>
      <c r="D51" s="150">
        <f>SUM(D48:D49)</f>
        <v>725000</v>
      </c>
      <c r="E51" s="587"/>
    </row>
    <row r="52" spans="2:5" ht="12.75">
      <c r="B52" s="147"/>
      <c r="C52" s="212"/>
      <c r="D52" s="170"/>
      <c r="E52" s="588"/>
    </row>
    <row r="53" spans="2:5" ht="12.75">
      <c r="B53" s="151"/>
      <c r="C53" s="159"/>
      <c r="D53" s="153"/>
      <c r="E53" s="588"/>
    </row>
    <row r="54" spans="2:5" ht="12.75">
      <c r="B54" s="138" t="s">
        <v>705</v>
      </c>
      <c r="C54" s="210" t="s">
        <v>719</v>
      </c>
      <c r="D54" s="168">
        <f>'Inv. FIN'!F14+'Inv. FIN'!F21+'Inv. FIN'!F33+'Inv. FIN'!F40</f>
        <v>9462</v>
      </c>
      <c r="E54" s="574"/>
    </row>
    <row r="55" spans="2:5" ht="12.75">
      <c r="B55" s="138" t="s">
        <v>706</v>
      </c>
      <c r="C55" s="210" t="s">
        <v>720</v>
      </c>
      <c r="D55" s="168">
        <f>'Deuda L.P.'!M24</f>
        <v>0</v>
      </c>
      <c r="E55" s="574"/>
    </row>
    <row r="56" spans="2:5" ht="12.75">
      <c r="B56" s="151"/>
      <c r="C56" s="159"/>
      <c r="D56" s="153"/>
      <c r="E56" s="588"/>
    </row>
    <row r="57" spans="2:5" ht="12.75">
      <c r="B57" s="144" t="s">
        <v>721</v>
      </c>
      <c r="C57" s="211"/>
      <c r="D57" s="150">
        <f>SUM(D54:D55)</f>
        <v>9462</v>
      </c>
      <c r="E57" s="587"/>
    </row>
    <row r="58" spans="2:5" ht="13.5" thickBot="1">
      <c r="B58" s="171"/>
      <c r="C58" s="213"/>
      <c r="D58" s="173"/>
      <c r="E58" s="587"/>
    </row>
    <row r="59" spans="2:5" ht="13.5" thickTop="1">
      <c r="B59" s="161"/>
      <c r="C59" s="204"/>
      <c r="D59" s="163"/>
      <c r="E59" s="583"/>
    </row>
    <row r="60" spans="2:5" ht="12.75">
      <c r="B60" s="154"/>
      <c r="C60" s="205" t="s">
        <v>191</v>
      </c>
      <c r="D60" s="157">
        <f>D45+D51+D57</f>
        <v>9677727.27</v>
      </c>
      <c r="E60" s="587"/>
    </row>
    <row r="61" spans="2:5" ht="13.5" thickBot="1">
      <c r="B61" s="164"/>
      <c r="C61" s="165"/>
      <c r="D61" s="166"/>
      <c r="E61" s="583"/>
    </row>
    <row r="62" spans="3:5" ht="12.75">
      <c r="C62" s="174"/>
      <c r="D62" s="133"/>
      <c r="E62" s="222"/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55">
      <selection activeCell="C11" sqref="C11"/>
    </sheetView>
  </sheetViews>
  <sheetFormatPr defaultColWidth="11.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6" width="11.7109375" style="133" bestFit="1" customWidth="1"/>
    <col min="7" max="16384" width="11.421875" style="133" customWidth="1"/>
  </cols>
  <sheetData>
    <row r="1" ht="19.5" customHeight="1"/>
    <row r="2" spans="2:6" ht="12.75">
      <c r="B2" s="1190" t="s">
        <v>498</v>
      </c>
      <c r="C2" s="1190"/>
      <c r="D2" s="1190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3.5" thickBot="1">
      <c r="B4" s="1191" t="str">
        <f>'ORGANOS DE GOBIERNO'!B4:I4</f>
        <v>ENTIDAD: ENTIDAD PÚBLICA EMPRESARIAL LOCAL BALSAS DE TENERIFE, BALTEN</v>
      </c>
      <c r="C4" s="1192"/>
      <c r="D4" s="1193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1194" t="s">
        <v>425</v>
      </c>
      <c r="C6" s="1195"/>
      <c r="D6" s="1196"/>
    </row>
    <row r="7" ht="15" customHeight="1" thickBot="1"/>
    <row r="8" spans="2:4" ht="12.75">
      <c r="B8" s="1197" t="s">
        <v>694</v>
      </c>
      <c r="C8" s="1198"/>
      <c r="D8" s="1208"/>
    </row>
    <row r="9" spans="2:4" ht="13.5" customHeight="1" thickBot="1">
      <c r="B9" s="1199"/>
      <c r="C9" s="1200"/>
      <c r="D9" s="1209"/>
    </row>
    <row r="10" spans="2:4" ht="12.75" customHeight="1">
      <c r="B10" s="151"/>
      <c r="C10" s="152"/>
      <c r="D10" s="160"/>
    </row>
    <row r="11" spans="2:7" ht="12.75">
      <c r="B11" s="138" t="s">
        <v>696</v>
      </c>
      <c r="C11" s="139" t="s">
        <v>782</v>
      </c>
      <c r="D11" s="452">
        <v>0</v>
      </c>
      <c r="F11" s="169"/>
      <c r="G11" s="169"/>
    </row>
    <row r="12" spans="2:7" ht="12.75">
      <c r="B12" s="138" t="s">
        <v>697</v>
      </c>
      <c r="C12" s="139" t="s">
        <v>783</v>
      </c>
      <c r="D12" s="452">
        <v>0</v>
      </c>
      <c r="F12" s="169"/>
      <c r="G12" s="169"/>
    </row>
    <row r="13" spans="2:7" ht="12.75">
      <c r="B13" s="138" t="s">
        <v>698</v>
      </c>
      <c r="C13" s="139" t="s">
        <v>784</v>
      </c>
      <c r="D13" s="452">
        <f>CPYG!E7+CPYG!E21+CPYG!E19</f>
        <v>8274861.54</v>
      </c>
      <c r="F13" s="169"/>
      <c r="G13" s="169"/>
    </row>
    <row r="14" spans="2:7" ht="12.75">
      <c r="B14" s="138" t="s">
        <v>699</v>
      </c>
      <c r="C14" s="139" t="s">
        <v>785</v>
      </c>
      <c r="D14" s="452">
        <f>CPYG!E22</f>
        <v>59000</v>
      </c>
      <c r="F14" s="169"/>
      <c r="G14" s="169"/>
    </row>
    <row r="15" spans="2:7" ht="12.75">
      <c r="B15" s="138" t="s">
        <v>700</v>
      </c>
      <c r="C15" s="139" t="s">
        <v>786</v>
      </c>
      <c r="D15" s="452">
        <f>CPYG!E20+CPYG!E67+CPYG!E70+CPYG!E86</f>
        <v>1500</v>
      </c>
      <c r="F15" s="169"/>
      <c r="G15" s="169"/>
    </row>
    <row r="16" spans="2:7" ht="12.75">
      <c r="B16" s="141"/>
      <c r="C16" s="142"/>
      <c r="D16" s="453"/>
      <c r="F16" s="169"/>
      <c r="G16" s="169"/>
    </row>
    <row r="17" spans="2:6" ht="12.75">
      <c r="B17" s="144" t="s">
        <v>701</v>
      </c>
      <c r="C17" s="145"/>
      <c r="D17" s="454">
        <f>SUM(D11:D15)</f>
        <v>8335361.54</v>
      </c>
      <c r="F17" s="169"/>
    </row>
    <row r="18" spans="2:4" ht="12.75">
      <c r="B18" s="147"/>
      <c r="C18" s="148"/>
      <c r="D18" s="455"/>
    </row>
    <row r="19" spans="2:4" ht="12.75">
      <c r="B19" s="141"/>
      <c r="C19" s="142"/>
      <c r="D19" s="453"/>
    </row>
    <row r="20" spans="2:4" ht="12.75">
      <c r="B20" s="138" t="s">
        <v>702</v>
      </c>
      <c r="C20" s="139" t="s">
        <v>787</v>
      </c>
      <c r="D20" s="453"/>
    </row>
    <row r="21" spans="2:4" ht="12.75">
      <c r="B21" s="138" t="s">
        <v>703</v>
      </c>
      <c r="C21" s="139" t="s">
        <v>788</v>
      </c>
      <c r="D21" s="453"/>
    </row>
    <row r="22" spans="2:4" ht="12.75">
      <c r="B22" s="141"/>
      <c r="C22" s="142"/>
      <c r="D22" s="453"/>
    </row>
    <row r="23" spans="2:4" ht="12.75">
      <c r="B23" s="144" t="s">
        <v>704</v>
      </c>
      <c r="C23" s="145"/>
      <c r="D23" s="454">
        <f>+D20+D21</f>
        <v>0</v>
      </c>
    </row>
    <row r="24" spans="2:4" ht="12.75">
      <c r="B24" s="147"/>
      <c r="C24" s="148"/>
      <c r="D24" s="455"/>
    </row>
    <row r="25" spans="2:4" ht="12.75">
      <c r="B25" s="141"/>
      <c r="C25" s="142"/>
      <c r="D25" s="453"/>
    </row>
    <row r="26" spans="2:4" ht="12.75">
      <c r="B26" s="138" t="s">
        <v>705</v>
      </c>
      <c r="C26" s="139" t="s">
        <v>789</v>
      </c>
      <c r="D26" s="452"/>
    </row>
    <row r="27" spans="2:4" ht="12.75">
      <c r="B27" s="138" t="s">
        <v>706</v>
      </c>
      <c r="C27" s="139" t="s">
        <v>790</v>
      </c>
      <c r="D27" s="452"/>
    </row>
    <row r="28" spans="2:4" ht="12.75">
      <c r="B28" s="141"/>
      <c r="C28" s="142"/>
      <c r="D28" s="453"/>
    </row>
    <row r="29" spans="2:4" ht="13.5" thickBot="1">
      <c r="B29" s="209" t="s">
        <v>707</v>
      </c>
      <c r="C29" s="457"/>
      <c r="D29" s="456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8"/>
    </row>
    <row r="32" spans="2:4" ht="12.75">
      <c r="B32" s="154"/>
      <c r="C32" s="156" t="s">
        <v>708</v>
      </c>
      <c r="D32" s="459">
        <f>+D29+D23+D17</f>
        <v>8335361.54</v>
      </c>
    </row>
    <row r="33" spans="2:4" ht="13.5" thickBot="1">
      <c r="B33" s="164"/>
      <c r="C33" s="203"/>
      <c r="D33" s="460"/>
    </row>
    <row r="34" spans="2:4" ht="12.75">
      <c r="B34" s="206"/>
      <c r="C34" s="463"/>
      <c r="D34" s="461"/>
    </row>
    <row r="35" spans="2:4" ht="12.75">
      <c r="B35" s="200"/>
      <c r="C35" s="201" t="s">
        <v>709</v>
      </c>
      <c r="D35" s="160">
        <f>CPYG!E9+CPYG!E11+CPYG!E53+CPYG!E47+CPYG!E46+CPYG!E78+CPYG!E57+CPYG!E73</f>
        <v>2497834.72</v>
      </c>
    </row>
    <row r="36" spans="2:4" ht="13.5" thickBot="1">
      <c r="B36" s="208"/>
      <c r="C36" s="464"/>
      <c r="D36" s="462"/>
    </row>
    <row r="37" spans="2:4" ht="12.75">
      <c r="B37" s="161"/>
      <c r="C37" s="162"/>
      <c r="D37" s="458"/>
    </row>
    <row r="38" spans="2:4" ht="12.75">
      <c r="B38" s="1206" t="s">
        <v>426</v>
      </c>
      <c r="C38" s="1207"/>
      <c r="D38" s="459">
        <f>D32+D35</f>
        <v>10833196.26</v>
      </c>
    </row>
    <row r="39" spans="2:4" ht="13.5" thickBot="1">
      <c r="B39" s="164"/>
      <c r="C39" s="203"/>
      <c r="D39" s="460"/>
    </row>
    <row r="41" ht="13.5" thickBot="1"/>
    <row r="42" spans="2:4" ht="12.75">
      <c r="B42" s="1197" t="s">
        <v>694</v>
      </c>
      <c r="C42" s="1198"/>
      <c r="D42" s="1210"/>
    </row>
    <row r="43" spans="2:4" ht="13.5" customHeight="1" thickBot="1">
      <c r="B43" s="1199"/>
      <c r="C43" s="1200"/>
      <c r="D43" s="1211"/>
    </row>
    <row r="44" spans="2:4" ht="12.75" customHeight="1">
      <c r="B44" s="151"/>
      <c r="C44" s="152"/>
      <c r="D44" s="465"/>
    </row>
    <row r="45" spans="2:4" ht="12.75">
      <c r="B45" s="138" t="s">
        <v>696</v>
      </c>
      <c r="C45" s="167" t="s">
        <v>710</v>
      </c>
      <c r="D45" s="466">
        <f>-CPYG!E29+CPYG!E35</f>
        <v>1678174.0299999998</v>
      </c>
    </row>
    <row r="46" spans="2:6" ht="12.75">
      <c r="B46" s="138" t="s">
        <v>697</v>
      </c>
      <c r="C46" s="167" t="s">
        <v>711</v>
      </c>
      <c r="D46" s="467">
        <f>-CPYG!E12+CPYG!E16-CPYG!E38-CPYG!E39-CPYG!E90-CPYG!E41</f>
        <v>7265091.24</v>
      </c>
      <c r="F46" s="134">
        <f>+D46-2802675.86</f>
        <v>4462415.380000001</v>
      </c>
    </row>
    <row r="47" spans="2:4" ht="12.75">
      <c r="B47" s="138" t="s">
        <v>698</v>
      </c>
      <c r="C47" s="167" t="s">
        <v>136</v>
      </c>
      <c r="D47" s="467">
        <f>-CPYG!E75-CPYG!E76-CPYG!E87</f>
        <v>0</v>
      </c>
    </row>
    <row r="48" spans="2:4" ht="12.75">
      <c r="B48" s="138" t="s">
        <v>699</v>
      </c>
      <c r="C48" s="167" t="s">
        <v>712</v>
      </c>
      <c r="D48" s="467">
        <f>CPYG!E58</f>
        <v>0</v>
      </c>
    </row>
    <row r="49" spans="2:4" ht="12.75">
      <c r="B49" s="151"/>
      <c r="C49" s="152"/>
      <c r="D49" s="467"/>
    </row>
    <row r="50" spans="2:4" ht="12.75">
      <c r="B50" s="144" t="s">
        <v>713</v>
      </c>
      <c r="C50" s="145"/>
      <c r="D50" s="468">
        <f>SUM(D45:D48)</f>
        <v>8943265.27</v>
      </c>
    </row>
    <row r="51" spans="2:4" ht="12.75">
      <c r="B51" s="147"/>
      <c r="C51" s="148"/>
      <c r="D51" s="469"/>
    </row>
    <row r="52" spans="2:4" ht="12.75">
      <c r="B52" s="151"/>
      <c r="C52" s="152"/>
      <c r="D52" s="465"/>
    </row>
    <row r="53" spans="2:4" ht="12.75">
      <c r="B53" s="138" t="s">
        <v>702</v>
      </c>
      <c r="C53" s="167" t="s">
        <v>715</v>
      </c>
      <c r="D53" s="467"/>
    </row>
    <row r="54" spans="2:4" ht="12.75">
      <c r="B54" s="138" t="s">
        <v>703</v>
      </c>
      <c r="C54" s="167" t="s">
        <v>716</v>
      </c>
      <c r="D54" s="467"/>
    </row>
    <row r="55" spans="2:4" ht="12.75">
      <c r="B55" s="151"/>
      <c r="C55" s="152"/>
      <c r="D55" s="465"/>
    </row>
    <row r="56" spans="2:4" ht="12.75">
      <c r="B56" s="144" t="s">
        <v>717</v>
      </c>
      <c r="C56" s="145"/>
      <c r="D56" s="468">
        <f>+D54+D53</f>
        <v>0</v>
      </c>
    </row>
    <row r="57" spans="2:4" ht="12.75">
      <c r="B57" s="147"/>
      <c r="C57" s="148"/>
      <c r="D57" s="469"/>
    </row>
    <row r="58" spans="2:4" ht="12.75">
      <c r="B58" s="151"/>
      <c r="C58" s="152"/>
      <c r="D58" s="465"/>
    </row>
    <row r="59" spans="2:4" ht="12.75">
      <c r="B59" s="138" t="s">
        <v>705</v>
      </c>
      <c r="C59" s="167" t="s">
        <v>719</v>
      </c>
      <c r="D59" s="467"/>
    </row>
    <row r="60" spans="2:4" ht="12.75">
      <c r="B60" s="138" t="s">
        <v>706</v>
      </c>
      <c r="C60" s="167" t="s">
        <v>720</v>
      </c>
      <c r="D60" s="467"/>
    </row>
    <row r="61" spans="2:4" ht="12.75">
      <c r="B61" s="151"/>
      <c r="C61" s="152"/>
      <c r="D61" s="465"/>
    </row>
    <row r="62" spans="2:4" ht="13.5" thickBot="1">
      <c r="B62" s="209" t="s">
        <v>721</v>
      </c>
      <c r="C62" s="457"/>
      <c r="D62" s="456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8"/>
    </row>
    <row r="65" spans="2:4" ht="12.75">
      <c r="B65" s="154"/>
      <c r="C65" s="156" t="s">
        <v>724</v>
      </c>
      <c r="D65" s="459">
        <f>+D62+D56+D50</f>
        <v>8943265.27</v>
      </c>
    </row>
    <row r="66" spans="2:4" ht="13.5" thickBot="1">
      <c r="B66" s="164"/>
      <c r="C66" s="203"/>
      <c r="D66" s="460"/>
    </row>
    <row r="67" spans="2:4" ht="12.75">
      <c r="B67" s="207"/>
      <c r="C67" s="474"/>
      <c r="D67" s="470"/>
    </row>
    <row r="68" spans="2:4" ht="12.75">
      <c r="B68" s="200"/>
      <c r="C68" s="201" t="s">
        <v>723</v>
      </c>
      <c r="D68" s="471">
        <f>-CPYG!E10-CPYG!E16-CPYG!E49-CPYG!E35-CPYG!E42-CPYG!E40-CPYG!E77-CPYG!E81-CPYG!E82</f>
        <v>2577173.24</v>
      </c>
    </row>
    <row r="69" spans="2:4" ht="14.25" customHeight="1" thickBot="1">
      <c r="B69" s="208"/>
      <c r="C69" s="464"/>
      <c r="D69" s="472"/>
    </row>
    <row r="70" spans="2:4" ht="14.25" customHeight="1">
      <c r="B70" s="154"/>
      <c r="C70" s="475"/>
      <c r="D70" s="473"/>
    </row>
    <row r="71" spans="2:4" ht="12.75">
      <c r="B71" s="1206" t="s">
        <v>427</v>
      </c>
      <c r="C71" s="1207"/>
      <c r="D71" s="459">
        <f>D65+D68</f>
        <v>11520438.51</v>
      </c>
    </row>
    <row r="72" spans="2:4" ht="13.5" thickBot="1">
      <c r="B72" s="164"/>
      <c r="C72" s="203"/>
      <c r="D72" s="460"/>
    </row>
    <row r="73" spans="2:3" ht="12.75">
      <c r="B73" s="158"/>
      <c r="C73" s="158"/>
    </row>
    <row r="74" spans="3:4" ht="12.75">
      <c r="C74" s="185" t="s">
        <v>82</v>
      </c>
      <c r="D74" s="186">
        <f>D38-D71</f>
        <v>-687242.25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781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733</v>
      </c>
      <c r="D81" s="133"/>
    </row>
    <row r="82" spans="3:4" ht="12.75" hidden="1">
      <c r="C82" s="181" t="s">
        <v>83</v>
      </c>
      <c r="D82" s="133"/>
    </row>
    <row r="83" spans="3:4" ht="18" customHeight="1" hidden="1">
      <c r="C83" s="181" t="s">
        <v>84</v>
      </c>
      <c r="D83" s="133"/>
    </row>
    <row r="84" spans="3:4" ht="18" customHeight="1" hidden="1">
      <c r="C84" s="181" t="s">
        <v>77</v>
      </c>
      <c r="D84" s="133"/>
    </row>
    <row r="85" spans="3:4" ht="18" customHeight="1" hidden="1">
      <c r="C85" s="181" t="s">
        <v>85</v>
      </c>
      <c r="D85" s="133"/>
    </row>
    <row r="86" spans="3:4" ht="18" customHeight="1" hidden="1">
      <c r="C86" s="181" t="s">
        <v>78</v>
      </c>
      <c r="D86" s="133"/>
    </row>
    <row r="87" spans="3:4" ht="18" customHeight="1" hidden="1">
      <c r="C87" s="132" t="s">
        <v>79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572" t="s">
        <v>685</v>
      </c>
      <c r="D91" s="187">
        <f>SUM(D92:D93)</f>
        <v>0</v>
      </c>
    </row>
    <row r="92" spans="3:4" ht="12.75">
      <c r="C92" s="573" t="s">
        <v>675</v>
      </c>
      <c r="D92" s="187">
        <f>'INF. ADIC. CPYG '!I40</f>
        <v>0</v>
      </c>
    </row>
    <row r="93" spans="3:4" ht="12.75" customHeight="1">
      <c r="C93" s="573" t="s">
        <v>676</v>
      </c>
      <c r="D93" s="187">
        <f>'INF. ADIC. CPYG '!I36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5"/>
  <sheetViews>
    <sheetView zoomScale="70" zoomScaleNormal="70" zoomScalePageLayoutView="0" workbookViewId="0" topLeftCell="A1">
      <selection activeCell="A70" sqref="A70:IV90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13.7109375" style="133" customWidth="1"/>
    <col min="6" max="6" width="0" style="575" hidden="1" customWidth="1"/>
    <col min="7" max="16384" width="11.421875" style="133" customWidth="1"/>
  </cols>
  <sheetData>
    <row r="2" spans="2:4" ht="12.75">
      <c r="B2" s="1190" t="s">
        <v>673</v>
      </c>
      <c r="C2" s="1190"/>
      <c r="D2" s="1190"/>
    </row>
    <row r="3" spans="2:4" ht="13.5" thickBot="1">
      <c r="B3" s="183"/>
      <c r="C3" s="183"/>
      <c r="D3" s="183"/>
    </row>
    <row r="4" spans="2:4" ht="13.5" thickBot="1">
      <c r="B4" s="1191" t="str">
        <f>'ORGANOS DE GOBIERNO'!B4:I4</f>
        <v>ENTIDAD: ENTIDAD PÚBLICA EMPRESARIAL LOCAL BALSAS DE TENERIFE, BALTEN</v>
      </c>
      <c r="C4" s="1192"/>
      <c r="D4" s="1193"/>
    </row>
    <row r="5" spans="2:3" ht="13.5" thickBot="1">
      <c r="B5" s="184"/>
      <c r="C5" s="184"/>
    </row>
    <row r="6" spans="2:4" ht="15.75" thickBot="1">
      <c r="B6" s="1194" t="s">
        <v>425</v>
      </c>
      <c r="C6" s="1195"/>
      <c r="D6" s="1196"/>
    </row>
    <row r="7" spans="2:3" ht="13.5" thickBot="1">
      <c r="B7" s="184"/>
      <c r="C7" s="184"/>
    </row>
    <row r="8" spans="2:4" ht="13.5" customHeight="1">
      <c r="B8" s="1197" t="s">
        <v>694</v>
      </c>
      <c r="C8" s="1198"/>
      <c r="D8" s="1186"/>
    </row>
    <row r="9" spans="2:4" ht="12.75" customHeight="1" thickBot="1">
      <c r="B9" s="1199"/>
      <c r="C9" s="1200"/>
      <c r="D9" s="1187"/>
    </row>
    <row r="10" spans="2:4" ht="12.75">
      <c r="B10" s="151"/>
      <c r="C10" s="152"/>
      <c r="D10" s="202"/>
    </row>
    <row r="11" spans="2:6" ht="12.75">
      <c r="B11" s="138" t="s">
        <v>696</v>
      </c>
      <c r="C11" s="139" t="s">
        <v>782</v>
      </c>
      <c r="D11" s="140">
        <f>PRESUPUESTO!D11</f>
        <v>0</v>
      </c>
      <c r="F11" s="1058">
        <f>+D11-PRESUPUESTO!D11</f>
        <v>0</v>
      </c>
    </row>
    <row r="12" spans="2:6" ht="12.75">
      <c r="B12" s="138" t="s">
        <v>697</v>
      </c>
      <c r="C12" s="139" t="s">
        <v>783</v>
      </c>
      <c r="D12" s="140">
        <f>PRESUPUESTO!D12</f>
        <v>0</v>
      </c>
      <c r="F12" s="1058">
        <f>+D12-PRESUPUESTO!D12</f>
        <v>0</v>
      </c>
    </row>
    <row r="13" spans="2:6" ht="12.75">
      <c r="B13" s="138" t="s">
        <v>698</v>
      </c>
      <c r="C13" s="139" t="s">
        <v>784</v>
      </c>
      <c r="D13" s="140">
        <f>PRESUPUESTO!D13</f>
        <v>8274861.54</v>
      </c>
      <c r="F13" s="1058">
        <f>+D13-PRESUPUESTO!D13</f>
        <v>0</v>
      </c>
    </row>
    <row r="14" spans="2:6" ht="12.75">
      <c r="B14" s="138" t="s">
        <v>699</v>
      </c>
      <c r="C14" s="139" t="s">
        <v>785</v>
      </c>
      <c r="D14" s="140">
        <f>PRESUPUESTO!D14</f>
        <v>762449</v>
      </c>
      <c r="F14" s="1058">
        <f>+D14-PRESUPUESTO!D14</f>
        <v>0</v>
      </c>
    </row>
    <row r="15" spans="2:6" ht="12.75">
      <c r="B15" s="138" t="s">
        <v>700</v>
      </c>
      <c r="C15" s="139" t="s">
        <v>786</v>
      </c>
      <c r="D15" s="140">
        <f>PRESUPUESTO!D15</f>
        <v>1500</v>
      </c>
      <c r="F15" s="1058">
        <f>+D15-PRESUPUESTO!D15</f>
        <v>0</v>
      </c>
    </row>
    <row r="16" spans="2:4" ht="12.75">
      <c r="B16" s="141"/>
      <c r="C16" s="142"/>
      <c r="D16" s="143"/>
    </row>
    <row r="17" spans="2:4" ht="12.75">
      <c r="B17" s="144" t="s">
        <v>701</v>
      </c>
      <c r="C17" s="145"/>
      <c r="D17" s="146">
        <f>SUM(D11:D15)</f>
        <v>9038810.54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702</v>
      </c>
      <c r="C20" s="139" t="s">
        <v>787</v>
      </c>
      <c r="D20" s="140">
        <f>PRESUPUESTO!D20</f>
        <v>0</v>
      </c>
    </row>
    <row r="21" spans="2:4" ht="12.75">
      <c r="B21" s="138" t="s">
        <v>703</v>
      </c>
      <c r="C21" s="139" t="s">
        <v>788</v>
      </c>
      <c r="D21" s="140">
        <f>PRESUPUESTO!D21</f>
        <v>500000</v>
      </c>
    </row>
    <row r="22" spans="2:4" ht="12.75">
      <c r="B22" s="141"/>
      <c r="C22" s="142"/>
      <c r="D22" s="143"/>
    </row>
    <row r="23" spans="2:4" ht="12.75">
      <c r="B23" s="144" t="s">
        <v>704</v>
      </c>
      <c r="C23" s="145"/>
      <c r="D23" s="146">
        <f>SUM(D20:D21)</f>
        <v>500000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705</v>
      </c>
      <c r="C26" s="139" t="s">
        <v>789</v>
      </c>
      <c r="D26" s="140">
        <f>PRESUPUESTO!D26</f>
        <v>9462</v>
      </c>
    </row>
    <row r="27" spans="2:4" ht="12.75">
      <c r="B27" s="138" t="s">
        <v>706</v>
      </c>
      <c r="C27" s="139" t="s">
        <v>790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707</v>
      </c>
      <c r="C29" s="145"/>
      <c r="D29" s="150">
        <f>SUM(D26:D27)</f>
        <v>9462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708</v>
      </c>
      <c r="D32" s="157">
        <f>D17+D23+D29</f>
        <v>9548272.54</v>
      </c>
      <c r="G32" s="577"/>
    </row>
    <row r="33" spans="2:4" ht="13.5" thickBot="1">
      <c r="B33" s="164"/>
      <c r="C33" s="203"/>
      <c r="D33" s="166"/>
    </row>
    <row r="34" spans="2:6" ht="24" customHeight="1" thickBot="1">
      <c r="B34" s="200"/>
      <c r="C34" s="201" t="s">
        <v>217</v>
      </c>
      <c r="D34" s="202">
        <f>'PRESUPUESTO CPYG'!D35</f>
        <v>2497834.72</v>
      </c>
      <c r="F34" s="1058">
        <f>+D34-'PRESUPUESTO CPYG'!D35</f>
        <v>0</v>
      </c>
    </row>
    <row r="35" spans="2:4" ht="12.75">
      <c r="B35" s="161"/>
      <c r="C35" s="162"/>
      <c r="D35" s="163"/>
    </row>
    <row r="36" spans="2:4" ht="12.75">
      <c r="B36" s="154"/>
      <c r="C36" s="156" t="s">
        <v>708</v>
      </c>
      <c r="D36" s="157">
        <f>D32+D34</f>
        <v>12046107.26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197" t="s">
        <v>694</v>
      </c>
      <c r="C39" s="1198"/>
      <c r="D39" s="1188"/>
    </row>
    <row r="40" spans="2:4" ht="12.75" customHeight="1" thickBot="1">
      <c r="B40" s="1199"/>
      <c r="C40" s="1200"/>
      <c r="D40" s="1189"/>
    </row>
    <row r="41" spans="2:4" ht="12.75">
      <c r="B41" s="151"/>
      <c r="C41" s="152"/>
      <c r="D41" s="153"/>
    </row>
    <row r="42" spans="2:6" ht="12.75">
      <c r="B42" s="138" t="s">
        <v>696</v>
      </c>
      <c r="C42" s="167" t="s">
        <v>710</v>
      </c>
      <c r="D42" s="168">
        <f>PRESUPUESTO!D40</f>
        <v>1678174.0299999998</v>
      </c>
      <c r="F42" s="1058">
        <f>+D42-PRESUPUESTO!D40</f>
        <v>0</v>
      </c>
    </row>
    <row r="43" spans="2:6" ht="12.75">
      <c r="B43" s="138" t="s">
        <v>697</v>
      </c>
      <c r="C43" s="167" t="s">
        <v>711</v>
      </c>
      <c r="D43" s="168">
        <f>PRESUPUESTO!D41</f>
        <v>7265091.24</v>
      </c>
      <c r="F43" s="1058">
        <f>+D43-PRESUPUESTO!D41</f>
        <v>0</v>
      </c>
    </row>
    <row r="44" spans="2:6" ht="12.75">
      <c r="B44" s="138" t="s">
        <v>698</v>
      </c>
      <c r="C44" s="167" t="s">
        <v>136</v>
      </c>
      <c r="D44" s="168">
        <f>PRESUPUESTO!D42</f>
        <v>0</v>
      </c>
      <c r="F44" s="1058">
        <f>+D44-PRESUPUESTO!D42</f>
        <v>0</v>
      </c>
    </row>
    <row r="45" spans="2:6" ht="12.75">
      <c r="B45" s="138" t="s">
        <v>699</v>
      </c>
      <c r="C45" s="167" t="s">
        <v>712</v>
      </c>
      <c r="D45" s="168">
        <f>PRESUPUESTO!D43</f>
        <v>0</v>
      </c>
      <c r="F45" s="1058">
        <f>+D45-PRESUPUESTO!D43</f>
        <v>0</v>
      </c>
    </row>
    <row r="46" spans="2:4" ht="12.75">
      <c r="B46" s="151"/>
      <c r="C46" s="152"/>
      <c r="D46" s="168"/>
    </row>
    <row r="47" spans="2:4" ht="12.75">
      <c r="B47" s="144" t="s">
        <v>713</v>
      </c>
      <c r="C47" s="145"/>
      <c r="D47" s="150">
        <f>SUM(D42:D45)</f>
        <v>8943265.27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702</v>
      </c>
      <c r="C50" s="167" t="s">
        <v>715</v>
      </c>
      <c r="D50" s="168">
        <f>PRESUPUESTO!D48</f>
        <v>725000</v>
      </c>
    </row>
    <row r="51" spans="2:4" ht="12.75">
      <c r="B51" s="138" t="s">
        <v>703</v>
      </c>
      <c r="C51" s="167" t="s">
        <v>716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717</v>
      </c>
      <c r="C53" s="145"/>
      <c r="D53" s="150">
        <f>SUM(D50:D51)</f>
        <v>725000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705</v>
      </c>
      <c r="C56" s="167" t="s">
        <v>719</v>
      </c>
      <c r="D56" s="168">
        <f>PRESUPUESTO!D54</f>
        <v>9462</v>
      </c>
    </row>
    <row r="57" spans="2:4" ht="12.75">
      <c r="B57" s="138" t="s">
        <v>706</v>
      </c>
      <c r="C57" s="167" t="s">
        <v>720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721</v>
      </c>
      <c r="C59" s="145"/>
      <c r="D59" s="150">
        <f>SUM(D56:D57)</f>
        <v>9462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191</v>
      </c>
      <c r="D62" s="157">
        <f>D47+D53+D59</f>
        <v>9677727.27</v>
      </c>
      <c r="G62" s="577"/>
    </row>
    <row r="63" spans="2:4" ht="13.5" thickBot="1">
      <c r="B63" s="189"/>
      <c r="C63" s="190"/>
      <c r="D63" s="155"/>
    </row>
    <row r="64" spans="2:6" ht="22.5" customHeight="1" thickBot="1">
      <c r="B64" s="197"/>
      <c r="C64" s="198" t="s">
        <v>218</v>
      </c>
      <c r="D64" s="199">
        <f>'PRESUPUESTO CPYG'!D68</f>
        <v>2577173.24</v>
      </c>
      <c r="F64" s="1058">
        <f>+D64-'PRESUPUESTO CPYG'!D68</f>
        <v>0</v>
      </c>
    </row>
    <row r="65" spans="2:4" ht="12.75">
      <c r="B65" s="161"/>
      <c r="C65" s="162"/>
      <c r="D65" s="163"/>
    </row>
    <row r="66" spans="2:4" ht="12.75">
      <c r="B66" s="154"/>
      <c r="C66" s="156" t="s">
        <v>191</v>
      </c>
      <c r="D66" s="157">
        <f>D62+D64</f>
        <v>12254900.51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221</v>
      </c>
      <c r="C70" s="195" t="s">
        <v>82</v>
      </c>
      <c r="D70" s="196">
        <f>D36-D66</f>
        <v>-208793.25</v>
      </c>
      <c r="E70" s="133" t="s">
        <v>225</v>
      </c>
    </row>
    <row r="71" ht="13.5" hidden="1" thickBot="1"/>
    <row r="72" spans="2:5" ht="17.25" customHeight="1" hidden="1" thickBot="1">
      <c r="B72" s="192" t="s">
        <v>222</v>
      </c>
      <c r="C72" s="192" t="s">
        <v>220</v>
      </c>
      <c r="D72" s="193">
        <f>D74+D79+D80+D82+D83+D81</f>
        <v>208793.24999999814</v>
      </c>
      <c r="E72" s="133" t="s">
        <v>441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219</v>
      </c>
      <c r="D74" s="193">
        <f>SUM(D75:D78)</f>
        <v>2577173.24</v>
      </c>
    </row>
    <row r="75" spans="3:4" ht="21.75" customHeight="1" hidden="1">
      <c r="C75" s="595" t="s">
        <v>443</v>
      </c>
      <c r="D75" s="596">
        <f>-'Inv. NO FIN'!E21</f>
        <v>0</v>
      </c>
    </row>
    <row r="76" spans="3:4" ht="18.75" customHeight="1" hidden="1">
      <c r="C76" s="597" t="s">
        <v>683</v>
      </c>
      <c r="D76" s="598">
        <f>-'Inv. NO FIN'!G21</f>
        <v>2577173.24</v>
      </c>
    </row>
    <row r="77" spans="3:4" ht="21" customHeight="1" hidden="1">
      <c r="C77" s="597" t="s">
        <v>415</v>
      </c>
      <c r="D77" s="598">
        <f>-'Inv. NO FIN'!H21</f>
        <v>0</v>
      </c>
    </row>
    <row r="78" spans="3:4" ht="26.25" hidden="1" thickBot="1">
      <c r="C78" s="599" t="s">
        <v>417</v>
      </c>
      <c r="D78" s="600">
        <f>-'Inv. NO FIN'!J21</f>
        <v>0</v>
      </c>
    </row>
    <row r="79" spans="3:4" ht="19.5" customHeight="1" hidden="1" thickBot="1">
      <c r="C79" s="601" t="s">
        <v>223</v>
      </c>
      <c r="D79" s="602">
        <f>-'Inv. FIN'!I14-'Inv. FIN'!I21-'Inv. FIN'!I33-'Inv. FIN'!I40</f>
        <v>0</v>
      </c>
    </row>
    <row r="80" spans="3:4" ht="30" customHeight="1" hidden="1" thickBot="1">
      <c r="C80" s="603" t="s">
        <v>224</v>
      </c>
      <c r="D80" s="604">
        <f>-(ACTIVO!E23-ACTIVO!D23)+ACTIVO!E37-ACTIVO!D37+ACTIVO!E38-ACTIVO!D38</f>
        <v>-3828376.42</v>
      </c>
    </row>
    <row r="81" spans="3:4" ht="30" customHeight="1" hidden="1" thickBot="1">
      <c r="C81" s="603" t="s">
        <v>1010</v>
      </c>
      <c r="D81" s="604">
        <f>-(ACTIVO!E22-ACTIVO!D22)</f>
        <v>4411560.05</v>
      </c>
    </row>
    <row r="82" spans="3:5" ht="19.5" customHeight="1" hidden="1" thickBot="1">
      <c r="C82" s="192" t="s">
        <v>442</v>
      </c>
      <c r="D82" s="193">
        <f>'Transf. y subv.'!F16+'Transf. y subv.'!F17+'Transf. y subv.'!F18</f>
        <v>-1998376.04</v>
      </c>
      <c r="E82" s="568" t="s">
        <v>227</v>
      </c>
    </row>
    <row r="83" spans="3:4" ht="19.5" customHeight="1" hidden="1" thickBot="1">
      <c r="C83" s="194" t="s">
        <v>363</v>
      </c>
      <c r="D83" s="193">
        <f>PASIVO!E43-PASIVO!D43+PASIVO!E28-PASIVO!D28</f>
        <v>-953187.5800000019</v>
      </c>
    </row>
    <row r="84" ht="13.5" hidden="1" thickBot="1"/>
    <row r="85" spans="3:4" ht="13.5" hidden="1" thickBot="1">
      <c r="C85" s="192" t="s">
        <v>226</v>
      </c>
      <c r="D85" s="193">
        <f>D70+D72</f>
        <v>-1.862645149230957E-09</v>
      </c>
    </row>
    <row r="86" ht="12.75" hidden="1"/>
    <row r="87" ht="12.75" hidden="1"/>
    <row r="88" ht="12.75" hidden="1"/>
    <row r="89" ht="12.75" hidden="1"/>
    <row r="90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O255"/>
  <sheetViews>
    <sheetView zoomScale="55" zoomScaleNormal="55" zoomScalePageLayoutView="0" workbookViewId="0" topLeftCell="A1">
      <selection activeCell="A117" sqref="A117:IV126"/>
    </sheetView>
  </sheetViews>
  <sheetFormatPr defaultColWidth="11.421875" defaultRowHeight="12.75"/>
  <cols>
    <col min="1" max="1" width="5.00390625" style="349" customWidth="1"/>
    <col min="2" max="2" width="73.421875" style="349" customWidth="1"/>
    <col min="3" max="3" width="19.7109375" style="349" customWidth="1"/>
    <col min="4" max="4" width="19.28125" style="349" customWidth="1"/>
    <col min="5" max="5" width="20.7109375" style="349" customWidth="1"/>
    <col min="6" max="6" width="1.421875" style="349" customWidth="1"/>
    <col min="7" max="7" width="14.421875" style="348" hidden="1" customWidth="1"/>
    <col min="8" max="8" width="15.28125" style="348" hidden="1" customWidth="1"/>
    <col min="9" max="11" width="0" style="349" hidden="1" customWidth="1"/>
    <col min="12" max="12" width="13.421875" style="349" hidden="1" customWidth="1"/>
    <col min="13" max="13" width="11.421875" style="349" customWidth="1"/>
    <col min="14" max="14" width="13.28125" style="349" bestFit="1" customWidth="1"/>
    <col min="15" max="16384" width="11.421875" style="349" customWidth="1"/>
  </cols>
  <sheetData>
    <row r="2" spans="2:7" ht="49.5" customHeight="1">
      <c r="B2" s="1217" t="s">
        <v>130</v>
      </c>
      <c r="C2" s="1218"/>
      <c r="D2" s="1219"/>
      <c r="E2" s="345">
        <v>2017</v>
      </c>
      <c r="F2" s="346"/>
      <c r="G2" s="347"/>
    </row>
    <row r="3" spans="2:7" ht="25.5" customHeight="1">
      <c r="B3" s="1214" t="str">
        <f>'ORGANOS DE GOBIERNO'!B4:I4</f>
        <v>ENTIDAD: ENTIDAD PÚBLICA EMPRESARIAL LOCAL BALSAS DE TENERIFE, BALTEN</v>
      </c>
      <c r="C3" s="1215"/>
      <c r="D3" s="1216"/>
      <c r="E3" s="350" t="s">
        <v>682</v>
      </c>
      <c r="F3" s="351"/>
      <c r="G3" s="352"/>
    </row>
    <row r="4" spans="2:12" ht="25.5" customHeight="1">
      <c r="B4" s="1212" t="s">
        <v>216</v>
      </c>
      <c r="C4" s="1213"/>
      <c r="D4" s="1213"/>
      <c r="E4" s="1213"/>
      <c r="F4" s="353"/>
      <c r="G4" s="354"/>
      <c r="L4" s="348"/>
    </row>
    <row r="5" spans="2:12" ht="31.5" customHeight="1">
      <c r="B5" s="355" t="s">
        <v>141</v>
      </c>
      <c r="C5" s="356" t="s">
        <v>493</v>
      </c>
      <c r="D5" s="357" t="s">
        <v>492</v>
      </c>
      <c r="E5" s="357" t="s">
        <v>491</v>
      </c>
      <c r="F5" s="358"/>
      <c r="G5" s="359" t="s">
        <v>80</v>
      </c>
      <c r="H5" s="359" t="s">
        <v>81</v>
      </c>
      <c r="L5" s="348"/>
    </row>
    <row r="6" spans="2:15" s="362" customFormat="1" ht="19.5" customHeight="1">
      <c r="B6" s="360" t="s">
        <v>177</v>
      </c>
      <c r="C6" s="507"/>
      <c r="D6" s="507"/>
      <c r="E6" s="507"/>
      <c r="F6" s="361"/>
      <c r="N6" s="349"/>
      <c r="O6" s="349"/>
    </row>
    <row r="7" spans="2:15" s="362" customFormat="1" ht="19.5" customHeight="1">
      <c r="B7" s="363" t="s">
        <v>1</v>
      </c>
      <c r="C7" s="485">
        <f>7687653.58</f>
        <v>7687653.58</v>
      </c>
      <c r="D7" s="485">
        <v>7416114.52</v>
      </c>
      <c r="E7" s="485">
        <v>8255146.54</v>
      </c>
      <c r="F7" s="364"/>
      <c r="G7" s="365">
        <f>+D7-C7</f>
        <v>-271539.0600000005</v>
      </c>
      <c r="H7" s="366">
        <f>+E7-D7</f>
        <v>839032.0200000005</v>
      </c>
      <c r="I7" s="685"/>
      <c r="N7" s="349"/>
      <c r="O7" s="349"/>
    </row>
    <row r="8" spans="2:15" s="362" customFormat="1" ht="27.75" customHeight="1">
      <c r="B8" s="372" t="s">
        <v>395</v>
      </c>
      <c r="C8" s="485">
        <f>SUM(C9:C10)</f>
        <v>-135726.93</v>
      </c>
      <c r="D8" s="485">
        <f>SUM(D9:D10)</f>
        <v>-28845.9</v>
      </c>
      <c r="E8" s="485">
        <f>SUM(E9:E10)</f>
        <v>0</v>
      </c>
      <c r="F8" s="373"/>
      <c r="G8" s="374"/>
      <c r="H8" s="370"/>
      <c r="I8" s="687"/>
      <c r="K8" s="687"/>
      <c r="N8" s="349"/>
      <c r="O8" s="349"/>
    </row>
    <row r="9" spans="2:15" s="362" customFormat="1" ht="18" customHeight="1">
      <c r="B9" s="367" t="s">
        <v>677</v>
      </c>
      <c r="C9" s="483"/>
      <c r="D9" s="482"/>
      <c r="E9" s="482"/>
      <c r="F9" s="373"/>
      <c r="G9" s="374"/>
      <c r="H9" s="370"/>
      <c r="I9" s="686"/>
      <c r="K9" s="686"/>
      <c r="N9" s="349"/>
      <c r="O9" s="349"/>
    </row>
    <row r="10" spans="2:15" s="362" customFormat="1" ht="18" customHeight="1">
      <c r="B10" s="367" t="s">
        <v>678</v>
      </c>
      <c r="C10" s="483">
        <v>-135726.93</v>
      </c>
      <c r="D10" s="605">
        <v>-28845.9</v>
      </c>
      <c r="E10" s="1113">
        <v>0</v>
      </c>
      <c r="F10" s="373"/>
      <c r="G10" s="374"/>
      <c r="H10" s="370"/>
      <c r="I10" s="686"/>
      <c r="K10" s="686"/>
      <c r="N10" s="349"/>
      <c r="O10" s="349"/>
    </row>
    <row r="11" spans="2:15" s="362" customFormat="1" ht="25.5" customHeight="1">
      <c r="B11" s="372" t="s">
        <v>2</v>
      </c>
      <c r="C11" s="482"/>
      <c r="D11" s="482"/>
      <c r="E11" s="482"/>
      <c r="F11" s="373"/>
      <c r="G11" s="374"/>
      <c r="H11" s="370"/>
      <c r="I11" s="686"/>
      <c r="K11" s="686"/>
      <c r="N11" s="349"/>
      <c r="O11" s="349"/>
    </row>
    <row r="12" spans="2:15" s="362" customFormat="1" ht="19.5" customHeight="1">
      <c r="B12" s="375" t="s">
        <v>3</v>
      </c>
      <c r="C12" s="485">
        <f>SUM(C13:C16)</f>
        <v>-3774482.7199999997</v>
      </c>
      <c r="D12" s="485">
        <f>SUM(D13:D16)</f>
        <v>-3733271.05</v>
      </c>
      <c r="E12" s="485">
        <f>SUM(E13:E16)</f>
        <v>-4408415.38</v>
      </c>
      <c r="F12" s="373"/>
      <c r="G12" s="365">
        <f>+D12-C12</f>
        <v>41211.669999999925</v>
      </c>
      <c r="H12" s="366">
        <f>+E12-D12</f>
        <v>-675144.3300000001</v>
      </c>
      <c r="I12" s="685"/>
      <c r="N12" s="349"/>
      <c r="O12" s="349"/>
    </row>
    <row r="13" spans="2:15" s="362" customFormat="1" ht="19.5" customHeight="1">
      <c r="B13" s="367" t="s">
        <v>4</v>
      </c>
      <c r="C13" s="483">
        <v>-1519197.59</v>
      </c>
      <c r="D13" s="483">
        <v>-1466349.65</v>
      </c>
      <c r="E13" s="483">
        <f>-2149622.76+500000</f>
        <v>-1649622.7599999998</v>
      </c>
      <c r="F13" s="371"/>
      <c r="G13" s="376"/>
      <c r="H13" s="370"/>
      <c r="I13" s="688"/>
      <c r="N13" s="349"/>
      <c r="O13" s="349"/>
    </row>
    <row r="14" spans="2:15" s="362" customFormat="1" ht="19.5" customHeight="1">
      <c r="B14" s="367" t="s">
        <v>5</v>
      </c>
      <c r="C14" s="483">
        <v>-415590.5</v>
      </c>
      <c r="D14" s="483">
        <v>-416000</v>
      </c>
      <c r="E14" s="483">
        <f>-370604-500000</f>
        <v>-870604</v>
      </c>
      <c r="F14" s="371"/>
      <c r="G14" s="376"/>
      <c r="H14" s="370"/>
      <c r="I14" s="688"/>
      <c r="N14" s="349"/>
      <c r="O14" s="349"/>
    </row>
    <row r="15" spans="2:15" s="362" customFormat="1" ht="19.5" customHeight="1">
      <c r="B15" s="367" t="s">
        <v>6</v>
      </c>
      <c r="C15" s="483">
        <v>-1839694.63</v>
      </c>
      <c r="D15" s="483">
        <v>-1850921.4</v>
      </c>
      <c r="E15" s="483">
        <v>-1888188.62</v>
      </c>
      <c r="F15" s="371"/>
      <c r="G15" s="369">
        <f>+D15-C15</f>
        <v>-11226.770000000019</v>
      </c>
      <c r="H15" s="370">
        <f>-E15-D15</f>
        <v>3739110.02</v>
      </c>
      <c r="I15" s="688"/>
      <c r="N15" s="349"/>
      <c r="O15" s="349"/>
    </row>
    <row r="16" spans="2:15" s="362" customFormat="1" ht="19.5" customHeight="1">
      <c r="B16" s="367" t="s">
        <v>7</v>
      </c>
      <c r="C16" s="483"/>
      <c r="D16" s="482"/>
      <c r="E16" s="483"/>
      <c r="F16" s="371"/>
      <c r="G16" s="376"/>
      <c r="H16" s="370"/>
      <c r="I16" s="688"/>
      <c r="J16" s="689"/>
      <c r="K16" s="686"/>
      <c r="N16" s="349"/>
      <c r="O16" s="349"/>
    </row>
    <row r="17" spans="2:15" s="362" customFormat="1" ht="19.5" customHeight="1">
      <c r="B17" s="372" t="s">
        <v>8</v>
      </c>
      <c r="C17" s="485">
        <f>C18+C22</f>
        <v>21108.8</v>
      </c>
      <c r="D17" s="485">
        <f>D18+D22</f>
        <v>19711.36</v>
      </c>
      <c r="E17" s="485">
        <f>E18+E22</f>
        <v>78715</v>
      </c>
      <c r="F17" s="364"/>
      <c r="G17" s="365">
        <f>+D17-C17</f>
        <v>-1397.4399999999987</v>
      </c>
      <c r="H17" s="366">
        <f>+E17-D17</f>
        <v>59003.64</v>
      </c>
      <c r="I17" s="688"/>
      <c r="N17" s="349"/>
      <c r="O17" s="349"/>
    </row>
    <row r="18" spans="2:15" s="362" customFormat="1" ht="19.5" customHeight="1">
      <c r="B18" s="367" t="s">
        <v>9</v>
      </c>
      <c r="C18" s="486">
        <f>SUM(C19:C21)</f>
        <v>21108.8</v>
      </c>
      <c r="D18" s="486">
        <f>SUM(D19:D21)</f>
        <v>19711.36</v>
      </c>
      <c r="E18" s="486">
        <f>SUM(E19:E21)</f>
        <v>19715</v>
      </c>
      <c r="F18" s="368"/>
      <c r="G18" s="369"/>
      <c r="H18" s="370"/>
      <c r="I18" s="688"/>
      <c r="N18" s="349"/>
      <c r="O18" s="349"/>
    </row>
    <row r="19" spans="2:15" s="362" customFormat="1" ht="19.5" customHeight="1">
      <c r="B19" s="367" t="s">
        <v>679</v>
      </c>
      <c r="C19" s="483"/>
      <c r="D19" s="483"/>
      <c r="E19" s="483"/>
      <c r="F19" s="368"/>
      <c r="G19" s="369"/>
      <c r="H19" s="370"/>
      <c r="I19" s="685"/>
      <c r="N19" s="349"/>
      <c r="O19" s="349"/>
    </row>
    <row r="20" spans="2:15" s="362" customFormat="1" ht="19.5" customHeight="1">
      <c r="B20" s="367" t="s">
        <v>680</v>
      </c>
      <c r="C20" s="483"/>
      <c r="D20" s="483"/>
      <c r="E20" s="483"/>
      <c r="F20" s="368"/>
      <c r="G20" s="369"/>
      <c r="H20" s="370"/>
      <c r="I20" s="685"/>
      <c r="N20" s="349"/>
      <c r="O20" s="349"/>
    </row>
    <row r="21" spans="2:15" s="362" customFormat="1" ht="19.5" customHeight="1">
      <c r="B21" s="367" t="s">
        <v>681</v>
      </c>
      <c r="C21" s="483">
        <v>21108.8</v>
      </c>
      <c r="D21" s="483">
        <v>19711.36</v>
      </c>
      <c r="E21" s="483">
        <v>19715</v>
      </c>
      <c r="F21" s="368"/>
      <c r="G21" s="369"/>
      <c r="H21" s="370"/>
      <c r="I21" s="685"/>
      <c r="N21" s="349"/>
      <c r="O21" s="349"/>
    </row>
    <row r="22" spans="2:15" s="362" customFormat="1" ht="19.5" customHeight="1">
      <c r="B22" s="367" t="s">
        <v>10</v>
      </c>
      <c r="C22" s="486">
        <f>SUM(C23:C28)</f>
        <v>0</v>
      </c>
      <c r="D22" s="486">
        <f>SUM(D23:D28)</f>
        <v>0</v>
      </c>
      <c r="E22" s="486">
        <f>SUM(E23:E28)</f>
        <v>59000</v>
      </c>
      <c r="F22" s="368"/>
      <c r="G22" s="369">
        <f>+D22-C22</f>
        <v>0</v>
      </c>
      <c r="H22" s="370">
        <f>-E22-D22</f>
        <v>-59000</v>
      </c>
      <c r="I22" s="685"/>
      <c r="N22" s="349"/>
      <c r="O22" s="349"/>
    </row>
    <row r="23" spans="2:15" s="362" customFormat="1" ht="19.5" customHeight="1">
      <c r="B23" s="367" t="s">
        <v>11</v>
      </c>
      <c r="C23" s="483"/>
      <c r="D23" s="482"/>
      <c r="E23" s="483"/>
      <c r="F23" s="368"/>
      <c r="G23" s="369"/>
      <c r="H23" s="370"/>
      <c r="I23" s="688"/>
      <c r="N23" s="349"/>
      <c r="O23" s="349"/>
    </row>
    <row r="24" spans="2:15" s="362" customFormat="1" ht="19.5" customHeight="1">
      <c r="B24" s="367" t="s">
        <v>396</v>
      </c>
      <c r="C24" s="483"/>
      <c r="D24" s="483"/>
      <c r="E24" s="483"/>
      <c r="F24" s="371"/>
      <c r="G24" s="369">
        <f>+D24-C24</f>
        <v>0</v>
      </c>
      <c r="H24" s="370">
        <f>-E24-D24</f>
        <v>0</v>
      </c>
      <c r="I24" s="688"/>
      <c r="N24" s="349"/>
      <c r="O24" s="349"/>
    </row>
    <row r="25" spans="2:15" s="362" customFormat="1" ht="19.5" customHeight="1">
      <c r="B25" s="367" t="s">
        <v>397</v>
      </c>
      <c r="C25" s="483"/>
      <c r="D25" s="483"/>
      <c r="E25" s="483"/>
      <c r="F25" s="371"/>
      <c r="G25" s="376"/>
      <c r="H25" s="370"/>
      <c r="I25" s="688"/>
      <c r="N25" s="349"/>
      <c r="O25" s="349"/>
    </row>
    <row r="26" spans="2:15" s="362" customFormat="1" ht="19.5" customHeight="1">
      <c r="B26" s="367" t="s">
        <v>12</v>
      </c>
      <c r="C26" s="483"/>
      <c r="D26" s="483"/>
      <c r="E26" s="483">
        <v>59000</v>
      </c>
      <c r="F26" s="371"/>
      <c r="G26" s="376"/>
      <c r="H26" s="370"/>
      <c r="I26" s="688"/>
      <c r="N26" s="349"/>
      <c r="O26" s="349"/>
    </row>
    <row r="27" spans="2:15" s="362" customFormat="1" ht="19.5" customHeight="1">
      <c r="B27" s="367" t="s">
        <v>13</v>
      </c>
      <c r="C27" s="483"/>
      <c r="D27" s="483"/>
      <c r="E27" s="483"/>
      <c r="F27" s="371"/>
      <c r="G27" s="369">
        <f>+D27-C27</f>
        <v>0</v>
      </c>
      <c r="H27" s="370">
        <f>-E27-D27</f>
        <v>0</v>
      </c>
      <c r="I27" s="688"/>
      <c r="N27" s="349"/>
      <c r="O27" s="349"/>
    </row>
    <row r="28" spans="2:15" s="362" customFormat="1" ht="19.5" customHeight="1">
      <c r="B28" s="367" t="s">
        <v>14</v>
      </c>
      <c r="C28" s="483"/>
      <c r="D28" s="482"/>
      <c r="E28" s="483"/>
      <c r="F28" s="371"/>
      <c r="G28" s="376"/>
      <c r="H28" s="370"/>
      <c r="I28" s="688"/>
      <c r="N28" s="349"/>
      <c r="O28" s="349"/>
    </row>
    <row r="29" spans="2:15" s="1141" customFormat="1" ht="19.5" customHeight="1">
      <c r="B29" s="372" t="s">
        <v>15</v>
      </c>
      <c r="C29" s="485">
        <f>SUM(C30:C35)</f>
        <v>-1354469.0900000003</v>
      </c>
      <c r="D29" s="485">
        <f>SUM(D30:D35)</f>
        <v>-1673338.1900000002</v>
      </c>
      <c r="E29" s="485">
        <f>SUM(E30:E35)</f>
        <v>-1678174.0299999998</v>
      </c>
      <c r="F29" s="373"/>
      <c r="G29" s="365">
        <f>+D29-C29</f>
        <v>-318869.09999999986</v>
      </c>
      <c r="H29" s="366">
        <f>+E29-D29</f>
        <v>-4835.839999999618</v>
      </c>
      <c r="I29" s="1140"/>
      <c r="N29" s="349"/>
      <c r="O29" s="349"/>
    </row>
    <row r="30" spans="2:15" s="362" customFormat="1" ht="19.5" customHeight="1">
      <c r="B30" s="367" t="s">
        <v>16</v>
      </c>
      <c r="C30" s="483">
        <v>-1213100.33</v>
      </c>
      <c r="D30" s="483">
        <v>-1231093.86</v>
      </c>
      <c r="E30" s="483">
        <f>-1243604.53+10557.1</f>
        <v>-1233047.43</v>
      </c>
      <c r="F30" s="371"/>
      <c r="G30" s="369">
        <f>+D30-C30</f>
        <v>-17993.530000000028</v>
      </c>
      <c r="H30" s="370">
        <f>-E30-D30</f>
        <v>2464141.29</v>
      </c>
      <c r="I30" s="688"/>
      <c r="L30" s="1093">
        <f>Personal!L36</f>
        <v>1233047.4266398195</v>
      </c>
      <c r="N30" s="349"/>
      <c r="O30" s="349"/>
    </row>
    <row r="31" spans="2:15" s="362" customFormat="1" ht="19.5" customHeight="1">
      <c r="B31" s="367" t="s">
        <v>398</v>
      </c>
      <c r="C31" s="483"/>
      <c r="D31" s="483"/>
      <c r="E31" s="483"/>
      <c r="F31" s="371"/>
      <c r="G31" s="369">
        <f>+D31-C31</f>
        <v>0</v>
      </c>
      <c r="H31" s="370">
        <f>-E31-D31</f>
        <v>0</v>
      </c>
      <c r="I31" s="688"/>
      <c r="N31" s="349"/>
      <c r="O31" s="349"/>
    </row>
    <row r="32" spans="2:15" s="362" customFormat="1" ht="19.5" customHeight="1">
      <c r="B32" s="367" t="s">
        <v>399</v>
      </c>
      <c r="C32" s="483">
        <v>-386762</v>
      </c>
      <c r="D32" s="483">
        <v>-387000</v>
      </c>
      <c r="E32" s="483">
        <v>-389526.6</v>
      </c>
      <c r="F32" s="371"/>
      <c r="G32" s="369">
        <f>+D32-C32</f>
        <v>-238</v>
      </c>
      <c r="H32" s="370">
        <f>-E32-D32</f>
        <v>776526.6</v>
      </c>
      <c r="I32" s="688"/>
      <c r="N32" s="349"/>
      <c r="O32" s="349"/>
    </row>
    <row r="33" spans="2:15" s="362" customFormat="1" ht="19.5" customHeight="1">
      <c r="B33" s="367" t="s">
        <v>400</v>
      </c>
      <c r="C33" s="483">
        <f>-(32874.28+1337.04)</f>
        <v>-34211.32</v>
      </c>
      <c r="D33" s="483">
        <f>-34290.74-1553.59</f>
        <v>-35844.329999999994</v>
      </c>
      <c r="E33" s="483">
        <v>-35600</v>
      </c>
      <c r="F33" s="371"/>
      <c r="G33" s="369">
        <f>+D33-C33</f>
        <v>-1633.0099999999948</v>
      </c>
      <c r="H33" s="370">
        <f>-E33-D33</f>
        <v>71444.32999999999</v>
      </c>
      <c r="I33" s="688"/>
      <c r="N33" s="349"/>
      <c r="O33" s="349"/>
    </row>
    <row r="34" spans="2:15" s="362" customFormat="1" ht="19.5" customHeight="1">
      <c r="B34" s="367" t="s">
        <v>401</v>
      </c>
      <c r="C34" s="483">
        <f>-(10642.32+6416.02)</f>
        <v>-17058.34</v>
      </c>
      <c r="D34" s="483">
        <f>-12800-6600</f>
        <v>-19400</v>
      </c>
      <c r="E34" s="483">
        <v>-20000</v>
      </c>
      <c r="F34" s="371"/>
      <c r="G34" s="376"/>
      <c r="H34" s="370"/>
      <c r="I34" s="688"/>
      <c r="N34" s="349"/>
      <c r="O34" s="349"/>
    </row>
    <row r="35" spans="2:15" s="362" customFormat="1" ht="19.5" customHeight="1">
      <c r="B35" s="367" t="s">
        <v>402</v>
      </c>
      <c r="C35" s="483">
        <v>296662.9</v>
      </c>
      <c r="D35" s="482">
        <v>0</v>
      </c>
      <c r="E35" s="483">
        <v>0</v>
      </c>
      <c r="F35" s="371"/>
      <c r="G35" s="376"/>
      <c r="H35" s="377"/>
      <c r="I35" s="688"/>
      <c r="J35" s="686"/>
      <c r="K35" s="686"/>
      <c r="N35" s="349"/>
      <c r="O35" s="349"/>
    </row>
    <row r="36" spans="2:15" s="362" customFormat="1" ht="15" customHeight="1" hidden="1">
      <c r="B36" s="367" t="s">
        <v>337</v>
      </c>
      <c r="C36" s="483"/>
      <c r="D36" s="482"/>
      <c r="E36" s="483"/>
      <c r="F36" s="371"/>
      <c r="G36" s="376"/>
      <c r="H36" s="377"/>
      <c r="N36" s="349"/>
      <c r="O36" s="349"/>
    </row>
    <row r="37" spans="2:15" s="1141" customFormat="1" ht="19.5" customHeight="1">
      <c r="B37" s="363" t="s">
        <v>17</v>
      </c>
      <c r="C37" s="485">
        <f>+C38+C39+C40+C41</f>
        <v>-2608486.1</v>
      </c>
      <c r="D37" s="485">
        <f>+D38+D39+D40+D41</f>
        <v>-2678228.48</v>
      </c>
      <c r="E37" s="485">
        <f>+E38+E39+E40+E41</f>
        <v>-2856675.86</v>
      </c>
      <c r="F37" s="373"/>
      <c r="G37" s="365">
        <f>+D37-C37</f>
        <v>-69742.37999999989</v>
      </c>
      <c r="H37" s="366">
        <f>+E37-D37</f>
        <v>-178447.3799999999</v>
      </c>
      <c r="I37" s="1142"/>
      <c r="N37" s="349"/>
      <c r="O37" s="349"/>
    </row>
    <row r="38" spans="2:15" s="362" customFormat="1" ht="19.5" customHeight="1">
      <c r="B38" s="367" t="s">
        <v>403</v>
      </c>
      <c r="C38" s="483">
        <v>-2566426.51</v>
      </c>
      <c r="D38" s="483">
        <f>-2708828.48+35000</f>
        <v>-2673828.48</v>
      </c>
      <c r="E38" s="483">
        <v>-2852275.86</v>
      </c>
      <c r="F38" s="371"/>
      <c r="G38" s="369">
        <f>+D38-C38</f>
        <v>-107401.9700000002</v>
      </c>
      <c r="H38" s="370">
        <f>-E38-D38</f>
        <v>5526104.34</v>
      </c>
      <c r="I38" s="685"/>
      <c r="N38" s="349"/>
      <c r="O38" s="349"/>
    </row>
    <row r="39" spans="2:15" s="362" customFormat="1" ht="19.5" customHeight="1">
      <c r="B39" s="367" t="s">
        <v>404</v>
      </c>
      <c r="C39" s="483">
        <v>-3958.14</v>
      </c>
      <c r="D39" s="483">
        <v>-4400</v>
      </c>
      <c r="E39" s="483">
        <v>-4400</v>
      </c>
      <c r="F39" s="371"/>
      <c r="G39" s="369">
        <f>+D39-C39</f>
        <v>-441.8600000000001</v>
      </c>
      <c r="H39" s="370">
        <f>-E39-D39</f>
        <v>8800</v>
      </c>
      <c r="I39" s="685"/>
      <c r="N39" s="349"/>
      <c r="O39" s="349"/>
    </row>
    <row r="40" spans="2:15" s="362" customFormat="1" ht="19.5" customHeight="1">
      <c r="B40" s="367" t="s">
        <v>18</v>
      </c>
      <c r="C40" s="483">
        <v>-38101.45</v>
      </c>
      <c r="D40" s="483">
        <v>0</v>
      </c>
      <c r="E40" s="483">
        <v>0</v>
      </c>
      <c r="F40" s="368"/>
      <c r="G40" s="369">
        <f>+D40-C40</f>
        <v>38101.45</v>
      </c>
      <c r="H40" s="370">
        <f>-E40-D40</f>
        <v>0</v>
      </c>
      <c r="I40" s="686"/>
      <c r="K40" s="686"/>
      <c r="N40" s="349"/>
      <c r="O40" s="349"/>
    </row>
    <row r="41" spans="2:15" s="362" customFormat="1" ht="19.5" customHeight="1">
      <c r="B41" s="367" t="s">
        <v>19</v>
      </c>
      <c r="C41" s="482"/>
      <c r="D41" s="482"/>
      <c r="E41" s="482"/>
      <c r="F41" s="379"/>
      <c r="G41" s="380"/>
      <c r="H41" s="370"/>
      <c r="I41" s="685"/>
      <c r="N41" s="349"/>
      <c r="O41" s="349"/>
    </row>
    <row r="42" spans="2:15" s="362" customFormat="1" ht="19.5" customHeight="1">
      <c r="B42" s="363" t="s">
        <v>20</v>
      </c>
      <c r="C42" s="485">
        <f>SUM(C43:C45)</f>
        <v>-2557542.27</v>
      </c>
      <c r="D42" s="485">
        <f>SUM(D43:D45)</f>
        <v>-2583418.57</v>
      </c>
      <c r="E42" s="485">
        <f>SUM(E43:E45)</f>
        <v>-2577173.24</v>
      </c>
      <c r="F42" s="373"/>
      <c r="G42" s="365">
        <f>+D42-C42</f>
        <v>-25876.299999999814</v>
      </c>
      <c r="H42" s="366">
        <f>+E42-D42</f>
        <v>6245.329999999609</v>
      </c>
      <c r="I42" s="686"/>
      <c r="K42" s="686"/>
      <c r="N42" s="349"/>
      <c r="O42" s="349"/>
    </row>
    <row r="43" spans="2:15" s="362" customFormat="1" ht="19.5" customHeight="1">
      <c r="B43" s="367" t="s">
        <v>625</v>
      </c>
      <c r="C43" s="482">
        <v>-9775.19</v>
      </c>
      <c r="D43" s="482">
        <f>-12523.34</f>
        <v>-12523.34</v>
      </c>
      <c r="E43" s="482">
        <v>-21489.95</v>
      </c>
      <c r="F43" s="373"/>
      <c r="G43" s="365"/>
      <c r="H43" s="366"/>
      <c r="I43" s="687"/>
      <c r="K43" s="687"/>
      <c r="N43" s="349"/>
      <c r="O43" s="349"/>
    </row>
    <row r="44" spans="2:15" s="362" customFormat="1" ht="19.5" customHeight="1">
      <c r="B44" s="367" t="s">
        <v>626</v>
      </c>
      <c r="C44" s="482">
        <f>-(20011.9+2527755.18)</f>
        <v>-2547767.08</v>
      </c>
      <c r="D44" s="482">
        <f>-39736.38-2531158.85</f>
        <v>-2570895.23</v>
      </c>
      <c r="E44" s="482">
        <f>-57848.57-2511334.72+13500</f>
        <v>-2555683.29</v>
      </c>
      <c r="F44" s="373"/>
      <c r="G44" s="365"/>
      <c r="H44" s="366"/>
      <c r="I44" s="687"/>
      <c r="K44" s="687"/>
      <c r="N44" s="349"/>
      <c r="O44" s="349"/>
    </row>
    <row r="45" spans="2:15" s="362" customFormat="1" ht="19.5" customHeight="1">
      <c r="B45" s="367" t="s">
        <v>627</v>
      </c>
      <c r="C45" s="482"/>
      <c r="D45" s="482"/>
      <c r="E45" s="482"/>
      <c r="F45" s="373"/>
      <c r="G45" s="365"/>
      <c r="H45" s="366"/>
      <c r="I45" s="687"/>
      <c r="K45" s="687"/>
      <c r="N45" s="349"/>
      <c r="O45" s="349"/>
    </row>
    <row r="46" spans="1:15" s="362" customFormat="1" ht="25.5" customHeight="1">
      <c r="A46" s="378"/>
      <c r="B46" s="372" t="s">
        <v>21</v>
      </c>
      <c r="C46" s="482">
        <v>2527755.18</v>
      </c>
      <c r="D46" s="482">
        <v>2531158.85</v>
      </c>
      <c r="E46" s="482">
        <f>2511334.72-13500</f>
        <v>2497834.72</v>
      </c>
      <c r="F46" s="373"/>
      <c r="G46" s="365">
        <f>+D46-C46</f>
        <v>3403.6699999999255</v>
      </c>
      <c r="H46" s="366">
        <f>+E46-D46</f>
        <v>-33324.12999999989</v>
      </c>
      <c r="I46" s="686"/>
      <c r="K46" s="686"/>
      <c r="N46" s="349"/>
      <c r="O46" s="349"/>
    </row>
    <row r="47" spans="2:15" s="362" customFormat="1" ht="24.75" customHeight="1">
      <c r="B47" s="372" t="s">
        <v>22</v>
      </c>
      <c r="C47" s="482">
        <v>33000</v>
      </c>
      <c r="D47" s="482">
        <v>0</v>
      </c>
      <c r="E47" s="482">
        <v>0</v>
      </c>
      <c r="F47" s="364"/>
      <c r="G47" s="365"/>
      <c r="H47" s="370"/>
      <c r="I47" s="686"/>
      <c r="K47" s="686"/>
      <c r="N47" s="349"/>
      <c r="O47" s="349"/>
    </row>
    <row r="48" spans="2:15" s="362" customFormat="1" ht="28.5" customHeight="1">
      <c r="B48" s="372" t="s">
        <v>23</v>
      </c>
      <c r="C48" s="485">
        <f>C49+C53</f>
        <v>0</v>
      </c>
      <c r="D48" s="485">
        <f>D49+D53</f>
        <v>0</v>
      </c>
      <c r="E48" s="485">
        <f>E49+E53</f>
        <v>0</v>
      </c>
      <c r="F48" s="373"/>
      <c r="G48" s="365">
        <f>+D48-C48</f>
        <v>0</v>
      </c>
      <c r="H48" s="366">
        <f>+E48-D48</f>
        <v>0</v>
      </c>
      <c r="I48" s="687"/>
      <c r="K48" s="687"/>
      <c r="N48" s="349"/>
      <c r="O48" s="349"/>
    </row>
    <row r="49" spans="2:15" s="362" customFormat="1" ht="19.5" customHeight="1">
      <c r="B49" s="367" t="s">
        <v>126</v>
      </c>
      <c r="C49" s="486">
        <f>SUM(C50:C52)</f>
        <v>0</v>
      </c>
      <c r="D49" s="486">
        <f>SUM(D50:D52)</f>
        <v>0</v>
      </c>
      <c r="E49" s="486">
        <f>SUM(E50:E52)</f>
        <v>0</v>
      </c>
      <c r="F49" s="368"/>
      <c r="G49" s="369"/>
      <c r="H49" s="370"/>
      <c r="I49" s="686"/>
      <c r="K49" s="686"/>
      <c r="N49" s="349"/>
      <c r="O49" s="349"/>
    </row>
    <row r="50" spans="2:15" s="362" customFormat="1" ht="19.5" customHeight="1">
      <c r="B50" s="367" t="s">
        <v>628</v>
      </c>
      <c r="C50" s="483"/>
      <c r="D50" s="482"/>
      <c r="E50" s="483"/>
      <c r="F50" s="368"/>
      <c r="G50" s="369"/>
      <c r="H50" s="370"/>
      <c r="I50" s="687"/>
      <c r="K50" s="687"/>
      <c r="N50" s="349"/>
      <c r="O50" s="349"/>
    </row>
    <row r="51" spans="2:15" s="362" customFormat="1" ht="19.5" customHeight="1">
      <c r="B51" s="367" t="s">
        <v>629</v>
      </c>
      <c r="C51" s="483"/>
      <c r="D51" s="482"/>
      <c r="E51" s="483"/>
      <c r="F51" s="368"/>
      <c r="G51" s="369"/>
      <c r="H51" s="370"/>
      <c r="I51" s="687"/>
      <c r="K51" s="687"/>
      <c r="N51" s="349"/>
      <c r="O51" s="349"/>
    </row>
    <row r="52" spans="2:15" s="362" customFormat="1" ht="19.5" customHeight="1">
      <c r="B52" s="367" t="s">
        <v>630</v>
      </c>
      <c r="C52" s="483"/>
      <c r="D52" s="482"/>
      <c r="E52" s="483"/>
      <c r="F52" s="368"/>
      <c r="G52" s="369"/>
      <c r="H52" s="370"/>
      <c r="I52" s="687"/>
      <c r="K52" s="687"/>
      <c r="N52" s="349"/>
      <c r="O52" s="349"/>
    </row>
    <row r="53" spans="2:15" s="362" customFormat="1" ht="19.5" customHeight="1">
      <c r="B53" s="367" t="s">
        <v>405</v>
      </c>
      <c r="C53" s="486">
        <f>SUM(C54:C56)</f>
        <v>0</v>
      </c>
      <c r="D53" s="486">
        <f>SUM(D54:D56)</f>
        <v>0</v>
      </c>
      <c r="E53" s="486">
        <f>SUM(E54:E56)</f>
        <v>0</v>
      </c>
      <c r="F53" s="371"/>
      <c r="G53" s="369">
        <f>+D53-C53</f>
        <v>0</v>
      </c>
      <c r="H53" s="370">
        <f>-E53-D53</f>
        <v>0</v>
      </c>
      <c r="I53" s="686"/>
      <c r="K53" s="686"/>
      <c r="N53" s="349"/>
      <c r="O53" s="349"/>
    </row>
    <row r="54" spans="2:15" s="362" customFormat="1" ht="19.5" customHeight="1">
      <c r="B54" s="367" t="s">
        <v>628</v>
      </c>
      <c r="C54" s="483"/>
      <c r="D54" s="483"/>
      <c r="E54" s="483"/>
      <c r="F54" s="371"/>
      <c r="G54" s="369"/>
      <c r="H54" s="370"/>
      <c r="I54" s="687"/>
      <c r="K54" s="687"/>
      <c r="N54" s="349"/>
      <c r="O54" s="349"/>
    </row>
    <row r="55" spans="2:15" s="362" customFormat="1" ht="19.5" customHeight="1">
      <c r="B55" s="367" t="s">
        <v>629</v>
      </c>
      <c r="C55" s="483"/>
      <c r="D55" s="483"/>
      <c r="E55" s="483"/>
      <c r="F55" s="371"/>
      <c r="G55" s="369"/>
      <c r="H55" s="370"/>
      <c r="I55" s="687"/>
      <c r="K55" s="687"/>
      <c r="N55" s="349"/>
      <c r="O55" s="349"/>
    </row>
    <row r="56" spans="2:15" s="362" customFormat="1" ht="19.5" customHeight="1">
      <c r="B56" s="367" t="s">
        <v>630</v>
      </c>
      <c r="C56" s="483"/>
      <c r="D56" s="483"/>
      <c r="E56" s="483"/>
      <c r="F56" s="371"/>
      <c r="G56" s="369"/>
      <c r="H56" s="370"/>
      <c r="I56" s="687"/>
      <c r="K56" s="687"/>
      <c r="N56" s="349"/>
      <c r="O56" s="349"/>
    </row>
    <row r="57" spans="2:15" s="362" customFormat="1" ht="27" customHeight="1">
      <c r="B57" s="372" t="s">
        <v>338</v>
      </c>
      <c r="C57" s="483"/>
      <c r="D57" s="483"/>
      <c r="E57" s="483"/>
      <c r="F57" s="371"/>
      <c r="G57" s="369"/>
      <c r="H57" s="370"/>
      <c r="I57" s="686"/>
      <c r="K57" s="686"/>
      <c r="N57" s="349"/>
      <c r="O57" s="349"/>
    </row>
    <row r="58" spans="2:15" s="362" customFormat="1" ht="27" customHeight="1">
      <c r="B58" s="372" t="s">
        <v>229</v>
      </c>
      <c r="C58" s="485">
        <f>SUM(C59:C61)</f>
        <v>0</v>
      </c>
      <c r="D58" s="485">
        <f>SUM(D59:D61)</f>
        <v>0</v>
      </c>
      <c r="E58" s="485">
        <f>SUM(E59:E61)</f>
        <v>0</v>
      </c>
      <c r="F58" s="371"/>
      <c r="G58" s="369"/>
      <c r="H58" s="370"/>
      <c r="I58" s="685"/>
      <c r="N58" s="349"/>
      <c r="O58" s="349"/>
    </row>
    <row r="59" spans="2:15" s="362" customFormat="1" ht="19.5" customHeight="1">
      <c r="B59" s="367" t="s">
        <v>230</v>
      </c>
      <c r="C59" s="483"/>
      <c r="D59" s="483"/>
      <c r="E59" s="483"/>
      <c r="F59" s="371"/>
      <c r="G59" s="369"/>
      <c r="H59" s="370"/>
      <c r="I59" s="688"/>
      <c r="N59" s="349"/>
      <c r="O59" s="349"/>
    </row>
    <row r="60" spans="2:15" s="362" customFormat="1" ht="19.5" customHeight="1">
      <c r="B60" s="367" t="s">
        <v>231</v>
      </c>
      <c r="C60" s="483"/>
      <c r="D60" s="483"/>
      <c r="E60" s="483"/>
      <c r="F60" s="371"/>
      <c r="G60" s="369"/>
      <c r="H60" s="370"/>
      <c r="I60" s="688"/>
      <c r="N60" s="349"/>
      <c r="O60" s="349"/>
    </row>
    <row r="61" spans="2:15" s="362" customFormat="1" ht="19.5" customHeight="1">
      <c r="B61" s="367" t="s">
        <v>232</v>
      </c>
      <c r="C61" s="483"/>
      <c r="D61" s="483"/>
      <c r="E61" s="483"/>
      <c r="F61" s="371"/>
      <c r="G61" s="369"/>
      <c r="H61" s="370"/>
      <c r="I61" s="688"/>
      <c r="N61" s="349"/>
      <c r="O61" s="349"/>
    </row>
    <row r="62" spans="1:15" s="362" customFormat="1" ht="29.25" customHeight="1">
      <c r="A62" s="378"/>
      <c r="B62" s="372" t="s">
        <v>228</v>
      </c>
      <c r="C62" s="485">
        <f>SUM(C63:C64)</f>
        <v>-91346.64000000013</v>
      </c>
      <c r="D62" s="485">
        <f>SUM(D63:D64)</f>
        <v>600</v>
      </c>
      <c r="E62" s="485">
        <f>SUM(E63:E64)</f>
        <v>0</v>
      </c>
      <c r="F62" s="371"/>
      <c r="G62" s="369">
        <f>+D62-C62</f>
        <v>91946.64000000013</v>
      </c>
      <c r="H62" s="370">
        <f>-E62-D62</f>
        <v>-600</v>
      </c>
      <c r="I62" s="685"/>
      <c r="N62" s="349"/>
      <c r="O62" s="349"/>
    </row>
    <row r="63" spans="1:15" s="362" customFormat="1" ht="21.75" customHeight="1">
      <c r="A63" s="378"/>
      <c r="B63" s="367" t="s">
        <v>675</v>
      </c>
      <c r="C63" s="483">
        <v>-2974956.4</v>
      </c>
      <c r="D63" s="483">
        <v>-600</v>
      </c>
      <c r="E63" s="483">
        <v>0</v>
      </c>
      <c r="F63" s="371"/>
      <c r="G63" s="369"/>
      <c r="H63" s="370"/>
      <c r="I63" s="688"/>
      <c r="N63" s="349"/>
      <c r="O63" s="349"/>
    </row>
    <row r="64" spans="1:15" s="362" customFormat="1" ht="21" customHeight="1">
      <c r="A64" s="378"/>
      <c r="B64" s="367" t="s">
        <v>676</v>
      </c>
      <c r="C64" s="483">
        <v>2883609.76</v>
      </c>
      <c r="D64" s="483">
        <v>1200</v>
      </c>
      <c r="E64" s="483">
        <f>'INF. ADIC. CPYG '!I36</f>
        <v>0</v>
      </c>
      <c r="F64" s="371"/>
      <c r="G64" s="369"/>
      <c r="H64" s="370"/>
      <c r="I64" s="688"/>
      <c r="N64" s="349"/>
      <c r="O64" s="349"/>
    </row>
    <row r="65" spans="2:15" s="362" customFormat="1" ht="33" customHeight="1">
      <c r="B65" s="372" t="s">
        <v>233</v>
      </c>
      <c r="C65" s="485">
        <f>C7+C8+C11+C12+C17+C29+C37+C42+C46+C47+C48+C62+C57+C58</f>
        <v>-252536.18999999994</v>
      </c>
      <c r="D65" s="485">
        <f>D7+D8+D11+D12+D17+D29+D37+D42+D46+D47+D48+D62+D57+D58</f>
        <v>-729517.4600000004</v>
      </c>
      <c r="E65" s="485">
        <f>E7+E8+E11+E12+E17+E29+E37+E42+E46+E47+E48+E62+E57+E58</f>
        <v>-688742.2499999995</v>
      </c>
      <c r="F65" s="364"/>
      <c r="G65" s="365">
        <f>+D65-C65</f>
        <v>-476981.2700000005</v>
      </c>
      <c r="H65" s="366">
        <f>+E65-D65</f>
        <v>40775.210000000894</v>
      </c>
      <c r="I65" s="688"/>
      <c r="N65" s="349"/>
      <c r="O65" s="349"/>
    </row>
    <row r="66" spans="2:15" s="362" customFormat="1" ht="27.75" customHeight="1">
      <c r="B66" s="372" t="s">
        <v>234</v>
      </c>
      <c r="C66" s="485">
        <f>SUM(C67+C70+C73)</f>
        <v>1131.49</v>
      </c>
      <c r="D66" s="485">
        <f>SUM(D67+D70+D73)</f>
        <v>4000</v>
      </c>
      <c r="E66" s="485">
        <f>SUM(E67+E70+E73)</f>
        <v>1500</v>
      </c>
      <c r="F66" s="364"/>
      <c r="G66" s="365">
        <f>+D66-C66</f>
        <v>2868.51</v>
      </c>
      <c r="H66" s="366">
        <f>+E66-D66</f>
        <v>-2500</v>
      </c>
      <c r="I66" s="688"/>
      <c r="N66" s="349"/>
      <c r="O66" s="349"/>
    </row>
    <row r="67" spans="2:15" s="362" customFormat="1" ht="19.5" customHeight="1">
      <c r="B67" s="367" t="s">
        <v>24</v>
      </c>
      <c r="C67" s="486">
        <f>SUM(C68:C69)</f>
        <v>0</v>
      </c>
      <c r="D67" s="486">
        <f>SUM(D68:D69)</f>
        <v>0</v>
      </c>
      <c r="E67" s="486">
        <f>SUM(E68:E69)</f>
        <v>0</v>
      </c>
      <c r="F67" s="371"/>
      <c r="G67" s="376"/>
      <c r="H67" s="370"/>
      <c r="I67" s="685"/>
      <c r="N67" s="349"/>
      <c r="O67" s="349"/>
    </row>
    <row r="68" spans="2:15" s="362" customFormat="1" ht="19.5" customHeight="1">
      <c r="B68" s="367" t="s">
        <v>25</v>
      </c>
      <c r="C68" s="483"/>
      <c r="D68" s="482"/>
      <c r="E68" s="483"/>
      <c r="F68" s="371"/>
      <c r="G68" s="376"/>
      <c r="H68" s="370"/>
      <c r="I68" s="688"/>
      <c r="N68" s="349"/>
      <c r="O68" s="349"/>
    </row>
    <row r="69" spans="2:15" s="362" customFormat="1" ht="19.5" customHeight="1">
      <c r="B69" s="367" t="s">
        <v>26</v>
      </c>
      <c r="C69" s="483"/>
      <c r="D69" s="482"/>
      <c r="E69" s="483"/>
      <c r="F69" s="371"/>
      <c r="G69" s="376"/>
      <c r="H69" s="370"/>
      <c r="I69" s="688"/>
      <c r="N69" s="349"/>
      <c r="O69" s="349"/>
    </row>
    <row r="70" spans="2:15" s="362" customFormat="1" ht="19.5" customHeight="1">
      <c r="B70" s="367" t="s">
        <v>406</v>
      </c>
      <c r="C70" s="486">
        <f>SUM(C71:C72)</f>
        <v>1131.49</v>
      </c>
      <c r="D70" s="486">
        <f>SUM(D71:D72)</f>
        <v>4000</v>
      </c>
      <c r="E70" s="486">
        <f>SUM(E71:E72)</f>
        <v>1500</v>
      </c>
      <c r="F70" s="371"/>
      <c r="G70" s="369">
        <f>+D70-C70</f>
        <v>2868.51</v>
      </c>
      <c r="H70" s="370">
        <f>-E70-D70</f>
        <v>-5500</v>
      </c>
      <c r="I70" s="685"/>
      <c r="N70" s="349"/>
      <c r="O70" s="349"/>
    </row>
    <row r="71" spans="2:15" s="362" customFormat="1" ht="19.5" customHeight="1">
      <c r="B71" s="367" t="s">
        <v>27</v>
      </c>
      <c r="C71" s="483"/>
      <c r="D71" s="483"/>
      <c r="E71" s="483"/>
      <c r="F71" s="371"/>
      <c r="G71" s="376"/>
      <c r="H71" s="370"/>
      <c r="I71" s="688"/>
      <c r="N71" s="349"/>
      <c r="O71" s="349"/>
    </row>
    <row r="72" spans="2:15" s="362" customFormat="1" ht="19.5" customHeight="1">
      <c r="B72" s="367" t="s">
        <v>28</v>
      </c>
      <c r="C72" s="483">
        <v>1131.49</v>
      </c>
      <c r="D72" s="483">
        <v>4000</v>
      </c>
      <c r="E72" s="483">
        <v>1500</v>
      </c>
      <c r="F72" s="381"/>
      <c r="G72" s="369">
        <f>+D72-C72</f>
        <v>2868.51</v>
      </c>
      <c r="H72" s="370">
        <f>-E72-D72</f>
        <v>-5500</v>
      </c>
      <c r="I72" s="688"/>
      <c r="N72" s="349"/>
      <c r="O72" s="349"/>
    </row>
    <row r="73" spans="2:15" s="362" customFormat="1" ht="19.5" customHeight="1">
      <c r="B73" s="367" t="s">
        <v>339</v>
      </c>
      <c r="C73" s="483"/>
      <c r="D73" s="483"/>
      <c r="E73" s="483"/>
      <c r="F73" s="381"/>
      <c r="G73" s="369"/>
      <c r="H73" s="370"/>
      <c r="I73" s="686"/>
      <c r="K73" s="686"/>
      <c r="N73" s="349"/>
      <c r="O73" s="349"/>
    </row>
    <row r="74" spans="2:15" s="362" customFormat="1" ht="19.5" customHeight="1">
      <c r="B74" s="372" t="s">
        <v>235</v>
      </c>
      <c r="C74" s="485">
        <f>SUM(C75:C77)</f>
        <v>0</v>
      </c>
      <c r="D74" s="485">
        <f>SUM(D75:D77)</f>
        <v>-300</v>
      </c>
      <c r="E74" s="485">
        <f>E75+E76+E77</f>
        <v>0</v>
      </c>
      <c r="F74" s="373"/>
      <c r="G74" s="365">
        <f>+D74-C74</f>
        <v>-300</v>
      </c>
      <c r="H74" s="366">
        <f>+E74-D74</f>
        <v>300</v>
      </c>
      <c r="I74" s="688"/>
      <c r="N74" s="349"/>
      <c r="O74" s="349"/>
    </row>
    <row r="75" spans="2:15" s="362" customFormat="1" ht="19.5" customHeight="1">
      <c r="B75" s="367" t="s">
        <v>29</v>
      </c>
      <c r="C75" s="483"/>
      <c r="D75" s="482"/>
      <c r="E75" s="483"/>
      <c r="F75" s="371"/>
      <c r="G75" s="376"/>
      <c r="H75" s="370"/>
      <c r="I75" s="685"/>
      <c r="N75" s="349"/>
      <c r="O75" s="349"/>
    </row>
    <row r="76" spans="2:15" s="362" customFormat="1" ht="19.5" customHeight="1">
      <c r="B76" s="367" t="s">
        <v>407</v>
      </c>
      <c r="C76" s="483">
        <v>0</v>
      </c>
      <c r="D76" s="483">
        <v>-300</v>
      </c>
      <c r="E76" s="483">
        <v>0</v>
      </c>
      <c r="F76" s="381"/>
      <c r="G76" s="382"/>
      <c r="H76" s="370"/>
      <c r="I76" s="685"/>
      <c r="N76" s="349"/>
      <c r="O76" s="349"/>
    </row>
    <row r="77" spans="2:15" s="362" customFormat="1" ht="19.5" customHeight="1">
      <c r="B77" s="367" t="s">
        <v>408</v>
      </c>
      <c r="C77" s="482"/>
      <c r="D77" s="482"/>
      <c r="E77" s="482"/>
      <c r="F77" s="383"/>
      <c r="G77" s="384"/>
      <c r="H77" s="370"/>
      <c r="I77" s="686"/>
      <c r="K77" s="686"/>
      <c r="N77" s="349"/>
      <c r="O77" s="349"/>
    </row>
    <row r="78" spans="2:15" s="362" customFormat="1" ht="24.75" customHeight="1">
      <c r="B78" s="372" t="s">
        <v>236</v>
      </c>
      <c r="C78" s="485">
        <f>C79+C80</f>
        <v>0</v>
      </c>
      <c r="D78" s="485">
        <f>D79+D80</f>
        <v>0</v>
      </c>
      <c r="E78" s="485">
        <f>E79+E80</f>
        <v>0</v>
      </c>
      <c r="F78" s="373"/>
      <c r="G78" s="365">
        <f>+D78-C78</f>
        <v>0</v>
      </c>
      <c r="H78" s="366">
        <f>+E78-D78</f>
        <v>0</v>
      </c>
      <c r="I78" s="686"/>
      <c r="K78" s="686"/>
      <c r="N78" s="349"/>
      <c r="O78" s="349"/>
    </row>
    <row r="79" spans="2:15" s="362" customFormat="1" ht="19.5" customHeight="1">
      <c r="B79" s="367" t="s">
        <v>30</v>
      </c>
      <c r="C79" s="482"/>
      <c r="D79" s="482"/>
      <c r="E79" s="482"/>
      <c r="F79" s="383"/>
      <c r="G79" s="384"/>
      <c r="H79" s="370"/>
      <c r="I79" s="687"/>
      <c r="K79" s="687"/>
      <c r="N79" s="349"/>
      <c r="O79" s="349"/>
    </row>
    <row r="80" spans="2:15" s="362" customFormat="1" ht="28.5" customHeight="1">
      <c r="B80" s="385" t="s">
        <v>409</v>
      </c>
      <c r="C80" s="482"/>
      <c r="D80" s="482"/>
      <c r="E80" s="482"/>
      <c r="F80" s="383"/>
      <c r="G80" s="384"/>
      <c r="H80" s="370"/>
      <c r="I80" s="687"/>
      <c r="K80" s="687"/>
      <c r="N80" s="349"/>
      <c r="O80" s="349"/>
    </row>
    <row r="81" spans="2:15" s="362" customFormat="1" ht="21.75" customHeight="1">
      <c r="B81" s="372" t="s">
        <v>237</v>
      </c>
      <c r="C81" s="482"/>
      <c r="D81" s="482"/>
      <c r="E81" s="482"/>
      <c r="F81" s="373"/>
      <c r="G81" s="374"/>
      <c r="H81" s="370"/>
      <c r="I81" s="686"/>
      <c r="K81" s="686"/>
      <c r="N81" s="349"/>
      <c r="O81" s="349"/>
    </row>
    <row r="82" spans="2:15" s="362" customFormat="1" ht="28.5" customHeight="1">
      <c r="B82" s="372" t="s">
        <v>238</v>
      </c>
      <c r="C82" s="485">
        <f>SUM(C83:C84)</f>
        <v>0</v>
      </c>
      <c r="D82" s="485">
        <f>SUM(D83:D84)</f>
        <v>0</v>
      </c>
      <c r="E82" s="485">
        <f>SUM(E83:E84)</f>
        <v>0</v>
      </c>
      <c r="F82" s="364"/>
      <c r="G82" s="365"/>
      <c r="H82" s="370"/>
      <c r="I82" s="686"/>
      <c r="K82" s="686"/>
      <c r="N82" s="349"/>
      <c r="O82" s="349"/>
    </row>
    <row r="83" spans="2:15" s="362" customFormat="1" ht="20.25" customHeight="1">
      <c r="B83" s="367" t="s">
        <v>31</v>
      </c>
      <c r="C83" s="482"/>
      <c r="D83" s="482"/>
      <c r="E83" s="482"/>
      <c r="F83" s="379"/>
      <c r="G83" s="380"/>
      <c r="H83" s="370"/>
      <c r="I83" s="687"/>
      <c r="K83" s="687"/>
      <c r="N83" s="349"/>
      <c r="O83" s="349"/>
    </row>
    <row r="84" spans="2:15" s="362" customFormat="1" ht="17.25" customHeight="1">
      <c r="B84" s="385" t="s">
        <v>32</v>
      </c>
      <c r="C84" s="482"/>
      <c r="D84" s="482"/>
      <c r="E84" s="482"/>
      <c r="F84" s="379"/>
      <c r="G84" s="380"/>
      <c r="H84" s="370"/>
      <c r="I84" s="687"/>
      <c r="K84" s="687"/>
      <c r="N84" s="349"/>
      <c r="O84" s="349"/>
    </row>
    <row r="85" spans="2:15" s="362" customFormat="1" ht="17.25" customHeight="1">
      <c r="B85" s="372" t="s">
        <v>241</v>
      </c>
      <c r="C85" s="485">
        <f>SUM(C86:C87)</f>
        <v>0</v>
      </c>
      <c r="D85" s="485">
        <f>SUM(D86:D87)</f>
        <v>0</v>
      </c>
      <c r="E85" s="485">
        <f>SUM(E86:E87)</f>
        <v>0</v>
      </c>
      <c r="F85" s="379"/>
      <c r="G85" s="380"/>
      <c r="H85" s="370"/>
      <c r="I85" s="688"/>
      <c r="N85" s="349"/>
      <c r="O85" s="349"/>
    </row>
    <row r="86" spans="2:15" s="362" customFormat="1" ht="17.25" customHeight="1">
      <c r="B86" s="372" t="s">
        <v>340</v>
      </c>
      <c r="C86" s="482"/>
      <c r="D86" s="482"/>
      <c r="E86" s="482"/>
      <c r="F86" s="379"/>
      <c r="G86" s="380"/>
      <c r="H86" s="370"/>
      <c r="I86" s="685"/>
      <c r="N86" s="349"/>
      <c r="O86" s="349"/>
    </row>
    <row r="87" spans="2:15" s="362" customFormat="1" ht="17.25" customHeight="1">
      <c r="B87" s="372" t="s">
        <v>341</v>
      </c>
      <c r="C87" s="482"/>
      <c r="D87" s="482"/>
      <c r="E87" s="482"/>
      <c r="F87" s="379"/>
      <c r="G87" s="380"/>
      <c r="H87" s="370"/>
      <c r="I87" s="685"/>
      <c r="N87" s="349"/>
      <c r="O87" s="349"/>
    </row>
    <row r="88" spans="2:15" s="362" customFormat="1" ht="19.5" customHeight="1">
      <c r="B88" s="386" t="s">
        <v>374</v>
      </c>
      <c r="C88" s="485">
        <f>C66+C74+C78+C81+C82+C85</f>
        <v>1131.49</v>
      </c>
      <c r="D88" s="485">
        <f>D66+D74+D78+D81+D82+D85</f>
        <v>3700</v>
      </c>
      <c r="E88" s="485">
        <f>E66+E74+E78+E81+E82+E85</f>
        <v>1500</v>
      </c>
      <c r="F88" s="364"/>
      <c r="G88" s="365">
        <f aca="true" t="shared" si="0" ref="G88:H94">+D88-C88</f>
        <v>2568.51</v>
      </c>
      <c r="H88" s="366">
        <f t="shared" si="0"/>
        <v>-2200</v>
      </c>
      <c r="I88" s="688"/>
      <c r="N88" s="349"/>
      <c r="O88" s="349"/>
    </row>
    <row r="89" spans="2:15" s="362" customFormat="1" ht="19.5" customHeight="1">
      <c r="B89" s="386" t="s">
        <v>410</v>
      </c>
      <c r="C89" s="485">
        <f>C88+C65</f>
        <v>-251404.69999999995</v>
      </c>
      <c r="D89" s="487">
        <f>D88+D65</f>
        <v>-725817.4600000004</v>
      </c>
      <c r="E89" s="487">
        <f>E88+E65</f>
        <v>-687242.2499999995</v>
      </c>
      <c r="F89" s="387"/>
      <c r="G89" s="365">
        <f t="shared" si="0"/>
        <v>-474412.7600000005</v>
      </c>
      <c r="H89" s="366">
        <f t="shared" si="0"/>
        <v>38575.210000000894</v>
      </c>
      <c r="I89" s="688"/>
      <c r="N89" s="349"/>
      <c r="O89" s="349"/>
    </row>
    <row r="90" spans="2:15" s="362" customFormat="1" ht="21.75" customHeight="1">
      <c r="B90" s="372" t="s">
        <v>239</v>
      </c>
      <c r="C90" s="484"/>
      <c r="D90" s="484"/>
      <c r="E90" s="484"/>
      <c r="F90" s="388"/>
      <c r="G90" s="365">
        <f t="shared" si="0"/>
        <v>0</v>
      </c>
      <c r="H90" s="366">
        <f t="shared" si="0"/>
        <v>0</v>
      </c>
      <c r="I90" s="685"/>
      <c r="N90" s="349"/>
      <c r="O90" s="349"/>
    </row>
    <row r="91" spans="2:15" s="362" customFormat="1" ht="31.5" customHeight="1">
      <c r="B91" s="389" t="s">
        <v>33</v>
      </c>
      <c r="C91" s="485">
        <f>C89+C90</f>
        <v>-251404.69999999995</v>
      </c>
      <c r="D91" s="485">
        <f>D89+D90</f>
        <v>-725817.4600000004</v>
      </c>
      <c r="E91" s="485">
        <f>E89+E90</f>
        <v>-687242.2499999995</v>
      </c>
      <c r="F91" s="364"/>
      <c r="G91" s="365">
        <f t="shared" si="0"/>
        <v>-474412.7600000005</v>
      </c>
      <c r="H91" s="366">
        <f t="shared" si="0"/>
        <v>38575.210000000894</v>
      </c>
      <c r="I91" s="688"/>
      <c r="N91" s="349"/>
      <c r="O91" s="349"/>
    </row>
    <row r="92" spans="2:15" s="362" customFormat="1" ht="19.5" customHeight="1">
      <c r="B92" s="386" t="s">
        <v>411</v>
      </c>
      <c r="C92" s="482"/>
      <c r="D92" s="482"/>
      <c r="E92" s="482"/>
      <c r="F92" s="379"/>
      <c r="G92" s="365">
        <f t="shared" si="0"/>
        <v>0</v>
      </c>
      <c r="H92" s="366">
        <f t="shared" si="0"/>
        <v>0</v>
      </c>
      <c r="I92" s="686"/>
      <c r="N92" s="349"/>
      <c r="O92" s="349"/>
    </row>
    <row r="93" spans="2:15" s="362" customFormat="1" ht="29.25" customHeight="1">
      <c r="B93" s="372" t="s">
        <v>240</v>
      </c>
      <c r="C93" s="482"/>
      <c r="D93" s="482"/>
      <c r="E93" s="482"/>
      <c r="F93" s="379"/>
      <c r="G93" s="365">
        <f t="shared" si="0"/>
        <v>0</v>
      </c>
      <c r="H93" s="366">
        <f t="shared" si="0"/>
        <v>0</v>
      </c>
      <c r="I93" s="690"/>
      <c r="N93" s="349"/>
      <c r="O93" s="349"/>
    </row>
    <row r="94" spans="2:15" s="362" customFormat="1" ht="39.75" customHeight="1">
      <c r="B94" s="390" t="s">
        <v>34</v>
      </c>
      <c r="C94" s="485">
        <f>C91+C93</f>
        <v>-251404.69999999995</v>
      </c>
      <c r="D94" s="485">
        <f>D91+D93</f>
        <v>-725817.4600000004</v>
      </c>
      <c r="E94" s="485">
        <f>E91+E92+E93</f>
        <v>-687242.2499999995</v>
      </c>
      <c r="F94" s="383"/>
      <c r="G94" s="365">
        <f t="shared" si="0"/>
        <v>-474412.7600000005</v>
      </c>
      <c r="H94" s="366">
        <f t="shared" si="0"/>
        <v>38575.210000000894</v>
      </c>
      <c r="N94" s="349"/>
      <c r="O94" s="349"/>
    </row>
    <row r="95" spans="3:8" ht="19.5" customHeight="1">
      <c r="C95" s="391"/>
      <c r="D95" s="391"/>
      <c r="E95" s="391"/>
      <c r="F95" s="391"/>
      <c r="G95" s="392"/>
      <c r="H95" s="393"/>
    </row>
    <row r="96" spans="2:7" ht="19.5" customHeight="1" hidden="1">
      <c r="B96" s="394" t="s">
        <v>600</v>
      </c>
      <c r="C96" s="395"/>
      <c r="D96" s="395"/>
      <c r="E96" s="395"/>
      <c r="F96" s="395"/>
      <c r="G96" s="396"/>
    </row>
    <row r="97" spans="2:7" ht="19.5" customHeight="1" hidden="1">
      <c r="B97" s="349" t="s">
        <v>35</v>
      </c>
      <c r="C97" s="391"/>
      <c r="D97" s="391"/>
      <c r="E97" s="391"/>
      <c r="F97" s="391"/>
      <c r="G97" s="392"/>
    </row>
    <row r="98" spans="3:7" ht="19.5" customHeight="1" hidden="1">
      <c r="C98" s="391"/>
      <c r="D98" s="391"/>
      <c r="E98" s="391"/>
      <c r="F98" s="391"/>
      <c r="G98" s="392"/>
    </row>
    <row r="99" spans="3:7" ht="19.5" customHeight="1" hidden="1">
      <c r="C99" s="391"/>
      <c r="D99" s="391"/>
      <c r="E99" s="391"/>
      <c r="F99" s="391"/>
      <c r="G99" s="392"/>
    </row>
    <row r="100" spans="3:7" ht="19.5" customHeight="1" hidden="1">
      <c r="C100" s="391"/>
      <c r="D100" s="391"/>
      <c r="E100" s="391"/>
      <c r="F100" s="391"/>
      <c r="G100" s="392"/>
    </row>
    <row r="101" spans="3:7" ht="19.5" customHeight="1" hidden="1">
      <c r="C101" s="391"/>
      <c r="D101" s="391"/>
      <c r="E101" s="391"/>
      <c r="F101" s="391"/>
      <c r="G101" s="392"/>
    </row>
    <row r="102" spans="3:7" ht="19.5" customHeight="1" hidden="1">
      <c r="C102" s="397">
        <f>+PASIVO!C20</f>
        <v>-251404.69999999995</v>
      </c>
      <c r="D102" s="397">
        <f>+PASIVO!D20</f>
        <v>-725817.4600000004</v>
      </c>
      <c r="E102" s="397">
        <f>+PASIVO!E20</f>
        <v>-687242.2499999995</v>
      </c>
      <c r="F102" s="397"/>
      <c r="G102" s="398"/>
    </row>
    <row r="103" spans="3:7" ht="19.5" customHeight="1" hidden="1">
      <c r="C103" s="399">
        <f>C94-C102</f>
        <v>0</v>
      </c>
      <c r="D103" s="399">
        <f>D94-D102</f>
        <v>0</v>
      </c>
      <c r="E103" s="399">
        <f>E94-E102</f>
        <v>0</v>
      </c>
      <c r="F103" s="399"/>
      <c r="G103" s="400"/>
    </row>
    <row r="104" spans="3:15" s="401" customFormat="1" ht="19.5" customHeight="1" hidden="1">
      <c r="C104" s="402"/>
      <c r="D104" s="402"/>
      <c r="E104" s="402"/>
      <c r="F104" s="402"/>
      <c r="G104" s="403"/>
      <c r="H104" s="404"/>
      <c r="N104" s="349"/>
      <c r="O104" s="349"/>
    </row>
    <row r="105" spans="2:7" ht="19.5" customHeight="1" hidden="1">
      <c r="B105" s="349" t="s">
        <v>60</v>
      </c>
      <c r="C105" s="399">
        <f>+PASIVO!C19</f>
        <v>3390937.73</v>
      </c>
      <c r="D105" s="399">
        <f>+PASIVO!D19-PASIVO!C19</f>
        <v>735198</v>
      </c>
      <c r="E105" s="399">
        <f>+PASIVO!E19-PASIVO!D19</f>
        <v>703449.0000000005</v>
      </c>
      <c r="F105" s="399"/>
      <c r="G105" s="400"/>
    </row>
    <row r="106" spans="2:7" ht="19.5" customHeight="1" hidden="1">
      <c r="B106" s="349" t="s">
        <v>61</v>
      </c>
      <c r="C106" s="399">
        <f>+C94</f>
        <v>-251404.69999999995</v>
      </c>
      <c r="D106" s="399">
        <f>+D94</f>
        <v>-725817.4600000004</v>
      </c>
      <c r="E106" s="399">
        <f>+E94</f>
        <v>-687242.2499999995</v>
      </c>
      <c r="F106" s="399"/>
      <c r="G106" s="400"/>
    </row>
    <row r="107" spans="2:7" ht="19.5" customHeight="1" hidden="1">
      <c r="B107" s="349" t="s">
        <v>62</v>
      </c>
      <c r="C107" s="397">
        <f>SUM(C105:C106)</f>
        <v>3139533.0300000003</v>
      </c>
      <c r="D107" s="397">
        <f>SUM(D105:D106)</f>
        <v>9380.539999999572</v>
      </c>
      <c r="E107" s="397">
        <f>SUM(E105:E106)</f>
        <v>16206.750000000931</v>
      </c>
      <c r="F107" s="397"/>
      <c r="G107" s="398"/>
    </row>
    <row r="108" spans="2:7" ht="19.5" customHeight="1" hidden="1">
      <c r="B108" s="405" t="s">
        <v>92</v>
      </c>
      <c r="C108" s="399">
        <f>+PASIVO!C19+C94</f>
        <v>3139533.0300000003</v>
      </c>
      <c r="D108" s="399">
        <f>+PASIVO!D19+D94-PASIVO!C19</f>
        <v>9380.539999999572</v>
      </c>
      <c r="E108" s="399">
        <f>+PASIVO!E19+E94-PASIVO!D19</f>
        <v>16206.750000000931</v>
      </c>
      <c r="F108" s="399"/>
      <c r="G108" s="400"/>
    </row>
    <row r="109" spans="2:7" ht="19.5" customHeight="1" hidden="1">
      <c r="B109" s="349" t="s">
        <v>93</v>
      </c>
      <c r="C109" s="391">
        <v>29502.85</v>
      </c>
      <c r="D109" s="391">
        <v>0</v>
      </c>
      <c r="E109" s="391">
        <v>0</v>
      </c>
      <c r="F109" s="391"/>
      <c r="G109" s="392"/>
    </row>
    <row r="110" spans="2:7" ht="19.5" customHeight="1" hidden="1">
      <c r="B110" s="349" t="s">
        <v>87</v>
      </c>
      <c r="C110" s="406">
        <f>+C108-C109</f>
        <v>3110030.18</v>
      </c>
      <c r="D110" s="399">
        <f>+D108-D109</f>
        <v>9380.539999999572</v>
      </c>
      <c r="E110" s="406">
        <f>+E108-E109</f>
        <v>16206.750000000931</v>
      </c>
      <c r="F110" s="406"/>
      <c r="G110" s="407"/>
    </row>
    <row r="111" spans="3:7" ht="19.5" customHeight="1" hidden="1">
      <c r="C111" s="391"/>
      <c r="D111" s="391"/>
      <c r="E111" s="391"/>
      <c r="F111" s="391"/>
      <c r="G111" s="392"/>
    </row>
    <row r="112" spans="3:7" ht="19.5" customHeight="1" hidden="1">
      <c r="C112" s="391"/>
      <c r="D112" s="391"/>
      <c r="E112" s="391"/>
      <c r="F112" s="391"/>
      <c r="G112" s="392"/>
    </row>
    <row r="113" spans="3:7" ht="19.5" customHeight="1" hidden="1">
      <c r="C113" s="391"/>
      <c r="D113" s="391"/>
      <c r="E113" s="391"/>
      <c r="F113" s="391"/>
      <c r="G113" s="392"/>
    </row>
    <row r="114" spans="3:7" ht="19.5" customHeight="1" hidden="1">
      <c r="C114" s="391"/>
      <c r="D114" s="391"/>
      <c r="E114" s="391"/>
      <c r="F114" s="391"/>
      <c r="G114" s="392"/>
    </row>
    <row r="115" spans="3:7" ht="19.5" customHeight="1" hidden="1">
      <c r="C115" s="391"/>
      <c r="D115" s="391"/>
      <c r="E115" s="391"/>
      <c r="F115" s="391"/>
      <c r="G115" s="392"/>
    </row>
    <row r="116" spans="3:7" ht="19.5" customHeight="1" hidden="1">
      <c r="C116" s="391"/>
      <c r="D116" s="391"/>
      <c r="E116" s="391"/>
      <c r="F116" s="391"/>
      <c r="G116" s="392"/>
    </row>
    <row r="117" spans="2:15" s="741" customFormat="1" ht="19.5" customHeight="1" hidden="1">
      <c r="B117" s="745"/>
      <c r="C117" s="742"/>
      <c r="D117" s="742"/>
      <c r="E117" s="742"/>
      <c r="F117" s="742"/>
      <c r="G117" s="743"/>
      <c r="H117" s="744"/>
      <c r="N117" s="349"/>
      <c r="O117" s="349"/>
    </row>
    <row r="118" spans="2:15" s="741" customFormat="1" ht="19.5" customHeight="1" hidden="1">
      <c r="B118" s="745" t="s">
        <v>884</v>
      </c>
      <c r="C118" s="742">
        <f>C94-PASIVO!C20</f>
        <v>0</v>
      </c>
      <c r="D118" s="742">
        <f>D94-PASIVO!D20</f>
        <v>0</v>
      </c>
      <c r="E118" s="742">
        <f>E94-PASIVO!E20</f>
        <v>0</v>
      </c>
      <c r="F118" s="742"/>
      <c r="G118" s="743"/>
      <c r="H118" s="744"/>
      <c r="N118" s="349"/>
      <c r="O118" s="349"/>
    </row>
    <row r="119" spans="3:7" ht="19.5" customHeight="1" hidden="1">
      <c r="C119" s="391"/>
      <c r="D119" s="391"/>
      <c r="E119" s="391"/>
      <c r="F119" s="391"/>
      <c r="G119" s="392"/>
    </row>
    <row r="120" spans="2:7" ht="19.5" customHeight="1" hidden="1">
      <c r="B120" s="349" t="s">
        <v>996</v>
      </c>
      <c r="C120" s="391"/>
      <c r="D120" s="391">
        <f>+'Transf. y subv.'!E39</f>
        <v>735198</v>
      </c>
      <c r="E120" s="391">
        <f>+'Transf. y subv.'!F39</f>
        <v>703449</v>
      </c>
      <c r="F120" s="391"/>
      <c r="G120" s="392"/>
    </row>
    <row r="121" spans="3:7" ht="19.5" customHeight="1" hidden="1">
      <c r="C121" s="391"/>
      <c r="D121" s="391"/>
      <c r="E121" s="391"/>
      <c r="F121" s="391"/>
      <c r="G121" s="392"/>
    </row>
    <row r="122" spans="2:7" ht="19.5" customHeight="1" hidden="1">
      <c r="B122" s="349" t="s">
        <v>997</v>
      </c>
      <c r="C122" s="391"/>
      <c r="D122" s="391">
        <f>+D94+D120</f>
        <v>9380.539999999572</v>
      </c>
      <c r="E122" s="391">
        <f>+E94+E120</f>
        <v>16206.750000000466</v>
      </c>
      <c r="F122" s="391"/>
      <c r="G122" s="392"/>
    </row>
    <row r="123" spans="3:7" ht="19.5" customHeight="1" hidden="1">
      <c r="C123" s="391"/>
      <c r="D123" s="391"/>
      <c r="E123" s="391"/>
      <c r="F123" s="391"/>
      <c r="G123" s="392"/>
    </row>
    <row r="124" spans="2:7" ht="19.5" customHeight="1" hidden="1">
      <c r="B124" s="349" t="s">
        <v>998</v>
      </c>
      <c r="C124" s="391"/>
      <c r="D124" s="391">
        <f>+D65+D120</f>
        <v>5680.539999999572</v>
      </c>
      <c r="E124" s="391">
        <f>+E65+E120</f>
        <v>14706.750000000466</v>
      </c>
      <c r="F124" s="391"/>
      <c r="G124" s="392"/>
    </row>
    <row r="125" spans="3:7" ht="19.5" customHeight="1" hidden="1">
      <c r="C125" s="391"/>
      <c r="D125" s="391"/>
      <c r="E125" s="391"/>
      <c r="F125" s="391"/>
      <c r="G125" s="392"/>
    </row>
    <row r="126" spans="3:7" ht="19.5" customHeight="1" hidden="1">
      <c r="C126" s="391"/>
      <c r="D126" s="391"/>
      <c r="E126" s="391"/>
      <c r="F126" s="391"/>
      <c r="G126" s="392"/>
    </row>
    <row r="127" spans="3:7" ht="19.5" customHeight="1">
      <c r="C127" s="391"/>
      <c r="D127" s="391"/>
      <c r="E127" s="391"/>
      <c r="F127" s="391"/>
      <c r="G127" s="392"/>
    </row>
    <row r="128" spans="3:7" ht="19.5" customHeight="1">
      <c r="C128" s="391"/>
      <c r="D128" s="391"/>
      <c r="E128" s="391"/>
      <c r="F128" s="391"/>
      <c r="G128" s="392"/>
    </row>
    <row r="129" spans="3:7" ht="19.5" customHeight="1">
      <c r="C129" s="391"/>
      <c r="D129" s="391"/>
      <c r="E129" s="391"/>
      <c r="F129" s="391"/>
      <c r="G129" s="392"/>
    </row>
    <row r="130" spans="3:7" ht="19.5" customHeight="1">
      <c r="C130" s="391"/>
      <c r="D130" s="391"/>
      <c r="E130" s="391"/>
      <c r="F130" s="391"/>
      <c r="G130" s="392"/>
    </row>
    <row r="131" spans="3:7" ht="19.5" customHeight="1">
      <c r="C131" s="391"/>
      <c r="D131" s="391"/>
      <c r="E131" s="391"/>
      <c r="F131" s="391"/>
      <c r="G131" s="392"/>
    </row>
    <row r="132" spans="3:7" ht="19.5" customHeight="1">
      <c r="C132" s="391"/>
      <c r="D132" s="391"/>
      <c r="E132" s="391"/>
      <c r="F132" s="391"/>
      <c r="G132" s="392"/>
    </row>
    <row r="133" spans="3:7" ht="19.5" customHeight="1">
      <c r="C133" s="391"/>
      <c r="D133" s="391"/>
      <c r="E133" s="391"/>
      <c r="F133" s="391"/>
      <c r="G133" s="392"/>
    </row>
    <row r="134" spans="3:7" ht="19.5" customHeight="1">
      <c r="C134" s="391"/>
      <c r="D134" s="391"/>
      <c r="E134" s="391"/>
      <c r="F134" s="391"/>
      <c r="G134" s="392"/>
    </row>
    <row r="135" spans="3:7" ht="19.5" customHeight="1">
      <c r="C135" s="391"/>
      <c r="D135" s="391"/>
      <c r="E135" s="391"/>
      <c r="F135" s="391"/>
      <c r="G135" s="392"/>
    </row>
    <row r="136" spans="3:7" ht="19.5" customHeight="1">
      <c r="C136" s="391"/>
      <c r="D136" s="391"/>
      <c r="E136" s="391"/>
      <c r="F136" s="391"/>
      <c r="G136" s="392"/>
    </row>
    <row r="137" spans="3:7" ht="19.5" customHeight="1">
      <c r="C137" s="391"/>
      <c r="D137" s="391"/>
      <c r="E137" s="391"/>
      <c r="F137" s="391"/>
      <c r="G137" s="392"/>
    </row>
    <row r="138" spans="3:7" ht="19.5" customHeight="1">
      <c r="C138" s="391"/>
      <c r="D138" s="391"/>
      <c r="E138" s="391"/>
      <c r="F138" s="391"/>
      <c r="G138" s="392"/>
    </row>
    <row r="139" spans="3:7" ht="19.5" customHeight="1">
      <c r="C139" s="391"/>
      <c r="D139" s="391"/>
      <c r="E139" s="391"/>
      <c r="F139" s="391"/>
      <c r="G139" s="392"/>
    </row>
    <row r="140" spans="3:7" ht="19.5" customHeight="1">
      <c r="C140" s="391"/>
      <c r="D140" s="391"/>
      <c r="E140" s="391"/>
      <c r="F140" s="391"/>
      <c r="G140" s="392"/>
    </row>
    <row r="141" spans="3:7" ht="19.5" customHeight="1">
      <c r="C141" s="391"/>
      <c r="D141" s="391"/>
      <c r="E141" s="391"/>
      <c r="F141" s="391"/>
      <c r="G141" s="392"/>
    </row>
    <row r="142" spans="3:7" ht="19.5" customHeight="1">
      <c r="C142" s="391"/>
      <c r="D142" s="391"/>
      <c r="E142" s="391"/>
      <c r="F142" s="391"/>
      <c r="G142" s="392"/>
    </row>
    <row r="143" spans="3:7" ht="19.5" customHeight="1">
      <c r="C143" s="391"/>
      <c r="D143" s="391"/>
      <c r="E143" s="391"/>
      <c r="F143" s="391"/>
      <c r="G143" s="392"/>
    </row>
    <row r="144" spans="3:7" ht="19.5" customHeight="1">
      <c r="C144" s="391"/>
      <c r="D144" s="391"/>
      <c r="E144" s="391"/>
      <c r="F144" s="391"/>
      <c r="G144" s="392"/>
    </row>
    <row r="145" spans="3:7" ht="19.5" customHeight="1">
      <c r="C145" s="391"/>
      <c r="D145" s="391"/>
      <c r="E145" s="391"/>
      <c r="F145" s="391"/>
      <c r="G145" s="392"/>
    </row>
    <row r="146" spans="3:7" ht="19.5" customHeight="1">
      <c r="C146" s="391"/>
      <c r="D146" s="391"/>
      <c r="E146" s="391"/>
      <c r="F146" s="391"/>
      <c r="G146" s="392"/>
    </row>
    <row r="147" spans="3:7" ht="19.5" customHeight="1">
      <c r="C147" s="391"/>
      <c r="D147" s="391"/>
      <c r="E147" s="391"/>
      <c r="F147" s="391"/>
      <c r="G147" s="392"/>
    </row>
    <row r="148" spans="3:7" ht="19.5" customHeight="1">
      <c r="C148" s="391"/>
      <c r="D148" s="391"/>
      <c r="E148" s="391"/>
      <c r="F148" s="391"/>
      <c r="G148" s="392"/>
    </row>
    <row r="149" spans="3:7" ht="19.5" customHeight="1">
      <c r="C149" s="391"/>
      <c r="D149" s="391"/>
      <c r="E149" s="391"/>
      <c r="F149" s="391"/>
      <c r="G149" s="392"/>
    </row>
    <row r="150" spans="3:7" ht="19.5" customHeight="1">
      <c r="C150" s="391"/>
      <c r="D150" s="391"/>
      <c r="E150" s="391"/>
      <c r="F150" s="391"/>
      <c r="G150" s="392"/>
    </row>
    <row r="151" spans="3:7" ht="19.5" customHeight="1">
      <c r="C151" s="391"/>
      <c r="D151" s="391"/>
      <c r="E151" s="391"/>
      <c r="F151" s="391"/>
      <c r="G151" s="392"/>
    </row>
    <row r="152" spans="3:7" ht="19.5" customHeight="1">
      <c r="C152" s="391"/>
      <c r="D152" s="391"/>
      <c r="E152" s="391"/>
      <c r="F152" s="391"/>
      <c r="G152" s="392"/>
    </row>
    <row r="153" spans="3:7" ht="19.5" customHeight="1">
      <c r="C153" s="391"/>
      <c r="D153" s="391"/>
      <c r="E153" s="391"/>
      <c r="F153" s="391"/>
      <c r="G153" s="392"/>
    </row>
    <row r="154" spans="3:7" ht="19.5" customHeight="1">
      <c r="C154" s="391"/>
      <c r="D154" s="391"/>
      <c r="E154" s="391"/>
      <c r="F154" s="391"/>
      <c r="G154" s="392"/>
    </row>
    <row r="155" spans="3:7" ht="19.5" customHeight="1">
      <c r="C155" s="391"/>
      <c r="D155" s="391"/>
      <c r="E155" s="391"/>
      <c r="F155" s="391"/>
      <c r="G155" s="392"/>
    </row>
    <row r="156" spans="3:7" ht="19.5" customHeight="1">
      <c r="C156" s="391"/>
      <c r="D156" s="391"/>
      <c r="E156" s="391"/>
      <c r="F156" s="391"/>
      <c r="G156" s="392"/>
    </row>
    <row r="157" spans="3:7" ht="19.5" customHeight="1">
      <c r="C157" s="391"/>
      <c r="D157" s="391"/>
      <c r="E157" s="391"/>
      <c r="F157" s="391"/>
      <c r="G157" s="392"/>
    </row>
    <row r="158" spans="3:7" ht="19.5" customHeight="1">
      <c r="C158" s="391"/>
      <c r="D158" s="391"/>
      <c r="E158" s="391"/>
      <c r="F158" s="391"/>
      <c r="G158" s="392"/>
    </row>
    <row r="159" spans="3:7" ht="19.5" customHeight="1">
      <c r="C159" s="391"/>
      <c r="D159" s="391"/>
      <c r="E159" s="391"/>
      <c r="F159" s="391"/>
      <c r="G159" s="392"/>
    </row>
    <row r="160" spans="3:7" ht="19.5" customHeight="1">
      <c r="C160" s="391"/>
      <c r="D160" s="391"/>
      <c r="E160" s="391"/>
      <c r="F160" s="391"/>
      <c r="G160" s="392"/>
    </row>
    <row r="161" spans="3:7" ht="19.5" customHeight="1">
      <c r="C161" s="391"/>
      <c r="D161" s="391"/>
      <c r="E161" s="391"/>
      <c r="F161" s="391"/>
      <c r="G161" s="392"/>
    </row>
    <row r="162" spans="3:7" ht="19.5" customHeight="1">
      <c r="C162" s="391"/>
      <c r="D162" s="391"/>
      <c r="E162" s="391"/>
      <c r="F162" s="391"/>
      <c r="G162" s="392"/>
    </row>
    <row r="163" spans="3:7" ht="19.5" customHeight="1">
      <c r="C163" s="391"/>
      <c r="D163" s="391"/>
      <c r="E163" s="391"/>
      <c r="F163" s="391"/>
      <c r="G163" s="392"/>
    </row>
    <row r="164" spans="3:7" ht="19.5" customHeight="1">
      <c r="C164" s="391"/>
      <c r="D164" s="391"/>
      <c r="E164" s="391"/>
      <c r="F164" s="391"/>
      <c r="G164" s="392"/>
    </row>
    <row r="165" spans="3:7" ht="19.5" customHeight="1">
      <c r="C165" s="391"/>
      <c r="D165" s="391"/>
      <c r="E165" s="391"/>
      <c r="F165" s="391"/>
      <c r="G165" s="392"/>
    </row>
    <row r="166" spans="3:7" ht="19.5" customHeight="1">
      <c r="C166" s="391"/>
      <c r="D166" s="391"/>
      <c r="E166" s="391"/>
      <c r="F166" s="391"/>
      <c r="G166" s="392"/>
    </row>
    <row r="167" spans="3:7" ht="19.5" customHeight="1">
      <c r="C167" s="391"/>
      <c r="D167" s="391"/>
      <c r="E167" s="391"/>
      <c r="F167" s="391"/>
      <c r="G167" s="392"/>
    </row>
    <row r="168" spans="3:7" ht="19.5" customHeight="1">
      <c r="C168" s="391"/>
      <c r="D168" s="391"/>
      <c r="E168" s="391"/>
      <c r="F168" s="391"/>
      <c r="G168" s="392"/>
    </row>
    <row r="169" spans="3:7" ht="19.5" customHeight="1">
      <c r="C169" s="391"/>
      <c r="D169" s="391"/>
      <c r="E169" s="391"/>
      <c r="F169" s="391"/>
      <c r="G169" s="392"/>
    </row>
    <row r="170" spans="3:7" ht="19.5" customHeight="1">
      <c r="C170" s="391"/>
      <c r="D170" s="391"/>
      <c r="E170" s="391"/>
      <c r="F170" s="391"/>
      <c r="G170" s="392"/>
    </row>
    <row r="171" spans="3:7" ht="19.5" customHeight="1">
      <c r="C171" s="391"/>
      <c r="D171" s="391"/>
      <c r="E171" s="391"/>
      <c r="F171" s="391"/>
      <c r="G171" s="392"/>
    </row>
    <row r="172" spans="3:7" ht="19.5" customHeight="1">
      <c r="C172" s="391"/>
      <c r="D172" s="391"/>
      <c r="E172" s="391"/>
      <c r="F172" s="391"/>
      <c r="G172" s="392"/>
    </row>
    <row r="173" spans="3:7" ht="19.5" customHeight="1">
      <c r="C173" s="391"/>
      <c r="D173" s="391"/>
      <c r="E173" s="391"/>
      <c r="F173" s="391"/>
      <c r="G173" s="392"/>
    </row>
    <row r="174" spans="3:7" ht="19.5" customHeight="1">
      <c r="C174" s="391"/>
      <c r="D174" s="391"/>
      <c r="E174" s="391"/>
      <c r="F174" s="391"/>
      <c r="G174" s="392"/>
    </row>
    <row r="175" spans="3:7" ht="19.5" customHeight="1">
      <c r="C175" s="391"/>
      <c r="D175" s="391"/>
      <c r="E175" s="391"/>
      <c r="F175" s="391"/>
      <c r="G175" s="392"/>
    </row>
    <row r="176" spans="3:7" ht="19.5" customHeight="1">
      <c r="C176" s="391"/>
      <c r="D176" s="391"/>
      <c r="E176" s="391"/>
      <c r="F176" s="391"/>
      <c r="G176" s="392"/>
    </row>
    <row r="177" spans="3:7" ht="19.5" customHeight="1">
      <c r="C177" s="391"/>
      <c r="D177" s="391"/>
      <c r="E177" s="391"/>
      <c r="F177" s="391"/>
      <c r="G177" s="392"/>
    </row>
    <row r="178" spans="3:7" ht="19.5" customHeight="1">
      <c r="C178" s="391"/>
      <c r="D178" s="391"/>
      <c r="E178" s="391"/>
      <c r="F178" s="391"/>
      <c r="G178" s="392"/>
    </row>
    <row r="179" spans="3:7" ht="19.5" customHeight="1">
      <c r="C179" s="391"/>
      <c r="D179" s="391"/>
      <c r="E179" s="391"/>
      <c r="F179" s="391"/>
      <c r="G179" s="392"/>
    </row>
    <row r="180" spans="3:7" ht="19.5" customHeight="1">
      <c r="C180" s="391"/>
      <c r="D180" s="391"/>
      <c r="E180" s="391"/>
      <c r="F180" s="391"/>
      <c r="G180" s="392"/>
    </row>
    <row r="181" spans="3:7" ht="19.5" customHeight="1">
      <c r="C181" s="391"/>
      <c r="D181" s="391"/>
      <c r="E181" s="391"/>
      <c r="F181" s="391"/>
      <c r="G181" s="392"/>
    </row>
    <row r="182" spans="3:7" ht="19.5" customHeight="1">
      <c r="C182" s="391"/>
      <c r="D182" s="391"/>
      <c r="E182" s="391"/>
      <c r="F182" s="391"/>
      <c r="G182" s="392"/>
    </row>
    <row r="183" spans="3:7" ht="19.5" customHeight="1">
      <c r="C183" s="391"/>
      <c r="D183" s="391"/>
      <c r="E183" s="391"/>
      <c r="F183" s="391"/>
      <c r="G183" s="392"/>
    </row>
    <row r="184" spans="3:7" ht="19.5" customHeight="1">
      <c r="C184" s="391"/>
      <c r="D184" s="391"/>
      <c r="E184" s="391"/>
      <c r="F184" s="391"/>
      <c r="G184" s="392"/>
    </row>
    <row r="185" spans="3:7" ht="19.5" customHeight="1">
      <c r="C185" s="391"/>
      <c r="D185" s="391"/>
      <c r="E185" s="391"/>
      <c r="F185" s="391"/>
      <c r="G185" s="392"/>
    </row>
    <row r="186" spans="3:7" ht="19.5" customHeight="1">
      <c r="C186" s="391"/>
      <c r="D186" s="391"/>
      <c r="E186" s="391"/>
      <c r="F186" s="391"/>
      <c r="G186" s="392"/>
    </row>
    <row r="187" spans="3:7" ht="19.5" customHeight="1">
      <c r="C187" s="391"/>
      <c r="D187" s="391"/>
      <c r="E187" s="391"/>
      <c r="F187" s="391"/>
      <c r="G187" s="392"/>
    </row>
    <row r="188" spans="3:7" ht="19.5" customHeight="1">
      <c r="C188" s="391"/>
      <c r="D188" s="391"/>
      <c r="E188" s="391"/>
      <c r="F188" s="391"/>
      <c r="G188" s="392"/>
    </row>
    <row r="189" spans="3:7" ht="19.5" customHeight="1">
      <c r="C189" s="391"/>
      <c r="D189" s="391"/>
      <c r="E189" s="391"/>
      <c r="F189" s="391"/>
      <c r="G189" s="392"/>
    </row>
    <row r="190" spans="3:7" ht="19.5" customHeight="1">
      <c r="C190" s="391"/>
      <c r="D190" s="391"/>
      <c r="E190" s="391"/>
      <c r="F190" s="391"/>
      <c r="G190" s="392"/>
    </row>
    <row r="191" spans="3:7" ht="19.5" customHeight="1">
      <c r="C191" s="391"/>
      <c r="D191" s="391"/>
      <c r="E191" s="391"/>
      <c r="F191" s="391"/>
      <c r="G191" s="392"/>
    </row>
    <row r="192" spans="3:7" ht="19.5" customHeight="1">
      <c r="C192" s="391"/>
      <c r="D192" s="391"/>
      <c r="E192" s="391"/>
      <c r="F192" s="391"/>
      <c r="G192" s="392"/>
    </row>
    <row r="193" spans="3:7" ht="19.5" customHeight="1">
      <c r="C193" s="391"/>
      <c r="D193" s="391"/>
      <c r="E193" s="391"/>
      <c r="F193" s="391"/>
      <c r="G193" s="392"/>
    </row>
    <row r="194" spans="3:7" ht="19.5" customHeight="1">
      <c r="C194" s="391"/>
      <c r="D194" s="391"/>
      <c r="E194" s="391"/>
      <c r="F194" s="391"/>
      <c r="G194" s="392"/>
    </row>
    <row r="195" spans="3:7" ht="19.5" customHeight="1">
      <c r="C195" s="391"/>
      <c r="D195" s="391"/>
      <c r="E195" s="391"/>
      <c r="F195" s="391"/>
      <c r="G195" s="392"/>
    </row>
    <row r="196" spans="3:7" ht="19.5" customHeight="1">
      <c r="C196" s="391"/>
      <c r="D196" s="391"/>
      <c r="E196" s="391"/>
      <c r="F196" s="391"/>
      <c r="G196" s="392"/>
    </row>
    <row r="197" spans="3:7" ht="19.5" customHeight="1">
      <c r="C197" s="391"/>
      <c r="D197" s="391"/>
      <c r="E197" s="391"/>
      <c r="F197" s="391"/>
      <c r="G197" s="392"/>
    </row>
    <row r="198" spans="3:7" ht="19.5" customHeight="1">
      <c r="C198" s="391"/>
      <c r="D198" s="391"/>
      <c r="E198" s="391"/>
      <c r="F198" s="391"/>
      <c r="G198" s="392"/>
    </row>
    <row r="199" spans="3:7" ht="19.5" customHeight="1">
      <c r="C199" s="391"/>
      <c r="D199" s="391"/>
      <c r="E199" s="391"/>
      <c r="F199" s="391"/>
      <c r="G199" s="392"/>
    </row>
    <row r="200" spans="3:7" ht="19.5" customHeight="1">
      <c r="C200" s="391"/>
      <c r="D200" s="391"/>
      <c r="E200" s="391"/>
      <c r="F200" s="391"/>
      <c r="G200" s="392"/>
    </row>
    <row r="201" spans="3:7" ht="19.5" customHeight="1">
      <c r="C201" s="391"/>
      <c r="D201" s="391"/>
      <c r="E201" s="391"/>
      <c r="F201" s="391"/>
      <c r="G201" s="392"/>
    </row>
    <row r="202" spans="3:7" ht="19.5" customHeight="1">
      <c r="C202" s="391"/>
      <c r="D202" s="391"/>
      <c r="E202" s="391"/>
      <c r="F202" s="391"/>
      <c r="G202" s="392"/>
    </row>
    <row r="203" spans="3:7" ht="19.5" customHeight="1">
      <c r="C203" s="391"/>
      <c r="D203" s="391"/>
      <c r="E203" s="391"/>
      <c r="F203" s="391"/>
      <c r="G203" s="392"/>
    </row>
    <row r="204" spans="3:7" ht="19.5" customHeight="1">
      <c r="C204" s="391"/>
      <c r="D204" s="391"/>
      <c r="E204" s="391"/>
      <c r="F204" s="391"/>
      <c r="G204" s="392"/>
    </row>
    <row r="205" spans="3:7" ht="19.5" customHeight="1">
      <c r="C205" s="391"/>
      <c r="D205" s="391"/>
      <c r="E205" s="391"/>
      <c r="F205" s="391"/>
      <c r="G205" s="392"/>
    </row>
    <row r="206" spans="3:7" ht="19.5" customHeight="1">
      <c r="C206" s="391"/>
      <c r="D206" s="391"/>
      <c r="E206" s="391"/>
      <c r="F206" s="391"/>
      <c r="G206" s="392"/>
    </row>
    <row r="207" spans="3:7" ht="19.5" customHeight="1">
      <c r="C207" s="391"/>
      <c r="D207" s="391"/>
      <c r="E207" s="391"/>
      <c r="F207" s="391"/>
      <c r="G207" s="392"/>
    </row>
    <row r="208" spans="3:7" ht="19.5" customHeight="1">
      <c r="C208" s="391"/>
      <c r="D208" s="391"/>
      <c r="E208" s="391"/>
      <c r="F208" s="391"/>
      <c r="G208" s="392"/>
    </row>
    <row r="209" spans="3:7" ht="19.5" customHeight="1">
      <c r="C209" s="391"/>
      <c r="D209" s="391"/>
      <c r="E209" s="391"/>
      <c r="F209" s="391"/>
      <c r="G209" s="392"/>
    </row>
    <row r="210" spans="3:7" ht="19.5" customHeight="1">
      <c r="C210" s="391"/>
      <c r="D210" s="391"/>
      <c r="E210" s="391"/>
      <c r="F210" s="391"/>
      <c r="G210" s="392"/>
    </row>
    <row r="211" spans="3:7" ht="19.5" customHeight="1">
      <c r="C211" s="391"/>
      <c r="D211" s="391"/>
      <c r="E211" s="391"/>
      <c r="F211" s="391"/>
      <c r="G211" s="392"/>
    </row>
    <row r="212" spans="3:7" ht="19.5" customHeight="1">
      <c r="C212" s="391"/>
      <c r="D212" s="391"/>
      <c r="E212" s="391"/>
      <c r="F212" s="391"/>
      <c r="G212" s="392"/>
    </row>
    <row r="213" spans="3:7" ht="19.5" customHeight="1">
      <c r="C213" s="391"/>
      <c r="D213" s="391"/>
      <c r="E213" s="391"/>
      <c r="F213" s="391"/>
      <c r="G213" s="392"/>
    </row>
    <row r="214" spans="3:7" ht="19.5" customHeight="1">
      <c r="C214" s="391"/>
      <c r="D214" s="391"/>
      <c r="E214" s="391"/>
      <c r="F214" s="391"/>
      <c r="G214" s="392"/>
    </row>
    <row r="215" spans="3:7" ht="19.5" customHeight="1">
      <c r="C215" s="391"/>
      <c r="D215" s="391"/>
      <c r="E215" s="391"/>
      <c r="F215" s="391"/>
      <c r="G215" s="392"/>
    </row>
    <row r="216" spans="3:7" ht="19.5" customHeight="1">
      <c r="C216" s="391"/>
      <c r="D216" s="391"/>
      <c r="E216" s="391"/>
      <c r="F216" s="391"/>
      <c r="G216" s="392"/>
    </row>
    <row r="217" spans="3:7" ht="19.5" customHeight="1">
      <c r="C217" s="391"/>
      <c r="D217" s="391"/>
      <c r="E217" s="391"/>
      <c r="F217" s="391"/>
      <c r="G217" s="392"/>
    </row>
    <row r="218" spans="3:7" ht="19.5" customHeight="1">
      <c r="C218" s="391"/>
      <c r="D218" s="391"/>
      <c r="E218" s="391"/>
      <c r="F218" s="391"/>
      <c r="G218" s="392"/>
    </row>
    <row r="219" spans="3:7" ht="19.5" customHeight="1">
      <c r="C219" s="391"/>
      <c r="D219" s="391"/>
      <c r="E219" s="391"/>
      <c r="F219" s="391"/>
      <c r="G219" s="392"/>
    </row>
    <row r="220" spans="3:7" ht="19.5" customHeight="1">
      <c r="C220" s="391"/>
      <c r="D220" s="391"/>
      <c r="E220" s="391"/>
      <c r="F220" s="391"/>
      <c r="G220" s="392"/>
    </row>
    <row r="221" spans="3:7" ht="19.5" customHeight="1">
      <c r="C221" s="391"/>
      <c r="D221" s="391"/>
      <c r="E221" s="391"/>
      <c r="F221" s="391"/>
      <c r="G221" s="392"/>
    </row>
    <row r="222" spans="3:7" ht="19.5" customHeight="1">
      <c r="C222" s="391"/>
      <c r="D222" s="391"/>
      <c r="E222" s="391"/>
      <c r="F222" s="391"/>
      <c r="G222" s="392"/>
    </row>
    <row r="223" spans="3:7" ht="19.5" customHeight="1">
      <c r="C223" s="391"/>
      <c r="D223" s="391"/>
      <c r="E223" s="391"/>
      <c r="F223" s="391"/>
      <c r="G223" s="392"/>
    </row>
    <row r="224" spans="3:7" ht="19.5" customHeight="1">
      <c r="C224" s="391"/>
      <c r="D224" s="391"/>
      <c r="E224" s="391"/>
      <c r="F224" s="391"/>
      <c r="G224" s="392"/>
    </row>
    <row r="225" spans="3:7" ht="19.5" customHeight="1">
      <c r="C225" s="391"/>
      <c r="D225" s="391"/>
      <c r="E225" s="391"/>
      <c r="F225" s="391"/>
      <c r="G225" s="392"/>
    </row>
    <row r="226" spans="3:7" ht="19.5" customHeight="1">
      <c r="C226" s="391"/>
      <c r="D226" s="391"/>
      <c r="E226" s="391"/>
      <c r="F226" s="391"/>
      <c r="G226" s="392"/>
    </row>
    <row r="227" spans="3:7" ht="19.5" customHeight="1">
      <c r="C227" s="391"/>
      <c r="D227" s="391"/>
      <c r="E227" s="391"/>
      <c r="F227" s="391"/>
      <c r="G227" s="392"/>
    </row>
    <row r="228" spans="3:7" ht="19.5" customHeight="1">
      <c r="C228" s="391"/>
      <c r="D228" s="391"/>
      <c r="E228" s="391"/>
      <c r="F228" s="391"/>
      <c r="G228" s="392"/>
    </row>
    <row r="229" spans="3:7" ht="19.5" customHeight="1">
      <c r="C229" s="391"/>
      <c r="D229" s="391"/>
      <c r="E229" s="391"/>
      <c r="F229" s="391"/>
      <c r="G229" s="392"/>
    </row>
    <row r="230" spans="3:7" ht="19.5" customHeight="1">
      <c r="C230" s="391"/>
      <c r="D230" s="391"/>
      <c r="E230" s="391"/>
      <c r="F230" s="391"/>
      <c r="G230" s="392"/>
    </row>
    <row r="231" spans="3:7" ht="19.5" customHeight="1">
      <c r="C231" s="391"/>
      <c r="D231" s="391"/>
      <c r="E231" s="391"/>
      <c r="F231" s="391"/>
      <c r="G231" s="392"/>
    </row>
    <row r="232" spans="3:7" ht="19.5" customHeight="1">
      <c r="C232" s="391"/>
      <c r="D232" s="391"/>
      <c r="E232" s="391"/>
      <c r="F232" s="391"/>
      <c r="G232" s="392"/>
    </row>
    <row r="233" spans="3:7" ht="19.5" customHeight="1">
      <c r="C233" s="391"/>
      <c r="D233" s="391"/>
      <c r="E233" s="391"/>
      <c r="F233" s="391"/>
      <c r="G233" s="392"/>
    </row>
    <row r="234" spans="3:7" ht="19.5" customHeight="1">
      <c r="C234" s="391"/>
      <c r="D234" s="391"/>
      <c r="E234" s="391"/>
      <c r="F234" s="391"/>
      <c r="G234" s="392"/>
    </row>
    <row r="235" spans="3:7" ht="19.5" customHeight="1">
      <c r="C235" s="391"/>
      <c r="D235" s="391"/>
      <c r="E235" s="391"/>
      <c r="F235" s="391"/>
      <c r="G235" s="392"/>
    </row>
    <row r="236" spans="3:7" ht="19.5" customHeight="1">
      <c r="C236" s="391"/>
      <c r="D236" s="391"/>
      <c r="E236" s="391"/>
      <c r="F236" s="391"/>
      <c r="G236" s="392"/>
    </row>
    <row r="237" spans="3:7" ht="19.5" customHeight="1">
      <c r="C237" s="391"/>
      <c r="D237" s="391"/>
      <c r="E237" s="391"/>
      <c r="F237" s="391"/>
      <c r="G237" s="392"/>
    </row>
    <row r="238" spans="3:7" ht="19.5" customHeight="1">
      <c r="C238" s="391"/>
      <c r="D238" s="391"/>
      <c r="E238" s="391"/>
      <c r="F238" s="391"/>
      <c r="G238" s="392"/>
    </row>
    <row r="239" spans="3:7" ht="19.5" customHeight="1">
      <c r="C239" s="391"/>
      <c r="D239" s="391"/>
      <c r="E239" s="391"/>
      <c r="F239" s="391"/>
      <c r="G239" s="392"/>
    </row>
    <row r="240" spans="3:7" ht="19.5" customHeight="1">
      <c r="C240" s="391"/>
      <c r="D240" s="391"/>
      <c r="E240" s="391"/>
      <c r="F240" s="391"/>
      <c r="G240" s="392"/>
    </row>
    <row r="241" spans="3:7" ht="19.5" customHeight="1">
      <c r="C241" s="391"/>
      <c r="D241" s="391"/>
      <c r="E241" s="391"/>
      <c r="F241" s="391"/>
      <c r="G241" s="392"/>
    </row>
    <row r="242" spans="3:7" ht="19.5" customHeight="1">
      <c r="C242" s="391"/>
      <c r="D242" s="391"/>
      <c r="E242" s="391"/>
      <c r="F242" s="391"/>
      <c r="G242" s="392"/>
    </row>
    <row r="243" spans="3:7" ht="19.5" customHeight="1">
      <c r="C243" s="391"/>
      <c r="D243" s="391"/>
      <c r="E243" s="391"/>
      <c r="F243" s="391"/>
      <c r="G243" s="392"/>
    </row>
    <row r="244" spans="3:7" ht="19.5" customHeight="1">
      <c r="C244" s="391"/>
      <c r="D244" s="391"/>
      <c r="E244" s="391"/>
      <c r="F244" s="391"/>
      <c r="G244" s="392"/>
    </row>
    <row r="245" spans="3:7" ht="19.5" customHeight="1">
      <c r="C245" s="391"/>
      <c r="D245" s="391"/>
      <c r="E245" s="391"/>
      <c r="F245" s="391"/>
      <c r="G245" s="392"/>
    </row>
    <row r="246" spans="3:7" ht="19.5" customHeight="1">
      <c r="C246" s="391"/>
      <c r="D246" s="391"/>
      <c r="E246" s="391"/>
      <c r="F246" s="391"/>
      <c r="G246" s="392"/>
    </row>
    <row r="247" spans="3:7" ht="19.5" customHeight="1">
      <c r="C247" s="391"/>
      <c r="D247" s="391"/>
      <c r="E247" s="391"/>
      <c r="F247" s="391"/>
      <c r="G247" s="392"/>
    </row>
    <row r="248" spans="3:7" ht="19.5" customHeight="1">
      <c r="C248" s="391"/>
      <c r="D248" s="391"/>
      <c r="E248" s="391"/>
      <c r="F248" s="391"/>
      <c r="G248" s="392"/>
    </row>
    <row r="249" spans="3:7" ht="19.5" customHeight="1">
      <c r="C249" s="391"/>
      <c r="D249" s="391"/>
      <c r="E249" s="391"/>
      <c r="F249" s="391"/>
      <c r="G249" s="392"/>
    </row>
    <row r="250" spans="3:7" ht="19.5" customHeight="1">
      <c r="C250" s="391"/>
      <c r="D250" s="391"/>
      <c r="E250" s="391"/>
      <c r="F250" s="391"/>
      <c r="G250" s="392"/>
    </row>
    <row r="251" spans="3:7" ht="19.5" customHeight="1">
      <c r="C251" s="391"/>
      <c r="D251" s="391"/>
      <c r="E251" s="391"/>
      <c r="F251" s="391"/>
      <c r="G251" s="392"/>
    </row>
    <row r="252" spans="3:7" ht="19.5" customHeight="1">
      <c r="C252" s="391"/>
      <c r="D252" s="391"/>
      <c r="E252" s="391"/>
      <c r="F252" s="391"/>
      <c r="G252" s="392"/>
    </row>
    <row r="253" spans="3:7" ht="19.5" customHeight="1">
      <c r="C253" s="391"/>
      <c r="D253" s="391"/>
      <c r="E253" s="391"/>
      <c r="F253" s="391"/>
      <c r="G253" s="392"/>
    </row>
    <row r="254" spans="3:7" ht="19.5" customHeight="1">
      <c r="C254" s="391"/>
      <c r="D254" s="391"/>
      <c r="E254" s="391"/>
      <c r="F254" s="391"/>
      <c r="G254" s="392"/>
    </row>
    <row r="255" spans="3:7" ht="19.5" customHeight="1">
      <c r="C255" s="391"/>
      <c r="D255" s="391"/>
      <c r="E255" s="391"/>
      <c r="F255" s="391"/>
      <c r="G255" s="392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/>
  <pageMargins left="0.7874015748031497" right="0.7480314960629921" top="0" bottom="0" header="0" footer="0"/>
  <pageSetup horizontalDpi="600" verticalDpi="600" orientation="portrait" paperSize="8" scale="75"/>
  <ignoredErrors>
    <ignoredError sqref="C33:C3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S547"/>
  <sheetViews>
    <sheetView showGridLines="0" zoomScale="85" zoomScaleNormal="85" zoomScalePageLayoutView="0" workbookViewId="0" topLeftCell="A34">
      <selection activeCell="A46" sqref="A46:IV46"/>
    </sheetView>
  </sheetViews>
  <sheetFormatPr defaultColWidth="10.7109375" defaultRowHeight="12.75"/>
  <cols>
    <col min="1" max="1" width="6.421875" style="437" customWidth="1"/>
    <col min="2" max="2" width="53.140625" style="437" bestFit="1" customWidth="1"/>
    <col min="3" max="3" width="17.421875" style="437" customWidth="1"/>
    <col min="4" max="4" width="19.7109375" style="437" customWidth="1"/>
    <col min="5" max="5" width="17.7109375" style="438" customWidth="1"/>
    <col min="6" max="6" width="1.7109375" style="439" customWidth="1"/>
    <col min="7" max="13" width="0" style="437" hidden="1" customWidth="1"/>
    <col min="14" max="14" width="11.28125" style="1035" hidden="1" customWidth="1"/>
    <col min="15" max="16384" width="10.7109375" style="437" customWidth="1"/>
  </cols>
  <sheetData>
    <row r="2" spans="2:14" s="409" customFormat="1" ht="49.5" customHeight="1">
      <c r="B2" s="1220" t="s">
        <v>130</v>
      </c>
      <c r="C2" s="1220"/>
      <c r="D2" s="1220"/>
      <c r="E2" s="345">
        <f>CPYG!E2</f>
        <v>2017</v>
      </c>
      <c r="F2" s="346"/>
      <c r="N2" s="1033"/>
    </row>
    <row r="3" spans="2:14" s="409" customFormat="1" ht="37.5" customHeight="1">
      <c r="B3" s="1221" t="str">
        <f>CPYG!B3</f>
        <v>ENTIDAD: ENTIDAD PÚBLICA EMPRESARIAL LOCAL BALSAS DE TENERIFE, BALTEN</v>
      </c>
      <c r="C3" s="1222"/>
      <c r="D3" s="1223"/>
      <c r="E3" s="350" t="s">
        <v>131</v>
      </c>
      <c r="F3" s="351"/>
      <c r="N3" s="1033"/>
    </row>
    <row r="4" spans="2:14" s="409" customFormat="1" ht="24.75" customHeight="1">
      <c r="B4" s="1224" t="s">
        <v>215</v>
      </c>
      <c r="C4" s="1224"/>
      <c r="D4" s="1224"/>
      <c r="E4" s="1224"/>
      <c r="F4" s="410"/>
      <c r="N4" s="1033"/>
    </row>
    <row r="5" spans="2:14" s="409" customFormat="1" ht="40.5" customHeight="1">
      <c r="B5" s="411" t="s">
        <v>131</v>
      </c>
      <c r="C5" s="412" t="s">
        <v>493</v>
      </c>
      <c r="D5" s="413" t="s">
        <v>499</v>
      </c>
      <c r="E5" s="413" t="s">
        <v>500</v>
      </c>
      <c r="F5" s="414"/>
      <c r="N5" s="1036" t="s">
        <v>979</v>
      </c>
    </row>
    <row r="6" spans="2:14" s="409" customFormat="1" ht="19.5" customHeight="1">
      <c r="B6" s="415" t="s">
        <v>273</v>
      </c>
      <c r="C6" s="488">
        <f>C7+C12+C16+C19+C20+C21+C22</f>
        <v>44293284.93</v>
      </c>
      <c r="D6" s="488">
        <f>D7+D12+D16+D19+D20+D21+D22</f>
        <v>46767753.35999999</v>
      </c>
      <c r="E6" s="488">
        <f>E7+E12+E16+E19+E20+E21+E22</f>
        <v>40504020.07</v>
      </c>
      <c r="F6" s="416"/>
      <c r="N6" s="1038">
        <f>+E6-D6</f>
        <v>-6263733.289999992</v>
      </c>
    </row>
    <row r="7" spans="2:14" s="409" customFormat="1" ht="19.5" customHeight="1">
      <c r="B7" s="415" t="s">
        <v>161</v>
      </c>
      <c r="C7" s="488">
        <f>SUM(C8:C11)</f>
        <v>42925.27</v>
      </c>
      <c r="D7" s="488">
        <f>SUM(D8:D11)</f>
        <v>56058.83</v>
      </c>
      <c r="E7" s="488">
        <f>SUM(E8:E11)</f>
        <v>59568.88</v>
      </c>
      <c r="F7" s="417"/>
      <c r="N7" s="1037">
        <f>+E7-D7</f>
        <v>3510.0499999999956</v>
      </c>
    </row>
    <row r="8" spans="2:14" s="409" customFormat="1" ht="19.5" customHeight="1">
      <c r="B8" s="418" t="s">
        <v>276</v>
      </c>
      <c r="C8" s="509"/>
      <c r="D8" s="509"/>
      <c r="E8" s="509"/>
      <c r="F8" s="417"/>
      <c r="N8" s="1033"/>
    </row>
    <row r="9" spans="2:14" s="420" customFormat="1" ht="19.5" customHeight="1">
      <c r="B9" s="418" t="s">
        <v>275</v>
      </c>
      <c r="C9" s="509">
        <v>42925.27</v>
      </c>
      <c r="D9" s="509">
        <v>56058.83</v>
      </c>
      <c r="E9" s="509">
        <v>59568.88</v>
      </c>
      <c r="F9" s="417"/>
      <c r="N9" s="1034"/>
    </row>
    <row r="10" spans="2:14" s="420" customFormat="1" ht="19.5" customHeight="1">
      <c r="B10" s="418" t="s">
        <v>274</v>
      </c>
      <c r="C10" s="509"/>
      <c r="D10" s="509"/>
      <c r="E10" s="509"/>
      <c r="F10" s="417"/>
      <c r="N10" s="1034"/>
    </row>
    <row r="11" spans="2:14" s="420" customFormat="1" ht="19.5" customHeight="1">
      <c r="B11" s="418" t="s">
        <v>576</v>
      </c>
      <c r="C11" s="509"/>
      <c r="D11" s="509"/>
      <c r="E11" s="509"/>
      <c r="F11" s="417"/>
      <c r="N11" s="1034"/>
    </row>
    <row r="12" spans="2:14" s="420" customFormat="1" ht="19.5" customHeight="1">
      <c r="B12" s="415" t="s">
        <v>162</v>
      </c>
      <c r="C12" s="488">
        <f>SUM(C13:C15)</f>
        <v>43132919.18</v>
      </c>
      <c r="D12" s="488">
        <f>SUM(D13:D15)</f>
        <v>42182694</v>
      </c>
      <c r="E12" s="488">
        <f>SUM(E13:E15)</f>
        <v>40327010.71</v>
      </c>
      <c r="F12" s="417"/>
      <c r="N12" s="1037">
        <f>+E12-D12</f>
        <v>-1855683.289999999</v>
      </c>
    </row>
    <row r="13" spans="2:14" s="420" customFormat="1" ht="19.5" customHeight="1">
      <c r="B13" s="418" t="s">
        <v>377</v>
      </c>
      <c r="C13" s="509">
        <v>1071420.72</v>
      </c>
      <c r="D13" s="509">
        <v>1087345.7</v>
      </c>
      <c r="E13" s="509">
        <f>1137345.7-50000</f>
        <v>1087345.7</v>
      </c>
      <c r="F13" s="417"/>
      <c r="N13" s="1034"/>
    </row>
    <row r="14" spans="2:14" s="420" customFormat="1" ht="19.5" customHeight="1">
      <c r="B14" s="418" t="s">
        <v>376</v>
      </c>
      <c r="C14" s="509"/>
      <c r="D14" s="509"/>
      <c r="E14" s="509"/>
      <c r="F14" s="417"/>
      <c r="N14" s="1034"/>
    </row>
    <row r="15" spans="2:14" s="420" customFormat="1" ht="19.5" customHeight="1">
      <c r="B15" s="418" t="s">
        <v>375</v>
      </c>
      <c r="C15" s="509">
        <v>42061498.46</v>
      </c>
      <c r="D15" s="509">
        <v>41095348.3</v>
      </c>
      <c r="E15" s="509">
        <f>42176165.01-2900000+300000+13500-350000</f>
        <v>39239665.01</v>
      </c>
      <c r="F15" s="417"/>
      <c r="N15" s="1034"/>
    </row>
    <row r="16" spans="2:14" s="420" customFormat="1" ht="19.5" customHeight="1">
      <c r="B16" s="415" t="s">
        <v>163</v>
      </c>
      <c r="C16" s="488">
        <f>SUM(C17:C18)</f>
        <v>0</v>
      </c>
      <c r="D16" s="488">
        <f>SUM(D17:D18)</f>
        <v>0</v>
      </c>
      <c r="E16" s="488">
        <f>SUM(E17:E18)</f>
        <v>0</v>
      </c>
      <c r="F16" s="417"/>
      <c r="N16" s="1037">
        <f>+E16-D16</f>
        <v>0</v>
      </c>
    </row>
    <row r="17" spans="2:14" s="420" customFormat="1" ht="19.5" customHeight="1">
      <c r="B17" s="418" t="s">
        <v>164</v>
      </c>
      <c r="C17" s="509"/>
      <c r="D17" s="509"/>
      <c r="E17" s="509"/>
      <c r="F17" s="417"/>
      <c r="N17" s="1034"/>
    </row>
    <row r="18" spans="2:14" s="420" customFormat="1" ht="19.5" customHeight="1">
      <c r="B18" s="418" t="s">
        <v>71</v>
      </c>
      <c r="C18" s="509"/>
      <c r="D18" s="509"/>
      <c r="E18" s="509"/>
      <c r="F18" s="417"/>
      <c r="N18" s="1034"/>
    </row>
    <row r="19" spans="2:18" s="420" customFormat="1" ht="19.5" customHeight="1">
      <c r="B19" s="415" t="s">
        <v>165</v>
      </c>
      <c r="C19" s="508">
        <v>72394.32</v>
      </c>
      <c r="D19" s="508">
        <v>72394.32</v>
      </c>
      <c r="E19" s="508">
        <v>72394.32</v>
      </c>
      <c r="F19" s="417"/>
      <c r="N19" s="1039">
        <f>+E19-D19</f>
        <v>0</v>
      </c>
      <c r="O19" s="450"/>
      <c r="P19" s="450"/>
      <c r="Q19" s="450"/>
      <c r="R19" s="450"/>
    </row>
    <row r="20" spans="2:17" s="420" customFormat="1" ht="19.5" customHeight="1">
      <c r="B20" s="415" t="s">
        <v>166</v>
      </c>
      <c r="C20" s="508">
        <v>45046.16</v>
      </c>
      <c r="D20" s="508">
        <v>45046.16</v>
      </c>
      <c r="E20" s="508">
        <v>45046.16</v>
      </c>
      <c r="F20" s="417"/>
      <c r="N20" s="1039">
        <f>+E20-D20</f>
        <v>0</v>
      </c>
      <c r="O20" s="450"/>
      <c r="P20" s="450"/>
      <c r="Q20" s="450"/>
    </row>
    <row r="21" spans="2:14" s="420" customFormat="1" ht="19.5" customHeight="1">
      <c r="B21" s="415" t="s">
        <v>72</v>
      </c>
      <c r="C21" s="508"/>
      <c r="D21" s="508"/>
      <c r="E21" s="508"/>
      <c r="G21" s="961" t="s">
        <v>264</v>
      </c>
      <c r="N21" s="1034"/>
    </row>
    <row r="22" spans="2:14" s="420" customFormat="1" ht="19.5" customHeight="1">
      <c r="B22" s="415" t="s">
        <v>378</v>
      </c>
      <c r="C22" s="508">
        <v>1000000</v>
      </c>
      <c r="D22" s="508">
        <f>1511560.05+2900000</f>
        <v>4411560.05</v>
      </c>
      <c r="E22" s="508">
        <v>0</v>
      </c>
      <c r="G22" s="961" t="s">
        <v>265</v>
      </c>
      <c r="N22" s="1037">
        <f>+E22-D22</f>
        <v>-4411560.05</v>
      </c>
    </row>
    <row r="23" spans="2:14" s="420" customFormat="1" ht="19.5" customHeight="1">
      <c r="B23" s="415" t="s">
        <v>277</v>
      </c>
      <c r="C23" s="488">
        <f>C24+C30+C33+C37+C38+C39+C40</f>
        <v>6928744.880000001</v>
      </c>
      <c r="D23" s="488">
        <f>D24+D30+D33+D37+D38+D39+D40</f>
        <v>3063208.7199999997</v>
      </c>
      <c r="E23" s="488">
        <f>E24+E30+E33+E37+E38+E39+E40</f>
        <v>6891585.14</v>
      </c>
      <c r="F23" s="416"/>
      <c r="N23" s="1038">
        <f>+E23-D23</f>
        <v>3828376.42</v>
      </c>
    </row>
    <row r="24" spans="2:14" s="420" customFormat="1" ht="23.25" customHeight="1">
      <c r="B24" s="415" t="s">
        <v>167</v>
      </c>
      <c r="C24" s="488">
        <f>C25+C28+C29</f>
        <v>0</v>
      </c>
      <c r="D24" s="488">
        <f>D25+D28+D29</f>
        <v>0</v>
      </c>
      <c r="E24" s="488">
        <f>E25+E28+E29</f>
        <v>0</v>
      </c>
      <c r="F24" s="417"/>
      <c r="N24" s="1034"/>
    </row>
    <row r="25" spans="2:14" s="420" customFormat="1" ht="23.25" customHeight="1">
      <c r="B25" s="418" t="s">
        <v>381</v>
      </c>
      <c r="C25" s="510">
        <f>SUM(C26:C27)</f>
        <v>0</v>
      </c>
      <c r="D25" s="510">
        <f>SUM(D26:D27)</f>
        <v>0</v>
      </c>
      <c r="E25" s="510">
        <f>SUM(E26:E27)</f>
        <v>0</v>
      </c>
      <c r="F25" s="417"/>
      <c r="N25" s="1034"/>
    </row>
    <row r="26" spans="2:14" s="420" customFormat="1" ht="23.25" customHeight="1">
      <c r="B26" s="418" t="s">
        <v>854</v>
      </c>
      <c r="C26" s="509"/>
      <c r="D26" s="509"/>
      <c r="E26" s="509"/>
      <c r="F26" s="417"/>
      <c r="N26" s="1034"/>
    </row>
    <row r="27" spans="2:14" s="420" customFormat="1" ht="23.25" customHeight="1">
      <c r="B27" s="418" t="s">
        <v>855</v>
      </c>
      <c r="C27" s="509"/>
      <c r="D27" s="509"/>
      <c r="E27" s="509"/>
      <c r="F27" s="417"/>
      <c r="N27" s="1034"/>
    </row>
    <row r="28" spans="2:14" s="420" customFormat="1" ht="23.25" customHeight="1">
      <c r="B28" s="418" t="s">
        <v>383</v>
      </c>
      <c r="C28" s="509"/>
      <c r="D28" s="509"/>
      <c r="E28" s="509"/>
      <c r="F28" s="417"/>
      <c r="N28" s="1034"/>
    </row>
    <row r="29" spans="2:14" s="420" customFormat="1" ht="23.25" customHeight="1">
      <c r="B29" s="418" t="s">
        <v>382</v>
      </c>
      <c r="C29" s="509"/>
      <c r="D29" s="509"/>
      <c r="E29" s="509"/>
      <c r="F29" s="417"/>
      <c r="N29" s="1034"/>
    </row>
    <row r="30" spans="2:14" s="420" customFormat="1" ht="19.5" customHeight="1">
      <c r="B30" s="415" t="s">
        <v>135</v>
      </c>
      <c r="C30" s="488">
        <f>SUM(C31:C32)</f>
        <v>590309.78</v>
      </c>
      <c r="D30" s="488">
        <f>SUM(D31:D32)</f>
        <v>438025.09</v>
      </c>
      <c r="E30" s="488">
        <f>SUM(E31:E32)</f>
        <v>438025.09</v>
      </c>
      <c r="F30" s="417"/>
      <c r="N30" s="1037">
        <f>+E30-D30</f>
        <v>0</v>
      </c>
    </row>
    <row r="31" spans="2:19" s="420" customFormat="1" ht="19.5" customHeight="1">
      <c r="B31" s="418" t="s">
        <v>379</v>
      </c>
      <c r="C31" s="509">
        <v>590309.78</v>
      </c>
      <c r="D31" s="509">
        <f>590309.78-28845.9-123438.79</f>
        <v>438025.09</v>
      </c>
      <c r="E31" s="509">
        <v>438025.09</v>
      </c>
      <c r="F31" s="417"/>
      <c r="N31" s="1034"/>
      <c r="O31" s="450"/>
      <c r="P31" s="450"/>
      <c r="Q31" s="450"/>
      <c r="S31" s="450"/>
    </row>
    <row r="32" spans="2:14" s="420" customFormat="1" ht="19.5" customHeight="1">
      <c r="B32" s="418" t="s">
        <v>380</v>
      </c>
      <c r="C32" s="509"/>
      <c r="D32" s="509"/>
      <c r="E32" s="509"/>
      <c r="F32" s="417"/>
      <c r="N32" s="1034"/>
    </row>
    <row r="33" spans="2:14" s="420" customFormat="1" ht="19.5" customHeight="1">
      <c r="B33" s="415" t="s">
        <v>168</v>
      </c>
      <c r="C33" s="488">
        <f>SUM(C34:C36)</f>
        <v>5820600.880000001</v>
      </c>
      <c r="D33" s="488">
        <f>SUM(D34:D36)</f>
        <v>2033183.63</v>
      </c>
      <c r="E33" s="488">
        <f>SUM(E34:E36)</f>
        <v>5880560.05</v>
      </c>
      <c r="F33" s="417"/>
      <c r="N33" s="1037">
        <f>+E33-D33</f>
        <v>3847376.42</v>
      </c>
    </row>
    <row r="34" spans="2:14" s="420" customFormat="1" ht="19.5" customHeight="1">
      <c r="B34" s="418" t="s">
        <v>73</v>
      </c>
      <c r="C34" s="509">
        <v>1292582.4</v>
      </c>
      <c r="D34" s="509">
        <v>1236000</v>
      </c>
      <c r="E34" s="509">
        <v>1375000</v>
      </c>
      <c r="F34" s="417"/>
      <c r="N34" s="1034"/>
    </row>
    <row r="35" spans="2:14" s="420" customFormat="1" ht="19.5" customHeight="1">
      <c r="B35" s="418" t="s">
        <v>278</v>
      </c>
      <c r="C35" s="509"/>
      <c r="D35" s="509"/>
      <c r="E35" s="509"/>
      <c r="F35" s="417"/>
      <c r="N35" s="1034"/>
    </row>
    <row r="36" spans="2:14" s="420" customFormat="1" ht="19.5" customHeight="1">
      <c r="B36" s="418" t="s">
        <v>279</v>
      </c>
      <c r="C36" s="509">
        <f>13751.01+9693.94+28773.88+4475799.65</f>
        <v>4528018.48</v>
      </c>
      <c r="D36" s="509">
        <f>3727183.63+29000-59000-2900000</f>
        <v>797183.6299999999</v>
      </c>
      <c r="E36" s="509">
        <f>1576560.05+29000+2900000</f>
        <v>4505560.05</v>
      </c>
      <c r="F36" s="417"/>
      <c r="N36" s="1034"/>
    </row>
    <row r="37" spans="2:14" s="420" customFormat="1" ht="19.5" customHeight="1">
      <c r="B37" s="415" t="s">
        <v>169</v>
      </c>
      <c r="C37" s="508"/>
      <c r="D37" s="508"/>
      <c r="E37" s="508"/>
      <c r="F37" s="417"/>
      <c r="N37" s="1039">
        <f>+E37-D37</f>
        <v>0</v>
      </c>
    </row>
    <row r="38" spans="2:14" s="420" customFormat="1" ht="19.5" customHeight="1">
      <c r="B38" s="415" t="s">
        <v>170</v>
      </c>
      <c r="C38" s="508">
        <v>940</v>
      </c>
      <c r="D38" s="508">
        <v>0</v>
      </c>
      <c r="E38" s="508">
        <v>0</v>
      </c>
      <c r="F38" s="417"/>
      <c r="N38" s="1039">
        <f>+E38-D38</f>
        <v>0</v>
      </c>
    </row>
    <row r="39" spans="2:14" s="420" customFormat="1" ht="19.5" customHeight="1">
      <c r="B39" s="415" t="s">
        <v>74</v>
      </c>
      <c r="C39" s="508">
        <v>41760.09</v>
      </c>
      <c r="D39" s="508">
        <v>42000</v>
      </c>
      <c r="E39" s="508">
        <v>42000</v>
      </c>
      <c r="F39" s="417"/>
      <c r="N39" s="1037">
        <f>+E39-D39</f>
        <v>0</v>
      </c>
    </row>
    <row r="40" spans="2:14" s="420" customFormat="1" ht="19.5" customHeight="1">
      <c r="B40" s="415" t="s">
        <v>75</v>
      </c>
      <c r="C40" s="488">
        <f>SUM(C41:C42)</f>
        <v>475134.13</v>
      </c>
      <c r="D40" s="488">
        <f>SUM(D41:D42)</f>
        <v>550000</v>
      </c>
      <c r="E40" s="488">
        <f>SUM(E41:E42)</f>
        <v>531000</v>
      </c>
      <c r="F40" s="417"/>
      <c r="N40" s="1037">
        <f>+E40-D40</f>
        <v>-19000</v>
      </c>
    </row>
    <row r="41" spans="2:14" s="420" customFormat="1" ht="19.5" customHeight="1">
      <c r="B41" s="418" t="s">
        <v>76</v>
      </c>
      <c r="C41" s="509">
        <v>475134.13</v>
      </c>
      <c r="D41" s="509">
        <v>550000</v>
      </c>
      <c r="E41" s="509">
        <f>550000+35000-59000+59000-54000</f>
        <v>531000</v>
      </c>
      <c r="F41" s="417"/>
      <c r="N41" s="1034"/>
    </row>
    <row r="42" spans="2:14" s="409" customFormat="1" ht="19.5" customHeight="1">
      <c r="B42" s="418" t="s">
        <v>94</v>
      </c>
      <c r="C42" s="509"/>
      <c r="D42" s="509"/>
      <c r="E42" s="509"/>
      <c r="F42" s="417"/>
      <c r="N42" s="1033"/>
    </row>
    <row r="43" spans="2:14" s="409" customFormat="1" ht="21.75" customHeight="1">
      <c r="B43" s="421" t="s">
        <v>127</v>
      </c>
      <c r="C43" s="488">
        <f>C23+C6</f>
        <v>51222029.81</v>
      </c>
      <c r="D43" s="488">
        <f>D23+D6</f>
        <v>49830962.07999999</v>
      </c>
      <c r="E43" s="488">
        <f>E23+E6</f>
        <v>47395605.21</v>
      </c>
      <c r="F43" s="416"/>
      <c r="N43" s="1038">
        <f>+E43-D43</f>
        <v>-2435356.86999999</v>
      </c>
    </row>
    <row r="44" spans="2:14" s="409" customFormat="1" ht="40.5" customHeight="1">
      <c r="B44" s="422"/>
      <c r="C44" s="423"/>
      <c r="D44" s="423"/>
      <c r="E44" s="423"/>
      <c r="F44" s="416"/>
      <c r="N44" s="1033"/>
    </row>
    <row r="45" spans="2:14" s="409" customFormat="1" ht="13.5" hidden="1">
      <c r="B45" s="424" t="s">
        <v>95</v>
      </c>
      <c r="D45" s="419"/>
      <c r="E45" s="425"/>
      <c r="F45" s="426"/>
      <c r="N45" s="1033"/>
    </row>
    <row r="46" spans="2:14" s="409" customFormat="1" ht="13.5" hidden="1">
      <c r="B46" s="418" t="s">
        <v>740</v>
      </c>
      <c r="C46" s="427">
        <f>C43-PASIVO!C60</f>
        <v>0</v>
      </c>
      <c r="D46" s="427">
        <f>D43-PASIVO!D60</f>
        <v>0</v>
      </c>
      <c r="E46" s="427">
        <f>E43-PASIVO!E60</f>
        <v>0</v>
      </c>
      <c r="F46" s="428"/>
      <c r="N46" s="1033"/>
    </row>
    <row r="47" spans="2:14" s="409" customFormat="1" ht="13.5" hidden="1">
      <c r="B47" s="420"/>
      <c r="C47" s="428"/>
      <c r="D47" s="428"/>
      <c r="E47" s="428"/>
      <c r="F47" s="428"/>
      <c r="N47" s="1033"/>
    </row>
    <row r="48" spans="2:14" s="409" customFormat="1" ht="13.5" hidden="1">
      <c r="B48" s="420"/>
      <c r="C48" s="429"/>
      <c r="D48" s="429"/>
      <c r="E48" s="428"/>
      <c r="F48" s="428"/>
      <c r="N48" s="1033"/>
    </row>
    <row r="49" spans="2:14" s="409" customFormat="1" ht="13.5" hidden="1">
      <c r="B49" s="420" t="s">
        <v>89</v>
      </c>
      <c r="C49" s="430">
        <f>+C43-PASIVO!C60</f>
        <v>0</v>
      </c>
      <c r="D49" s="430">
        <f>+D43-PASIVO!D60</f>
        <v>0</v>
      </c>
      <c r="E49" s="430">
        <f>+E43-PASIVO!E60</f>
        <v>0</v>
      </c>
      <c r="F49" s="428"/>
      <c r="N49" s="1033"/>
    </row>
    <row r="50" spans="2:14" s="409" customFormat="1" ht="13.5" hidden="1">
      <c r="B50" s="420"/>
      <c r="C50" s="429"/>
      <c r="D50" s="429"/>
      <c r="E50" s="428"/>
      <c r="F50" s="428"/>
      <c r="N50" s="1033"/>
    </row>
    <row r="51" spans="2:14" s="409" customFormat="1" ht="13.5" hidden="1">
      <c r="B51" s="431" t="s">
        <v>88</v>
      </c>
      <c r="C51" s="427">
        <f>+C23-PASIVO!C43</f>
        <v>350679.28000000026</v>
      </c>
      <c r="D51" s="427">
        <f>+D23-PASIVO!D43</f>
        <v>208001.48999999976</v>
      </c>
      <c r="E51" s="427">
        <f>+E23-PASIVO!E43</f>
        <v>98546.75999999978</v>
      </c>
      <c r="F51" s="428"/>
      <c r="N51" s="1033"/>
    </row>
    <row r="52" spans="2:14" s="409" customFormat="1" ht="13.5" hidden="1">
      <c r="B52" s="432" t="s">
        <v>624</v>
      </c>
      <c r="C52" s="418"/>
      <c r="D52" s="427">
        <f>+D51-C51</f>
        <v>-142677.7900000005</v>
      </c>
      <c r="E52" s="433">
        <f>+E51-D51</f>
        <v>-109454.72999999998</v>
      </c>
      <c r="F52" s="428"/>
      <c r="N52" s="1033"/>
    </row>
    <row r="53" spans="3:14" s="409" customFormat="1" ht="13.5" hidden="1">
      <c r="C53" s="434"/>
      <c r="D53" s="434"/>
      <c r="E53" s="435"/>
      <c r="F53" s="435"/>
      <c r="N53" s="1033"/>
    </row>
    <row r="54" spans="3:14" s="409" customFormat="1" ht="13.5" hidden="1">
      <c r="C54" s="429"/>
      <c r="D54" s="429"/>
      <c r="E54" s="436"/>
      <c r="F54" s="436"/>
      <c r="N54" s="1033"/>
    </row>
    <row r="55" spans="3:14" s="409" customFormat="1" ht="13.5" hidden="1">
      <c r="C55" s="429"/>
      <c r="D55" s="429"/>
      <c r="E55" s="428"/>
      <c r="F55" s="428"/>
      <c r="N55" s="1033"/>
    </row>
    <row r="56" spans="3:14" s="409" customFormat="1" ht="13.5">
      <c r="C56" s="428"/>
      <c r="D56" s="428"/>
      <c r="E56" s="428"/>
      <c r="F56" s="428"/>
      <c r="N56" s="1033"/>
    </row>
    <row r="57" spans="3:14" s="409" customFormat="1" ht="13.5">
      <c r="C57" s="428"/>
      <c r="D57" s="428"/>
      <c r="E57" s="428"/>
      <c r="F57" s="428">
        <f>+F43-F56</f>
        <v>0</v>
      </c>
      <c r="N57" s="1033"/>
    </row>
    <row r="58" spans="3:14" s="409" customFormat="1" ht="13.5">
      <c r="C58" s="429"/>
      <c r="D58" s="429"/>
      <c r="E58" s="428"/>
      <c r="F58" s="428"/>
      <c r="N58" s="1033"/>
    </row>
    <row r="59" spans="3:14" s="409" customFormat="1" ht="13.5">
      <c r="C59" s="429"/>
      <c r="D59" s="429"/>
      <c r="E59" s="428"/>
      <c r="F59" s="428"/>
      <c r="N59" s="1033"/>
    </row>
    <row r="60" spans="3:14" s="409" customFormat="1" ht="13.5">
      <c r="C60" s="429"/>
      <c r="D60" s="429"/>
      <c r="E60" s="428"/>
      <c r="F60" s="428"/>
      <c r="N60" s="1033"/>
    </row>
    <row r="61" spans="3:14" s="409" customFormat="1" ht="13.5">
      <c r="C61" s="434"/>
      <c r="D61" s="434"/>
      <c r="E61" s="435"/>
      <c r="F61" s="435"/>
      <c r="N61" s="1033"/>
    </row>
    <row r="62" spans="3:14" s="409" customFormat="1" ht="13.5">
      <c r="C62" s="429"/>
      <c r="D62" s="429"/>
      <c r="E62" s="436"/>
      <c r="F62" s="436"/>
      <c r="N62" s="1033"/>
    </row>
    <row r="63" spans="3:14" s="409" customFormat="1" ht="13.5">
      <c r="C63" s="429"/>
      <c r="D63" s="429"/>
      <c r="E63" s="436"/>
      <c r="F63" s="436"/>
      <c r="N63" s="1033"/>
    </row>
    <row r="64" spans="3:14" s="409" customFormat="1" ht="13.5">
      <c r="C64" s="429"/>
      <c r="D64" s="429"/>
      <c r="E64" s="436"/>
      <c r="F64" s="436"/>
      <c r="N64" s="1033"/>
    </row>
    <row r="65" spans="5:14" s="409" customFormat="1" ht="13.5">
      <c r="E65" s="425"/>
      <c r="F65" s="426"/>
      <c r="N65" s="1033"/>
    </row>
    <row r="66" spans="5:14" s="409" customFormat="1" ht="13.5">
      <c r="E66" s="425"/>
      <c r="F66" s="426"/>
      <c r="N66" s="1033"/>
    </row>
    <row r="67" spans="5:14" s="409" customFormat="1" ht="13.5">
      <c r="E67" s="425"/>
      <c r="F67" s="426"/>
      <c r="N67" s="1033"/>
    </row>
    <row r="68" spans="5:14" s="409" customFormat="1" ht="13.5">
      <c r="E68" s="425"/>
      <c r="F68" s="426"/>
      <c r="N68" s="1033"/>
    </row>
    <row r="69" spans="5:14" s="409" customFormat="1" ht="13.5">
      <c r="E69" s="425"/>
      <c r="F69" s="426"/>
      <c r="N69" s="1033"/>
    </row>
    <row r="70" spans="5:14" s="409" customFormat="1" ht="13.5">
      <c r="E70" s="425"/>
      <c r="F70" s="426"/>
      <c r="N70" s="1033"/>
    </row>
    <row r="71" spans="5:14" s="409" customFormat="1" ht="13.5">
      <c r="E71" s="425"/>
      <c r="F71" s="426"/>
      <c r="N71" s="1033"/>
    </row>
    <row r="72" spans="5:14" s="409" customFormat="1" ht="13.5">
      <c r="E72" s="425"/>
      <c r="F72" s="426"/>
      <c r="N72" s="1033"/>
    </row>
    <row r="73" spans="5:14" s="409" customFormat="1" ht="13.5">
      <c r="E73" s="425"/>
      <c r="F73" s="426"/>
      <c r="N73" s="1033"/>
    </row>
    <row r="74" spans="5:14" s="409" customFormat="1" ht="13.5">
      <c r="E74" s="425"/>
      <c r="F74" s="426"/>
      <c r="N74" s="1033"/>
    </row>
    <row r="75" spans="5:14" s="409" customFormat="1" ht="13.5">
      <c r="E75" s="425"/>
      <c r="F75" s="426"/>
      <c r="N75" s="1033"/>
    </row>
    <row r="76" spans="5:14" s="409" customFormat="1" ht="13.5">
      <c r="E76" s="425"/>
      <c r="F76" s="426"/>
      <c r="N76" s="1033"/>
    </row>
    <row r="77" spans="5:14" s="409" customFormat="1" ht="13.5">
      <c r="E77" s="425"/>
      <c r="F77" s="426"/>
      <c r="N77" s="1033"/>
    </row>
    <row r="78" spans="5:14" s="409" customFormat="1" ht="13.5">
      <c r="E78" s="425"/>
      <c r="F78" s="426"/>
      <c r="N78" s="1033"/>
    </row>
    <row r="79" spans="5:14" s="409" customFormat="1" ht="13.5">
      <c r="E79" s="425"/>
      <c r="F79" s="426"/>
      <c r="N79" s="1033"/>
    </row>
    <row r="80" spans="5:14" s="409" customFormat="1" ht="13.5">
      <c r="E80" s="425"/>
      <c r="F80" s="426"/>
      <c r="N80" s="1033"/>
    </row>
    <row r="81" spans="5:14" s="409" customFormat="1" ht="13.5">
      <c r="E81" s="425"/>
      <c r="F81" s="426"/>
      <c r="N81" s="1033"/>
    </row>
    <row r="82" spans="5:14" s="409" customFormat="1" ht="13.5">
      <c r="E82" s="425"/>
      <c r="F82" s="426"/>
      <c r="N82" s="1033"/>
    </row>
    <row r="83" spans="5:14" s="409" customFormat="1" ht="13.5">
      <c r="E83" s="425"/>
      <c r="F83" s="426"/>
      <c r="N83" s="1033"/>
    </row>
    <row r="84" spans="5:14" s="409" customFormat="1" ht="13.5">
      <c r="E84" s="425"/>
      <c r="F84" s="426"/>
      <c r="N84" s="1033"/>
    </row>
    <row r="85" spans="5:14" s="409" customFormat="1" ht="13.5">
      <c r="E85" s="425"/>
      <c r="F85" s="426"/>
      <c r="N85" s="1033"/>
    </row>
    <row r="86" spans="5:14" s="409" customFormat="1" ht="13.5">
      <c r="E86" s="425"/>
      <c r="F86" s="426"/>
      <c r="N86" s="1033"/>
    </row>
    <row r="87" spans="5:14" s="409" customFormat="1" ht="13.5">
      <c r="E87" s="425"/>
      <c r="F87" s="426"/>
      <c r="N87" s="1033"/>
    </row>
    <row r="88" spans="5:14" s="409" customFormat="1" ht="13.5">
      <c r="E88" s="425"/>
      <c r="F88" s="426"/>
      <c r="N88" s="1033"/>
    </row>
    <row r="89" spans="5:14" s="409" customFormat="1" ht="13.5">
      <c r="E89" s="425"/>
      <c r="F89" s="426"/>
      <c r="N89" s="1033"/>
    </row>
    <row r="90" spans="5:14" s="409" customFormat="1" ht="13.5">
      <c r="E90" s="425"/>
      <c r="F90" s="426"/>
      <c r="N90" s="1033"/>
    </row>
    <row r="91" spans="5:14" s="409" customFormat="1" ht="13.5">
      <c r="E91" s="425"/>
      <c r="F91" s="426"/>
      <c r="N91" s="1033"/>
    </row>
    <row r="92" spans="5:14" s="409" customFormat="1" ht="13.5">
      <c r="E92" s="425"/>
      <c r="F92" s="426"/>
      <c r="N92" s="1033"/>
    </row>
    <row r="93" spans="5:14" s="409" customFormat="1" ht="13.5">
      <c r="E93" s="425"/>
      <c r="F93" s="426"/>
      <c r="N93" s="1033"/>
    </row>
    <row r="94" spans="5:14" s="409" customFormat="1" ht="13.5">
      <c r="E94" s="425"/>
      <c r="F94" s="426"/>
      <c r="N94" s="1033"/>
    </row>
    <row r="95" spans="5:14" s="409" customFormat="1" ht="13.5">
      <c r="E95" s="425"/>
      <c r="F95" s="426"/>
      <c r="N95" s="1033"/>
    </row>
    <row r="96" spans="5:14" s="409" customFormat="1" ht="13.5">
      <c r="E96" s="425"/>
      <c r="F96" s="426"/>
      <c r="N96" s="1033"/>
    </row>
    <row r="97" spans="5:14" s="409" customFormat="1" ht="13.5">
      <c r="E97" s="425"/>
      <c r="F97" s="426"/>
      <c r="N97" s="1033"/>
    </row>
    <row r="98" spans="5:14" s="409" customFormat="1" ht="13.5">
      <c r="E98" s="425"/>
      <c r="F98" s="426"/>
      <c r="N98" s="1033"/>
    </row>
    <row r="99" spans="5:14" s="409" customFormat="1" ht="13.5">
      <c r="E99" s="425"/>
      <c r="F99" s="426"/>
      <c r="N99" s="1033"/>
    </row>
    <row r="100" spans="5:14" s="409" customFormat="1" ht="13.5">
      <c r="E100" s="425"/>
      <c r="F100" s="426"/>
      <c r="N100" s="1033"/>
    </row>
    <row r="101" spans="5:14" s="409" customFormat="1" ht="13.5">
      <c r="E101" s="425"/>
      <c r="F101" s="426"/>
      <c r="N101" s="1033"/>
    </row>
    <row r="102" spans="5:14" s="409" customFormat="1" ht="13.5">
      <c r="E102" s="425"/>
      <c r="F102" s="426"/>
      <c r="N102" s="1033"/>
    </row>
    <row r="103" spans="5:14" s="409" customFormat="1" ht="13.5">
      <c r="E103" s="425"/>
      <c r="F103" s="426"/>
      <c r="N103" s="1033"/>
    </row>
    <row r="104" spans="5:14" s="409" customFormat="1" ht="13.5">
      <c r="E104" s="425"/>
      <c r="F104" s="426"/>
      <c r="N104" s="1033"/>
    </row>
    <row r="105" spans="5:14" s="409" customFormat="1" ht="13.5">
      <c r="E105" s="425"/>
      <c r="F105" s="426"/>
      <c r="N105" s="1033"/>
    </row>
    <row r="106" spans="5:14" s="409" customFormat="1" ht="13.5">
      <c r="E106" s="425"/>
      <c r="F106" s="426"/>
      <c r="N106" s="1033"/>
    </row>
    <row r="107" spans="5:14" s="409" customFormat="1" ht="13.5">
      <c r="E107" s="425"/>
      <c r="F107" s="426"/>
      <c r="N107" s="1033"/>
    </row>
    <row r="108" spans="5:14" s="409" customFormat="1" ht="13.5">
      <c r="E108" s="425"/>
      <c r="F108" s="426"/>
      <c r="N108" s="1033"/>
    </row>
    <row r="109" spans="5:14" s="409" customFormat="1" ht="13.5">
      <c r="E109" s="425"/>
      <c r="F109" s="426"/>
      <c r="N109" s="1033"/>
    </row>
    <row r="110" spans="5:14" s="409" customFormat="1" ht="13.5">
      <c r="E110" s="425"/>
      <c r="F110" s="426"/>
      <c r="N110" s="1033"/>
    </row>
    <row r="111" spans="5:14" s="409" customFormat="1" ht="13.5">
      <c r="E111" s="425"/>
      <c r="F111" s="426"/>
      <c r="N111" s="1033"/>
    </row>
    <row r="112" spans="5:14" s="409" customFormat="1" ht="13.5">
      <c r="E112" s="425"/>
      <c r="F112" s="426"/>
      <c r="N112" s="1033"/>
    </row>
    <row r="113" spans="5:14" s="409" customFormat="1" ht="13.5">
      <c r="E113" s="425"/>
      <c r="F113" s="426"/>
      <c r="N113" s="1033"/>
    </row>
    <row r="114" spans="5:14" s="409" customFormat="1" ht="13.5">
      <c r="E114" s="425"/>
      <c r="F114" s="426"/>
      <c r="N114" s="1033"/>
    </row>
    <row r="115" spans="5:14" s="409" customFormat="1" ht="13.5">
      <c r="E115" s="425"/>
      <c r="F115" s="426"/>
      <c r="N115" s="1033"/>
    </row>
    <row r="116" spans="5:14" s="409" customFormat="1" ht="13.5">
      <c r="E116" s="425"/>
      <c r="F116" s="426"/>
      <c r="N116" s="1033"/>
    </row>
    <row r="117" spans="5:14" s="409" customFormat="1" ht="13.5">
      <c r="E117" s="425"/>
      <c r="F117" s="426"/>
      <c r="N117" s="1033"/>
    </row>
    <row r="118" spans="5:14" s="409" customFormat="1" ht="13.5">
      <c r="E118" s="425"/>
      <c r="F118" s="426"/>
      <c r="N118" s="1033"/>
    </row>
    <row r="119" spans="5:14" s="409" customFormat="1" ht="13.5">
      <c r="E119" s="425"/>
      <c r="F119" s="426"/>
      <c r="N119" s="1033"/>
    </row>
    <row r="120" spans="5:14" s="409" customFormat="1" ht="13.5">
      <c r="E120" s="425"/>
      <c r="F120" s="426"/>
      <c r="N120" s="1033"/>
    </row>
    <row r="121" spans="5:14" s="409" customFormat="1" ht="13.5">
      <c r="E121" s="425"/>
      <c r="F121" s="426"/>
      <c r="N121" s="1033"/>
    </row>
    <row r="122" spans="5:14" s="409" customFormat="1" ht="13.5">
      <c r="E122" s="425"/>
      <c r="F122" s="426"/>
      <c r="N122" s="1033"/>
    </row>
    <row r="123" spans="5:14" s="409" customFormat="1" ht="13.5">
      <c r="E123" s="425"/>
      <c r="F123" s="426"/>
      <c r="N123" s="1033"/>
    </row>
    <row r="124" spans="5:14" s="409" customFormat="1" ht="13.5">
      <c r="E124" s="425"/>
      <c r="F124" s="426"/>
      <c r="N124" s="1033"/>
    </row>
    <row r="125" spans="5:14" s="409" customFormat="1" ht="13.5">
      <c r="E125" s="425"/>
      <c r="F125" s="426"/>
      <c r="N125" s="1033"/>
    </row>
    <row r="126" spans="5:14" s="409" customFormat="1" ht="13.5">
      <c r="E126" s="425"/>
      <c r="F126" s="426"/>
      <c r="N126" s="1033"/>
    </row>
    <row r="127" spans="5:14" s="409" customFormat="1" ht="13.5">
      <c r="E127" s="425"/>
      <c r="F127" s="426"/>
      <c r="N127" s="1033"/>
    </row>
    <row r="128" spans="5:14" s="409" customFormat="1" ht="13.5">
      <c r="E128" s="425"/>
      <c r="F128" s="426"/>
      <c r="N128" s="1033"/>
    </row>
    <row r="129" spans="5:14" s="409" customFormat="1" ht="13.5">
      <c r="E129" s="425"/>
      <c r="F129" s="426"/>
      <c r="N129" s="1033"/>
    </row>
    <row r="130" spans="5:14" s="409" customFormat="1" ht="13.5">
      <c r="E130" s="425"/>
      <c r="F130" s="426"/>
      <c r="N130" s="1033"/>
    </row>
    <row r="131" spans="5:14" s="409" customFormat="1" ht="13.5">
      <c r="E131" s="425"/>
      <c r="F131" s="426"/>
      <c r="N131" s="1033"/>
    </row>
    <row r="132" spans="5:14" s="409" customFormat="1" ht="13.5">
      <c r="E132" s="425"/>
      <c r="F132" s="426"/>
      <c r="N132" s="1033"/>
    </row>
    <row r="133" spans="5:14" s="409" customFormat="1" ht="13.5">
      <c r="E133" s="425"/>
      <c r="F133" s="426"/>
      <c r="N133" s="1033"/>
    </row>
    <row r="134" spans="5:14" s="409" customFormat="1" ht="13.5">
      <c r="E134" s="425"/>
      <c r="F134" s="426"/>
      <c r="N134" s="1033"/>
    </row>
    <row r="135" spans="5:14" s="409" customFormat="1" ht="13.5">
      <c r="E135" s="425"/>
      <c r="F135" s="426"/>
      <c r="N135" s="1033"/>
    </row>
    <row r="136" spans="5:14" s="409" customFormat="1" ht="13.5">
      <c r="E136" s="425"/>
      <c r="F136" s="426"/>
      <c r="N136" s="1033"/>
    </row>
    <row r="137" spans="5:14" s="409" customFormat="1" ht="13.5">
      <c r="E137" s="425"/>
      <c r="F137" s="426"/>
      <c r="N137" s="1033"/>
    </row>
    <row r="138" spans="5:14" s="409" customFormat="1" ht="13.5">
      <c r="E138" s="425"/>
      <c r="F138" s="426"/>
      <c r="N138" s="1033"/>
    </row>
    <row r="139" spans="5:14" s="409" customFormat="1" ht="13.5">
      <c r="E139" s="425"/>
      <c r="F139" s="426"/>
      <c r="N139" s="1033"/>
    </row>
    <row r="140" spans="5:14" s="409" customFormat="1" ht="13.5">
      <c r="E140" s="425"/>
      <c r="F140" s="426"/>
      <c r="N140" s="1033"/>
    </row>
    <row r="141" spans="5:14" s="409" customFormat="1" ht="13.5">
      <c r="E141" s="425"/>
      <c r="F141" s="426"/>
      <c r="N141" s="1033"/>
    </row>
    <row r="142" spans="5:14" s="409" customFormat="1" ht="13.5">
      <c r="E142" s="425"/>
      <c r="F142" s="426"/>
      <c r="N142" s="1033"/>
    </row>
    <row r="143" spans="5:14" s="409" customFormat="1" ht="13.5">
      <c r="E143" s="425"/>
      <c r="F143" s="426"/>
      <c r="N143" s="1033"/>
    </row>
    <row r="144" spans="5:14" s="409" customFormat="1" ht="13.5">
      <c r="E144" s="425"/>
      <c r="F144" s="426"/>
      <c r="N144" s="1033"/>
    </row>
    <row r="145" spans="5:14" s="409" customFormat="1" ht="13.5">
      <c r="E145" s="425"/>
      <c r="F145" s="426"/>
      <c r="N145" s="1033"/>
    </row>
    <row r="146" spans="5:14" s="409" customFormat="1" ht="13.5">
      <c r="E146" s="425"/>
      <c r="F146" s="426"/>
      <c r="N146" s="1033"/>
    </row>
    <row r="147" spans="5:14" s="409" customFormat="1" ht="13.5">
      <c r="E147" s="425"/>
      <c r="F147" s="426"/>
      <c r="N147" s="1033"/>
    </row>
    <row r="148" spans="5:14" s="409" customFormat="1" ht="13.5">
      <c r="E148" s="425"/>
      <c r="F148" s="426"/>
      <c r="N148" s="1033"/>
    </row>
    <row r="149" spans="5:14" s="409" customFormat="1" ht="13.5">
      <c r="E149" s="425"/>
      <c r="F149" s="426"/>
      <c r="N149" s="1033"/>
    </row>
    <row r="150" spans="5:14" s="409" customFormat="1" ht="13.5">
      <c r="E150" s="425"/>
      <c r="F150" s="426"/>
      <c r="N150" s="1033"/>
    </row>
    <row r="151" spans="5:14" s="409" customFormat="1" ht="13.5">
      <c r="E151" s="425"/>
      <c r="F151" s="426"/>
      <c r="N151" s="1033"/>
    </row>
    <row r="152" spans="5:14" s="409" customFormat="1" ht="13.5">
      <c r="E152" s="425"/>
      <c r="F152" s="426"/>
      <c r="N152" s="1033"/>
    </row>
    <row r="153" spans="5:14" s="409" customFormat="1" ht="13.5">
      <c r="E153" s="425"/>
      <c r="F153" s="426"/>
      <c r="N153" s="1033"/>
    </row>
    <row r="154" spans="5:14" s="409" customFormat="1" ht="13.5">
      <c r="E154" s="425"/>
      <c r="F154" s="426"/>
      <c r="N154" s="1033"/>
    </row>
    <row r="155" spans="5:14" s="409" customFormat="1" ht="13.5">
      <c r="E155" s="425"/>
      <c r="F155" s="426"/>
      <c r="N155" s="1033"/>
    </row>
    <row r="156" spans="5:14" s="409" customFormat="1" ht="13.5">
      <c r="E156" s="425"/>
      <c r="F156" s="426"/>
      <c r="N156" s="1033"/>
    </row>
    <row r="157" spans="5:14" s="409" customFormat="1" ht="13.5">
      <c r="E157" s="425"/>
      <c r="F157" s="426"/>
      <c r="N157" s="1033"/>
    </row>
    <row r="158" spans="5:14" s="409" customFormat="1" ht="13.5">
      <c r="E158" s="425"/>
      <c r="F158" s="426"/>
      <c r="N158" s="1033"/>
    </row>
    <row r="159" spans="5:14" s="409" customFormat="1" ht="13.5">
      <c r="E159" s="425"/>
      <c r="F159" s="426"/>
      <c r="N159" s="1033"/>
    </row>
    <row r="160" spans="5:14" s="409" customFormat="1" ht="13.5">
      <c r="E160" s="425"/>
      <c r="F160" s="426"/>
      <c r="N160" s="1033"/>
    </row>
    <row r="161" spans="5:14" s="409" customFormat="1" ht="13.5">
      <c r="E161" s="425"/>
      <c r="F161" s="426"/>
      <c r="N161" s="1033"/>
    </row>
    <row r="162" spans="5:14" s="409" customFormat="1" ht="13.5">
      <c r="E162" s="425"/>
      <c r="F162" s="426"/>
      <c r="N162" s="1033"/>
    </row>
    <row r="163" spans="5:14" s="409" customFormat="1" ht="13.5">
      <c r="E163" s="425"/>
      <c r="F163" s="426"/>
      <c r="N163" s="1033"/>
    </row>
    <row r="164" spans="5:14" s="409" customFormat="1" ht="13.5">
      <c r="E164" s="425"/>
      <c r="F164" s="426"/>
      <c r="N164" s="1033"/>
    </row>
    <row r="165" spans="5:14" s="409" customFormat="1" ht="13.5">
      <c r="E165" s="425"/>
      <c r="F165" s="426"/>
      <c r="N165" s="1033"/>
    </row>
    <row r="166" spans="5:14" s="409" customFormat="1" ht="13.5">
      <c r="E166" s="425"/>
      <c r="F166" s="426"/>
      <c r="N166" s="1033"/>
    </row>
    <row r="167" spans="5:14" s="409" customFormat="1" ht="13.5">
      <c r="E167" s="425"/>
      <c r="F167" s="426"/>
      <c r="N167" s="1033"/>
    </row>
    <row r="168" spans="5:14" s="409" customFormat="1" ht="13.5">
      <c r="E168" s="425"/>
      <c r="F168" s="426"/>
      <c r="N168" s="1033"/>
    </row>
    <row r="169" spans="5:14" s="409" customFormat="1" ht="13.5">
      <c r="E169" s="425"/>
      <c r="F169" s="426"/>
      <c r="N169" s="1033"/>
    </row>
    <row r="170" spans="5:14" s="409" customFormat="1" ht="13.5">
      <c r="E170" s="425"/>
      <c r="F170" s="426"/>
      <c r="N170" s="1033"/>
    </row>
    <row r="171" spans="5:14" s="409" customFormat="1" ht="13.5">
      <c r="E171" s="425"/>
      <c r="F171" s="426"/>
      <c r="N171" s="1033"/>
    </row>
    <row r="172" spans="5:14" s="409" customFormat="1" ht="13.5">
      <c r="E172" s="425"/>
      <c r="F172" s="426"/>
      <c r="N172" s="1033"/>
    </row>
    <row r="173" spans="5:14" s="409" customFormat="1" ht="13.5">
      <c r="E173" s="425"/>
      <c r="F173" s="426"/>
      <c r="N173" s="1033"/>
    </row>
    <row r="174" spans="5:14" s="409" customFormat="1" ht="13.5">
      <c r="E174" s="425"/>
      <c r="F174" s="426"/>
      <c r="N174" s="1033"/>
    </row>
    <row r="175" spans="5:14" s="409" customFormat="1" ht="13.5">
      <c r="E175" s="425"/>
      <c r="F175" s="426"/>
      <c r="N175" s="1033"/>
    </row>
    <row r="176" spans="5:14" s="409" customFormat="1" ht="13.5">
      <c r="E176" s="425"/>
      <c r="F176" s="426"/>
      <c r="N176" s="1033"/>
    </row>
    <row r="177" spans="5:14" s="409" customFormat="1" ht="13.5">
      <c r="E177" s="425"/>
      <c r="F177" s="426"/>
      <c r="N177" s="1033"/>
    </row>
    <row r="178" spans="5:14" s="409" customFormat="1" ht="13.5">
      <c r="E178" s="425"/>
      <c r="F178" s="426"/>
      <c r="N178" s="1033"/>
    </row>
    <row r="179" spans="5:14" s="409" customFormat="1" ht="13.5">
      <c r="E179" s="425"/>
      <c r="F179" s="426"/>
      <c r="N179" s="1033"/>
    </row>
    <row r="180" spans="5:14" s="409" customFormat="1" ht="13.5">
      <c r="E180" s="425"/>
      <c r="F180" s="426"/>
      <c r="N180" s="1033"/>
    </row>
    <row r="181" spans="5:14" s="409" customFormat="1" ht="13.5">
      <c r="E181" s="425"/>
      <c r="F181" s="426"/>
      <c r="N181" s="1033"/>
    </row>
    <row r="182" spans="5:14" s="409" customFormat="1" ht="13.5">
      <c r="E182" s="425"/>
      <c r="F182" s="426"/>
      <c r="N182" s="1033"/>
    </row>
    <row r="183" spans="5:14" s="409" customFormat="1" ht="13.5">
      <c r="E183" s="425"/>
      <c r="F183" s="426"/>
      <c r="N183" s="1033"/>
    </row>
    <row r="184" spans="5:14" s="409" customFormat="1" ht="13.5">
      <c r="E184" s="425"/>
      <c r="F184" s="426"/>
      <c r="N184" s="1033"/>
    </row>
    <row r="185" spans="5:14" s="409" customFormat="1" ht="13.5">
      <c r="E185" s="425"/>
      <c r="F185" s="426"/>
      <c r="N185" s="1033"/>
    </row>
    <row r="186" spans="5:14" s="409" customFormat="1" ht="13.5">
      <c r="E186" s="425"/>
      <c r="F186" s="426"/>
      <c r="N186" s="1033"/>
    </row>
    <row r="187" spans="5:14" s="409" customFormat="1" ht="13.5">
      <c r="E187" s="425"/>
      <c r="F187" s="426"/>
      <c r="N187" s="1033"/>
    </row>
    <row r="188" spans="5:14" s="409" customFormat="1" ht="13.5">
      <c r="E188" s="425"/>
      <c r="F188" s="426"/>
      <c r="N188" s="1033"/>
    </row>
    <row r="189" spans="5:14" s="409" customFormat="1" ht="13.5">
      <c r="E189" s="425"/>
      <c r="F189" s="426"/>
      <c r="N189" s="1033"/>
    </row>
    <row r="190" spans="5:14" s="409" customFormat="1" ht="13.5">
      <c r="E190" s="425"/>
      <c r="F190" s="426"/>
      <c r="N190" s="1033"/>
    </row>
    <row r="191" spans="5:14" s="409" customFormat="1" ht="13.5">
      <c r="E191" s="425"/>
      <c r="F191" s="426"/>
      <c r="N191" s="1033"/>
    </row>
    <row r="192" spans="5:14" s="409" customFormat="1" ht="13.5">
      <c r="E192" s="425"/>
      <c r="F192" s="426"/>
      <c r="N192" s="1033"/>
    </row>
    <row r="193" spans="5:14" s="409" customFormat="1" ht="13.5">
      <c r="E193" s="425"/>
      <c r="F193" s="426"/>
      <c r="N193" s="1033"/>
    </row>
    <row r="194" spans="5:14" s="409" customFormat="1" ht="13.5">
      <c r="E194" s="425"/>
      <c r="F194" s="426"/>
      <c r="N194" s="1033"/>
    </row>
    <row r="195" spans="5:14" s="409" customFormat="1" ht="13.5">
      <c r="E195" s="425"/>
      <c r="F195" s="426"/>
      <c r="N195" s="1033"/>
    </row>
    <row r="196" spans="5:14" s="409" customFormat="1" ht="13.5">
      <c r="E196" s="425"/>
      <c r="F196" s="426"/>
      <c r="N196" s="1033"/>
    </row>
    <row r="197" spans="5:14" s="409" customFormat="1" ht="13.5">
      <c r="E197" s="425"/>
      <c r="F197" s="426"/>
      <c r="N197" s="1033"/>
    </row>
    <row r="198" spans="5:14" s="409" customFormat="1" ht="13.5">
      <c r="E198" s="425"/>
      <c r="F198" s="426"/>
      <c r="N198" s="1033"/>
    </row>
    <row r="199" spans="5:14" s="409" customFormat="1" ht="13.5">
      <c r="E199" s="425"/>
      <c r="F199" s="426"/>
      <c r="N199" s="1033"/>
    </row>
    <row r="200" spans="5:14" s="409" customFormat="1" ht="13.5">
      <c r="E200" s="425"/>
      <c r="F200" s="426"/>
      <c r="N200" s="1033"/>
    </row>
    <row r="201" spans="5:14" s="409" customFormat="1" ht="13.5">
      <c r="E201" s="425"/>
      <c r="F201" s="426"/>
      <c r="N201" s="1033"/>
    </row>
    <row r="202" spans="5:14" s="409" customFormat="1" ht="13.5">
      <c r="E202" s="425"/>
      <c r="F202" s="426"/>
      <c r="N202" s="1033"/>
    </row>
    <row r="203" spans="5:14" s="409" customFormat="1" ht="13.5">
      <c r="E203" s="425"/>
      <c r="F203" s="426"/>
      <c r="N203" s="1033"/>
    </row>
    <row r="204" spans="5:14" s="409" customFormat="1" ht="13.5">
      <c r="E204" s="425"/>
      <c r="F204" s="426"/>
      <c r="N204" s="1033"/>
    </row>
    <row r="205" spans="5:14" s="409" customFormat="1" ht="13.5">
      <c r="E205" s="425"/>
      <c r="F205" s="426"/>
      <c r="N205" s="1033"/>
    </row>
    <row r="206" spans="5:14" s="409" customFormat="1" ht="13.5">
      <c r="E206" s="425"/>
      <c r="F206" s="426"/>
      <c r="N206" s="1033"/>
    </row>
    <row r="207" spans="5:14" s="409" customFormat="1" ht="13.5">
      <c r="E207" s="425"/>
      <c r="F207" s="426"/>
      <c r="N207" s="1033"/>
    </row>
    <row r="208" spans="5:14" s="409" customFormat="1" ht="13.5">
      <c r="E208" s="425"/>
      <c r="F208" s="426"/>
      <c r="N208" s="1033"/>
    </row>
    <row r="209" spans="5:14" s="409" customFormat="1" ht="13.5">
      <c r="E209" s="425"/>
      <c r="F209" s="426"/>
      <c r="N209" s="1033"/>
    </row>
    <row r="210" spans="5:14" s="409" customFormat="1" ht="13.5">
      <c r="E210" s="425"/>
      <c r="F210" s="426"/>
      <c r="N210" s="1033"/>
    </row>
    <row r="211" spans="5:14" s="409" customFormat="1" ht="13.5">
      <c r="E211" s="425"/>
      <c r="F211" s="426"/>
      <c r="N211" s="1033"/>
    </row>
    <row r="212" spans="5:14" s="409" customFormat="1" ht="13.5">
      <c r="E212" s="425"/>
      <c r="F212" s="426"/>
      <c r="N212" s="1033"/>
    </row>
    <row r="213" spans="5:14" s="409" customFormat="1" ht="13.5">
      <c r="E213" s="425"/>
      <c r="F213" s="426"/>
      <c r="N213" s="1033"/>
    </row>
    <row r="214" spans="5:14" s="409" customFormat="1" ht="13.5">
      <c r="E214" s="425"/>
      <c r="F214" s="426"/>
      <c r="N214" s="1033"/>
    </row>
    <row r="215" spans="5:14" s="409" customFormat="1" ht="13.5">
      <c r="E215" s="425"/>
      <c r="F215" s="426"/>
      <c r="N215" s="1033"/>
    </row>
    <row r="216" spans="5:14" s="409" customFormat="1" ht="13.5">
      <c r="E216" s="425"/>
      <c r="F216" s="426"/>
      <c r="N216" s="1033"/>
    </row>
    <row r="217" spans="5:14" s="409" customFormat="1" ht="13.5">
      <c r="E217" s="425"/>
      <c r="F217" s="426"/>
      <c r="N217" s="1033"/>
    </row>
    <row r="218" spans="5:14" s="409" customFormat="1" ht="13.5">
      <c r="E218" s="425"/>
      <c r="F218" s="426"/>
      <c r="N218" s="1033"/>
    </row>
    <row r="219" spans="5:14" s="409" customFormat="1" ht="13.5">
      <c r="E219" s="425"/>
      <c r="F219" s="426"/>
      <c r="N219" s="1033"/>
    </row>
    <row r="220" spans="5:14" s="409" customFormat="1" ht="13.5">
      <c r="E220" s="425"/>
      <c r="F220" s="426"/>
      <c r="N220" s="1033"/>
    </row>
    <row r="221" spans="5:14" s="409" customFormat="1" ht="13.5">
      <c r="E221" s="425"/>
      <c r="F221" s="426"/>
      <c r="N221" s="1033"/>
    </row>
    <row r="222" spans="5:14" s="409" customFormat="1" ht="13.5">
      <c r="E222" s="425"/>
      <c r="F222" s="426"/>
      <c r="N222" s="1033"/>
    </row>
    <row r="223" spans="5:14" s="409" customFormat="1" ht="13.5">
      <c r="E223" s="425"/>
      <c r="F223" s="426"/>
      <c r="N223" s="1033"/>
    </row>
    <row r="224" spans="5:14" s="409" customFormat="1" ht="13.5">
      <c r="E224" s="425"/>
      <c r="F224" s="426"/>
      <c r="N224" s="1033"/>
    </row>
    <row r="225" spans="5:14" s="409" customFormat="1" ht="13.5">
      <c r="E225" s="425"/>
      <c r="F225" s="426"/>
      <c r="N225" s="1033"/>
    </row>
    <row r="226" spans="5:14" s="409" customFormat="1" ht="13.5">
      <c r="E226" s="425"/>
      <c r="F226" s="426"/>
      <c r="N226" s="1033"/>
    </row>
    <row r="227" spans="5:14" s="409" customFormat="1" ht="13.5">
      <c r="E227" s="425"/>
      <c r="F227" s="426"/>
      <c r="N227" s="1033"/>
    </row>
    <row r="228" spans="5:14" s="409" customFormat="1" ht="13.5">
      <c r="E228" s="425"/>
      <c r="F228" s="426"/>
      <c r="N228" s="1033"/>
    </row>
    <row r="229" spans="5:14" s="409" customFormat="1" ht="13.5">
      <c r="E229" s="425"/>
      <c r="F229" s="426"/>
      <c r="N229" s="1033"/>
    </row>
    <row r="230" spans="5:14" s="409" customFormat="1" ht="13.5">
      <c r="E230" s="425"/>
      <c r="F230" s="426"/>
      <c r="N230" s="1033"/>
    </row>
    <row r="231" spans="5:14" s="409" customFormat="1" ht="13.5">
      <c r="E231" s="425"/>
      <c r="F231" s="426"/>
      <c r="N231" s="1033"/>
    </row>
    <row r="232" spans="5:14" s="409" customFormat="1" ht="13.5">
      <c r="E232" s="425"/>
      <c r="F232" s="426"/>
      <c r="N232" s="1033"/>
    </row>
    <row r="233" spans="5:14" s="409" customFormat="1" ht="13.5">
      <c r="E233" s="425"/>
      <c r="F233" s="426"/>
      <c r="N233" s="1033"/>
    </row>
    <row r="234" spans="5:14" s="409" customFormat="1" ht="13.5">
      <c r="E234" s="425"/>
      <c r="F234" s="426"/>
      <c r="N234" s="1033"/>
    </row>
    <row r="235" spans="5:14" s="409" customFormat="1" ht="13.5">
      <c r="E235" s="425"/>
      <c r="F235" s="426"/>
      <c r="N235" s="1033"/>
    </row>
    <row r="236" spans="5:14" s="409" customFormat="1" ht="13.5">
      <c r="E236" s="425"/>
      <c r="F236" s="426"/>
      <c r="N236" s="1033"/>
    </row>
    <row r="237" spans="5:14" s="409" customFormat="1" ht="13.5">
      <c r="E237" s="425"/>
      <c r="F237" s="426"/>
      <c r="N237" s="1033"/>
    </row>
    <row r="238" spans="5:14" s="409" customFormat="1" ht="13.5">
      <c r="E238" s="425"/>
      <c r="F238" s="426"/>
      <c r="N238" s="1033"/>
    </row>
    <row r="239" spans="5:14" s="409" customFormat="1" ht="13.5">
      <c r="E239" s="425"/>
      <c r="F239" s="426"/>
      <c r="N239" s="1033"/>
    </row>
    <row r="240" spans="5:14" s="409" customFormat="1" ht="13.5">
      <c r="E240" s="425"/>
      <c r="F240" s="426"/>
      <c r="N240" s="1033"/>
    </row>
    <row r="241" spans="5:14" s="409" customFormat="1" ht="13.5">
      <c r="E241" s="425"/>
      <c r="F241" s="426"/>
      <c r="N241" s="1033"/>
    </row>
    <row r="242" spans="5:14" s="409" customFormat="1" ht="13.5">
      <c r="E242" s="425"/>
      <c r="F242" s="426"/>
      <c r="N242" s="1033"/>
    </row>
    <row r="243" spans="5:14" s="409" customFormat="1" ht="13.5">
      <c r="E243" s="425"/>
      <c r="F243" s="426"/>
      <c r="N243" s="1033"/>
    </row>
    <row r="244" spans="5:14" s="409" customFormat="1" ht="13.5">
      <c r="E244" s="425"/>
      <c r="F244" s="426"/>
      <c r="N244" s="1033"/>
    </row>
    <row r="245" spans="5:14" s="409" customFormat="1" ht="13.5">
      <c r="E245" s="425"/>
      <c r="F245" s="426"/>
      <c r="N245" s="1033"/>
    </row>
    <row r="246" spans="5:14" s="409" customFormat="1" ht="13.5">
      <c r="E246" s="425"/>
      <c r="F246" s="426"/>
      <c r="N246" s="1033"/>
    </row>
    <row r="247" spans="5:14" s="409" customFormat="1" ht="13.5">
      <c r="E247" s="425"/>
      <c r="F247" s="426"/>
      <c r="N247" s="1033"/>
    </row>
    <row r="248" spans="5:14" s="409" customFormat="1" ht="13.5">
      <c r="E248" s="425"/>
      <c r="F248" s="426"/>
      <c r="N248" s="1033"/>
    </row>
    <row r="249" spans="5:14" s="409" customFormat="1" ht="13.5">
      <c r="E249" s="425"/>
      <c r="F249" s="426"/>
      <c r="N249" s="1033"/>
    </row>
    <row r="250" spans="5:14" s="409" customFormat="1" ht="13.5">
      <c r="E250" s="425"/>
      <c r="F250" s="426"/>
      <c r="N250" s="1033"/>
    </row>
    <row r="251" spans="5:14" s="409" customFormat="1" ht="13.5">
      <c r="E251" s="425"/>
      <c r="F251" s="426"/>
      <c r="N251" s="1033"/>
    </row>
    <row r="252" spans="5:14" s="409" customFormat="1" ht="13.5">
      <c r="E252" s="425"/>
      <c r="F252" s="426"/>
      <c r="N252" s="1033"/>
    </row>
    <row r="253" spans="5:14" s="409" customFormat="1" ht="13.5">
      <c r="E253" s="425"/>
      <c r="F253" s="426"/>
      <c r="N253" s="1033"/>
    </row>
    <row r="254" spans="5:14" s="409" customFormat="1" ht="13.5">
      <c r="E254" s="425"/>
      <c r="F254" s="426"/>
      <c r="N254" s="1033"/>
    </row>
    <row r="255" spans="5:14" s="409" customFormat="1" ht="13.5">
      <c r="E255" s="425"/>
      <c r="F255" s="426"/>
      <c r="N255" s="1033"/>
    </row>
    <row r="256" spans="5:14" s="409" customFormat="1" ht="13.5">
      <c r="E256" s="425"/>
      <c r="F256" s="426"/>
      <c r="N256" s="1033"/>
    </row>
    <row r="257" spans="5:14" s="409" customFormat="1" ht="13.5">
      <c r="E257" s="425"/>
      <c r="F257" s="426"/>
      <c r="N257" s="1033"/>
    </row>
    <row r="258" spans="5:14" s="409" customFormat="1" ht="13.5">
      <c r="E258" s="425"/>
      <c r="F258" s="426"/>
      <c r="N258" s="1033"/>
    </row>
    <row r="259" spans="5:14" s="409" customFormat="1" ht="13.5">
      <c r="E259" s="425"/>
      <c r="F259" s="426"/>
      <c r="N259" s="1033"/>
    </row>
    <row r="260" spans="5:14" s="409" customFormat="1" ht="13.5">
      <c r="E260" s="425"/>
      <c r="F260" s="426"/>
      <c r="N260" s="1033"/>
    </row>
    <row r="261" spans="5:14" s="409" customFormat="1" ht="13.5">
      <c r="E261" s="425"/>
      <c r="F261" s="426"/>
      <c r="N261" s="1033"/>
    </row>
    <row r="262" spans="5:14" s="409" customFormat="1" ht="13.5">
      <c r="E262" s="425"/>
      <c r="F262" s="426"/>
      <c r="N262" s="1033"/>
    </row>
    <row r="263" spans="5:14" s="409" customFormat="1" ht="13.5">
      <c r="E263" s="425"/>
      <c r="F263" s="426"/>
      <c r="N263" s="1033"/>
    </row>
    <row r="264" spans="5:14" s="409" customFormat="1" ht="13.5">
      <c r="E264" s="425"/>
      <c r="F264" s="426"/>
      <c r="N264" s="1033"/>
    </row>
    <row r="265" spans="5:14" s="409" customFormat="1" ht="13.5">
      <c r="E265" s="425"/>
      <c r="F265" s="426"/>
      <c r="N265" s="1033"/>
    </row>
    <row r="266" spans="5:14" s="409" customFormat="1" ht="13.5">
      <c r="E266" s="425"/>
      <c r="F266" s="426"/>
      <c r="N266" s="1033"/>
    </row>
    <row r="267" spans="5:14" s="409" customFormat="1" ht="13.5">
      <c r="E267" s="425"/>
      <c r="F267" s="426"/>
      <c r="N267" s="1033"/>
    </row>
    <row r="268" spans="5:14" s="409" customFormat="1" ht="13.5">
      <c r="E268" s="425"/>
      <c r="F268" s="426"/>
      <c r="N268" s="1033"/>
    </row>
    <row r="269" spans="5:14" s="409" customFormat="1" ht="13.5">
      <c r="E269" s="425"/>
      <c r="F269" s="426"/>
      <c r="N269" s="1033"/>
    </row>
    <row r="270" spans="5:14" s="409" customFormat="1" ht="13.5">
      <c r="E270" s="425"/>
      <c r="F270" s="426"/>
      <c r="N270" s="1033"/>
    </row>
    <row r="271" spans="5:14" s="409" customFormat="1" ht="13.5">
      <c r="E271" s="425"/>
      <c r="F271" s="426"/>
      <c r="N271" s="1033"/>
    </row>
    <row r="272" spans="5:14" s="409" customFormat="1" ht="13.5">
      <c r="E272" s="425"/>
      <c r="F272" s="426"/>
      <c r="N272" s="1033"/>
    </row>
    <row r="273" spans="5:14" s="409" customFormat="1" ht="13.5">
      <c r="E273" s="425"/>
      <c r="F273" s="426"/>
      <c r="N273" s="1033"/>
    </row>
    <row r="274" spans="5:14" s="409" customFormat="1" ht="13.5">
      <c r="E274" s="425"/>
      <c r="F274" s="426"/>
      <c r="N274" s="1033"/>
    </row>
    <row r="275" spans="5:14" s="409" customFormat="1" ht="13.5">
      <c r="E275" s="425"/>
      <c r="F275" s="426"/>
      <c r="N275" s="1033"/>
    </row>
    <row r="276" spans="5:14" s="409" customFormat="1" ht="13.5">
      <c r="E276" s="425"/>
      <c r="F276" s="426"/>
      <c r="N276" s="1033"/>
    </row>
    <row r="277" spans="5:14" s="409" customFormat="1" ht="13.5">
      <c r="E277" s="425"/>
      <c r="F277" s="426"/>
      <c r="N277" s="1033"/>
    </row>
    <row r="278" spans="5:14" s="409" customFormat="1" ht="13.5">
      <c r="E278" s="425"/>
      <c r="F278" s="426"/>
      <c r="N278" s="1033"/>
    </row>
    <row r="279" spans="5:14" s="409" customFormat="1" ht="13.5">
      <c r="E279" s="425"/>
      <c r="F279" s="426"/>
      <c r="N279" s="1033"/>
    </row>
    <row r="280" spans="5:14" s="409" customFormat="1" ht="13.5">
      <c r="E280" s="425"/>
      <c r="F280" s="426"/>
      <c r="N280" s="1033"/>
    </row>
    <row r="281" spans="5:14" s="409" customFormat="1" ht="13.5">
      <c r="E281" s="425"/>
      <c r="F281" s="426"/>
      <c r="N281" s="1033"/>
    </row>
    <row r="282" spans="5:14" s="409" customFormat="1" ht="13.5">
      <c r="E282" s="425"/>
      <c r="F282" s="426"/>
      <c r="N282" s="1033"/>
    </row>
    <row r="283" spans="5:14" s="409" customFormat="1" ht="13.5">
      <c r="E283" s="425"/>
      <c r="F283" s="426"/>
      <c r="N283" s="1033"/>
    </row>
    <row r="284" spans="5:14" s="409" customFormat="1" ht="13.5">
      <c r="E284" s="425"/>
      <c r="F284" s="426"/>
      <c r="N284" s="1033"/>
    </row>
    <row r="285" spans="5:14" s="409" customFormat="1" ht="13.5">
      <c r="E285" s="425"/>
      <c r="F285" s="426"/>
      <c r="N285" s="1033"/>
    </row>
    <row r="286" spans="5:14" s="409" customFormat="1" ht="13.5">
      <c r="E286" s="425"/>
      <c r="F286" s="426"/>
      <c r="N286" s="1033"/>
    </row>
    <row r="287" spans="5:14" s="409" customFormat="1" ht="13.5">
      <c r="E287" s="425"/>
      <c r="F287" s="426"/>
      <c r="N287" s="1033"/>
    </row>
    <row r="288" spans="5:14" s="409" customFormat="1" ht="13.5">
      <c r="E288" s="425"/>
      <c r="F288" s="426"/>
      <c r="N288" s="1033"/>
    </row>
    <row r="289" spans="5:14" s="409" customFormat="1" ht="13.5">
      <c r="E289" s="425"/>
      <c r="F289" s="426"/>
      <c r="N289" s="1033"/>
    </row>
    <row r="290" spans="5:14" s="409" customFormat="1" ht="13.5">
      <c r="E290" s="425"/>
      <c r="F290" s="426"/>
      <c r="N290" s="1033"/>
    </row>
    <row r="291" spans="5:14" s="409" customFormat="1" ht="13.5">
      <c r="E291" s="425"/>
      <c r="F291" s="426"/>
      <c r="N291" s="1033"/>
    </row>
    <row r="292" spans="5:14" s="409" customFormat="1" ht="13.5">
      <c r="E292" s="425"/>
      <c r="F292" s="426"/>
      <c r="N292" s="1033"/>
    </row>
    <row r="293" spans="5:14" s="409" customFormat="1" ht="13.5">
      <c r="E293" s="425"/>
      <c r="F293" s="426"/>
      <c r="N293" s="1033"/>
    </row>
    <row r="294" spans="5:14" s="409" customFormat="1" ht="13.5">
      <c r="E294" s="425"/>
      <c r="F294" s="426"/>
      <c r="N294" s="1033"/>
    </row>
    <row r="295" spans="5:14" s="409" customFormat="1" ht="13.5">
      <c r="E295" s="425"/>
      <c r="F295" s="426"/>
      <c r="N295" s="1033"/>
    </row>
    <row r="296" spans="5:14" s="409" customFormat="1" ht="13.5">
      <c r="E296" s="425"/>
      <c r="F296" s="426"/>
      <c r="N296" s="1033"/>
    </row>
    <row r="297" spans="5:14" s="409" customFormat="1" ht="13.5">
      <c r="E297" s="425"/>
      <c r="F297" s="426"/>
      <c r="N297" s="1033"/>
    </row>
    <row r="298" spans="5:14" s="409" customFormat="1" ht="13.5">
      <c r="E298" s="425"/>
      <c r="F298" s="426"/>
      <c r="N298" s="1033"/>
    </row>
    <row r="299" spans="5:14" s="409" customFormat="1" ht="13.5">
      <c r="E299" s="425"/>
      <c r="F299" s="426"/>
      <c r="N299" s="1033"/>
    </row>
    <row r="300" spans="5:14" s="409" customFormat="1" ht="13.5">
      <c r="E300" s="425"/>
      <c r="F300" s="426"/>
      <c r="N300" s="1033"/>
    </row>
    <row r="301" spans="5:14" s="409" customFormat="1" ht="13.5">
      <c r="E301" s="425"/>
      <c r="F301" s="426"/>
      <c r="N301" s="1033"/>
    </row>
    <row r="302" spans="5:14" s="409" customFormat="1" ht="13.5">
      <c r="E302" s="425"/>
      <c r="F302" s="426"/>
      <c r="N302" s="1033"/>
    </row>
    <row r="303" spans="5:14" s="409" customFormat="1" ht="13.5">
      <c r="E303" s="425"/>
      <c r="F303" s="426"/>
      <c r="N303" s="1033"/>
    </row>
    <row r="304" spans="5:14" s="409" customFormat="1" ht="13.5">
      <c r="E304" s="425"/>
      <c r="F304" s="426"/>
      <c r="N304" s="1033"/>
    </row>
    <row r="305" spans="5:14" s="409" customFormat="1" ht="13.5">
      <c r="E305" s="425"/>
      <c r="F305" s="426"/>
      <c r="N305" s="1033"/>
    </row>
    <row r="306" spans="5:14" s="409" customFormat="1" ht="13.5">
      <c r="E306" s="425"/>
      <c r="F306" s="426"/>
      <c r="N306" s="1033"/>
    </row>
    <row r="307" spans="5:14" s="409" customFormat="1" ht="13.5">
      <c r="E307" s="425"/>
      <c r="F307" s="426"/>
      <c r="N307" s="1033"/>
    </row>
    <row r="308" spans="5:14" s="409" customFormat="1" ht="13.5">
      <c r="E308" s="425"/>
      <c r="F308" s="426"/>
      <c r="N308" s="1033"/>
    </row>
    <row r="309" spans="5:14" s="409" customFormat="1" ht="13.5">
      <c r="E309" s="425"/>
      <c r="F309" s="426"/>
      <c r="N309" s="1033"/>
    </row>
    <row r="310" spans="5:14" s="409" customFormat="1" ht="13.5">
      <c r="E310" s="425"/>
      <c r="F310" s="426"/>
      <c r="N310" s="1033"/>
    </row>
    <row r="311" spans="5:14" s="409" customFormat="1" ht="13.5">
      <c r="E311" s="425"/>
      <c r="F311" s="426"/>
      <c r="N311" s="1033"/>
    </row>
    <row r="312" spans="5:14" s="409" customFormat="1" ht="13.5">
      <c r="E312" s="425"/>
      <c r="F312" s="426"/>
      <c r="N312" s="1033"/>
    </row>
    <row r="313" spans="5:14" s="409" customFormat="1" ht="13.5">
      <c r="E313" s="425"/>
      <c r="F313" s="426"/>
      <c r="N313" s="1033"/>
    </row>
    <row r="314" spans="5:14" s="409" customFormat="1" ht="13.5">
      <c r="E314" s="425"/>
      <c r="F314" s="426"/>
      <c r="N314" s="1033"/>
    </row>
    <row r="315" spans="5:14" s="409" customFormat="1" ht="13.5">
      <c r="E315" s="425"/>
      <c r="F315" s="426"/>
      <c r="N315" s="1033"/>
    </row>
    <row r="316" spans="5:14" s="409" customFormat="1" ht="13.5">
      <c r="E316" s="425"/>
      <c r="F316" s="426"/>
      <c r="N316" s="1033"/>
    </row>
    <row r="317" spans="5:14" s="409" customFormat="1" ht="13.5">
      <c r="E317" s="425"/>
      <c r="F317" s="426"/>
      <c r="N317" s="1033"/>
    </row>
    <row r="318" spans="5:14" s="409" customFormat="1" ht="13.5">
      <c r="E318" s="425"/>
      <c r="F318" s="426"/>
      <c r="N318" s="1033"/>
    </row>
    <row r="319" spans="5:14" s="409" customFormat="1" ht="13.5">
      <c r="E319" s="425"/>
      <c r="F319" s="426"/>
      <c r="N319" s="1033"/>
    </row>
    <row r="320" spans="5:14" s="409" customFormat="1" ht="13.5">
      <c r="E320" s="425"/>
      <c r="F320" s="426"/>
      <c r="N320" s="1033"/>
    </row>
    <row r="321" spans="5:14" s="409" customFormat="1" ht="13.5">
      <c r="E321" s="425"/>
      <c r="F321" s="426"/>
      <c r="N321" s="1033"/>
    </row>
    <row r="322" spans="5:14" s="409" customFormat="1" ht="13.5">
      <c r="E322" s="425"/>
      <c r="F322" s="426"/>
      <c r="N322" s="1033"/>
    </row>
    <row r="323" spans="5:14" s="409" customFormat="1" ht="13.5">
      <c r="E323" s="425"/>
      <c r="F323" s="426"/>
      <c r="N323" s="1033"/>
    </row>
    <row r="324" spans="5:14" s="409" customFormat="1" ht="13.5">
      <c r="E324" s="425"/>
      <c r="F324" s="426"/>
      <c r="N324" s="1033"/>
    </row>
    <row r="325" spans="5:14" s="409" customFormat="1" ht="13.5">
      <c r="E325" s="425"/>
      <c r="F325" s="426"/>
      <c r="N325" s="1033"/>
    </row>
    <row r="326" spans="5:14" s="409" customFormat="1" ht="13.5">
      <c r="E326" s="425"/>
      <c r="F326" s="426"/>
      <c r="N326" s="1033"/>
    </row>
    <row r="327" spans="5:14" s="409" customFormat="1" ht="13.5">
      <c r="E327" s="425"/>
      <c r="F327" s="426"/>
      <c r="N327" s="1033"/>
    </row>
    <row r="328" spans="5:14" s="409" customFormat="1" ht="13.5">
      <c r="E328" s="425"/>
      <c r="F328" s="426"/>
      <c r="N328" s="1033"/>
    </row>
    <row r="329" spans="5:14" s="409" customFormat="1" ht="13.5">
      <c r="E329" s="425"/>
      <c r="F329" s="426"/>
      <c r="N329" s="1033"/>
    </row>
    <row r="330" spans="5:14" s="409" customFormat="1" ht="13.5">
      <c r="E330" s="425"/>
      <c r="F330" s="426"/>
      <c r="N330" s="1033"/>
    </row>
    <row r="331" spans="5:14" s="409" customFormat="1" ht="13.5">
      <c r="E331" s="425"/>
      <c r="F331" s="426"/>
      <c r="N331" s="1033"/>
    </row>
    <row r="332" spans="5:14" s="409" customFormat="1" ht="13.5">
      <c r="E332" s="425"/>
      <c r="F332" s="426"/>
      <c r="N332" s="1033"/>
    </row>
    <row r="333" spans="5:14" s="409" customFormat="1" ht="13.5">
      <c r="E333" s="425"/>
      <c r="F333" s="426"/>
      <c r="N333" s="1033"/>
    </row>
    <row r="334" spans="5:14" s="409" customFormat="1" ht="13.5">
      <c r="E334" s="425"/>
      <c r="F334" s="426"/>
      <c r="N334" s="1033"/>
    </row>
    <row r="335" spans="5:14" s="409" customFormat="1" ht="13.5">
      <c r="E335" s="425"/>
      <c r="F335" s="426"/>
      <c r="N335" s="1033"/>
    </row>
    <row r="336" spans="5:14" s="409" customFormat="1" ht="13.5">
      <c r="E336" s="425"/>
      <c r="F336" s="426"/>
      <c r="N336" s="1033"/>
    </row>
    <row r="337" spans="5:14" s="409" customFormat="1" ht="13.5">
      <c r="E337" s="425"/>
      <c r="F337" s="426"/>
      <c r="N337" s="1033"/>
    </row>
    <row r="338" spans="5:14" s="409" customFormat="1" ht="13.5">
      <c r="E338" s="425"/>
      <c r="F338" s="426"/>
      <c r="N338" s="1033"/>
    </row>
    <row r="339" spans="5:14" s="409" customFormat="1" ht="13.5">
      <c r="E339" s="425"/>
      <c r="F339" s="426"/>
      <c r="N339" s="1033"/>
    </row>
    <row r="340" spans="5:14" s="409" customFormat="1" ht="13.5">
      <c r="E340" s="425"/>
      <c r="F340" s="426"/>
      <c r="N340" s="1033"/>
    </row>
    <row r="341" spans="5:14" s="409" customFormat="1" ht="13.5">
      <c r="E341" s="425"/>
      <c r="F341" s="426"/>
      <c r="N341" s="1033"/>
    </row>
    <row r="342" spans="5:14" s="409" customFormat="1" ht="13.5">
      <c r="E342" s="425"/>
      <c r="F342" s="426"/>
      <c r="N342" s="1033"/>
    </row>
    <row r="343" spans="5:14" s="409" customFormat="1" ht="13.5">
      <c r="E343" s="425"/>
      <c r="F343" s="426"/>
      <c r="N343" s="1033"/>
    </row>
    <row r="344" spans="5:14" s="409" customFormat="1" ht="13.5">
      <c r="E344" s="425"/>
      <c r="F344" s="426"/>
      <c r="N344" s="1033"/>
    </row>
    <row r="345" spans="5:14" s="409" customFormat="1" ht="13.5">
      <c r="E345" s="425"/>
      <c r="F345" s="426"/>
      <c r="N345" s="1033"/>
    </row>
    <row r="346" spans="5:14" s="409" customFormat="1" ht="13.5">
      <c r="E346" s="425"/>
      <c r="F346" s="426"/>
      <c r="N346" s="1033"/>
    </row>
    <row r="347" spans="5:14" s="409" customFormat="1" ht="13.5">
      <c r="E347" s="425"/>
      <c r="F347" s="426"/>
      <c r="N347" s="1033"/>
    </row>
    <row r="348" spans="5:14" s="409" customFormat="1" ht="13.5">
      <c r="E348" s="425"/>
      <c r="F348" s="426"/>
      <c r="N348" s="1033"/>
    </row>
    <row r="349" spans="5:14" s="409" customFormat="1" ht="13.5">
      <c r="E349" s="425"/>
      <c r="F349" s="426"/>
      <c r="N349" s="1033"/>
    </row>
    <row r="350" spans="5:14" s="409" customFormat="1" ht="13.5">
      <c r="E350" s="425"/>
      <c r="F350" s="426"/>
      <c r="N350" s="1033"/>
    </row>
    <row r="351" spans="5:14" s="409" customFormat="1" ht="13.5">
      <c r="E351" s="425"/>
      <c r="F351" s="426"/>
      <c r="N351" s="1033"/>
    </row>
    <row r="352" spans="5:14" s="409" customFormat="1" ht="13.5">
      <c r="E352" s="425"/>
      <c r="F352" s="426"/>
      <c r="N352" s="1033"/>
    </row>
    <row r="353" spans="5:14" s="409" customFormat="1" ht="13.5">
      <c r="E353" s="425"/>
      <c r="F353" s="426"/>
      <c r="N353" s="1033"/>
    </row>
    <row r="354" spans="5:14" s="409" customFormat="1" ht="13.5">
      <c r="E354" s="425"/>
      <c r="F354" s="426"/>
      <c r="N354" s="1033"/>
    </row>
    <row r="355" spans="5:14" s="409" customFormat="1" ht="13.5">
      <c r="E355" s="425"/>
      <c r="F355" s="426"/>
      <c r="N355" s="1033"/>
    </row>
    <row r="356" spans="5:14" s="409" customFormat="1" ht="13.5">
      <c r="E356" s="425"/>
      <c r="F356" s="426"/>
      <c r="N356" s="1033"/>
    </row>
    <row r="357" spans="5:14" s="409" customFormat="1" ht="13.5">
      <c r="E357" s="425"/>
      <c r="F357" s="426"/>
      <c r="N357" s="1033"/>
    </row>
    <row r="358" spans="5:14" s="409" customFormat="1" ht="13.5">
      <c r="E358" s="425"/>
      <c r="F358" s="426"/>
      <c r="N358" s="1033"/>
    </row>
    <row r="359" spans="5:14" s="409" customFormat="1" ht="13.5">
      <c r="E359" s="425"/>
      <c r="F359" s="426"/>
      <c r="N359" s="1033"/>
    </row>
    <row r="360" spans="5:14" s="409" customFormat="1" ht="13.5">
      <c r="E360" s="425"/>
      <c r="F360" s="426"/>
      <c r="N360" s="1033"/>
    </row>
    <row r="361" spans="5:14" s="409" customFormat="1" ht="13.5">
      <c r="E361" s="425"/>
      <c r="F361" s="426"/>
      <c r="N361" s="1033"/>
    </row>
    <row r="362" spans="5:14" s="409" customFormat="1" ht="13.5">
      <c r="E362" s="425"/>
      <c r="F362" s="426"/>
      <c r="N362" s="1033"/>
    </row>
    <row r="363" spans="5:14" s="409" customFormat="1" ht="13.5">
      <c r="E363" s="425"/>
      <c r="F363" s="426"/>
      <c r="N363" s="1033"/>
    </row>
    <row r="364" spans="5:14" s="409" customFormat="1" ht="13.5">
      <c r="E364" s="425"/>
      <c r="F364" s="426"/>
      <c r="N364" s="1033"/>
    </row>
    <row r="365" spans="5:14" s="409" customFormat="1" ht="13.5">
      <c r="E365" s="425"/>
      <c r="F365" s="426"/>
      <c r="N365" s="1033"/>
    </row>
    <row r="366" spans="5:14" s="409" customFormat="1" ht="13.5">
      <c r="E366" s="425"/>
      <c r="F366" s="426"/>
      <c r="N366" s="1033"/>
    </row>
    <row r="367" spans="5:14" s="409" customFormat="1" ht="13.5">
      <c r="E367" s="425"/>
      <c r="F367" s="426"/>
      <c r="N367" s="1033"/>
    </row>
    <row r="368" spans="5:14" s="409" customFormat="1" ht="13.5">
      <c r="E368" s="425"/>
      <c r="F368" s="426"/>
      <c r="N368" s="1033"/>
    </row>
    <row r="369" spans="5:14" s="409" customFormat="1" ht="13.5">
      <c r="E369" s="425"/>
      <c r="F369" s="426"/>
      <c r="N369" s="1033"/>
    </row>
    <row r="370" spans="5:14" s="409" customFormat="1" ht="13.5">
      <c r="E370" s="425"/>
      <c r="F370" s="426"/>
      <c r="N370" s="1033"/>
    </row>
    <row r="371" spans="5:14" s="409" customFormat="1" ht="13.5">
      <c r="E371" s="425"/>
      <c r="F371" s="426"/>
      <c r="N371" s="1033"/>
    </row>
    <row r="372" spans="5:14" s="409" customFormat="1" ht="13.5">
      <c r="E372" s="425"/>
      <c r="F372" s="426"/>
      <c r="N372" s="1033"/>
    </row>
    <row r="373" spans="5:14" s="409" customFormat="1" ht="13.5">
      <c r="E373" s="425"/>
      <c r="F373" s="426"/>
      <c r="N373" s="1033"/>
    </row>
    <row r="374" spans="5:14" s="409" customFormat="1" ht="13.5">
      <c r="E374" s="425"/>
      <c r="F374" s="426"/>
      <c r="N374" s="1033"/>
    </row>
    <row r="375" spans="5:14" s="409" customFormat="1" ht="13.5">
      <c r="E375" s="425"/>
      <c r="F375" s="426"/>
      <c r="N375" s="1033"/>
    </row>
    <row r="376" spans="5:14" s="409" customFormat="1" ht="13.5">
      <c r="E376" s="425"/>
      <c r="F376" s="426"/>
      <c r="N376" s="1033"/>
    </row>
    <row r="377" spans="5:14" s="409" customFormat="1" ht="13.5">
      <c r="E377" s="425"/>
      <c r="F377" s="426"/>
      <c r="N377" s="1033"/>
    </row>
    <row r="378" spans="5:14" s="409" customFormat="1" ht="13.5">
      <c r="E378" s="425"/>
      <c r="F378" s="426"/>
      <c r="N378" s="1033"/>
    </row>
    <row r="379" spans="5:14" s="409" customFormat="1" ht="13.5">
      <c r="E379" s="425"/>
      <c r="F379" s="426"/>
      <c r="N379" s="1033"/>
    </row>
    <row r="380" spans="5:14" s="409" customFormat="1" ht="13.5">
      <c r="E380" s="425"/>
      <c r="F380" s="426"/>
      <c r="N380" s="1033"/>
    </row>
    <row r="381" spans="5:14" s="409" customFormat="1" ht="13.5">
      <c r="E381" s="425"/>
      <c r="F381" s="426"/>
      <c r="N381" s="1033"/>
    </row>
    <row r="382" spans="5:14" s="409" customFormat="1" ht="13.5">
      <c r="E382" s="425"/>
      <c r="F382" s="426"/>
      <c r="N382" s="1033"/>
    </row>
    <row r="383" spans="5:14" s="409" customFormat="1" ht="13.5">
      <c r="E383" s="425"/>
      <c r="F383" s="426"/>
      <c r="N383" s="1033"/>
    </row>
    <row r="384" spans="5:14" s="409" customFormat="1" ht="13.5">
      <c r="E384" s="425"/>
      <c r="F384" s="426"/>
      <c r="N384" s="1033"/>
    </row>
    <row r="385" spans="5:14" s="409" customFormat="1" ht="13.5">
      <c r="E385" s="425"/>
      <c r="F385" s="426"/>
      <c r="N385" s="1033"/>
    </row>
    <row r="386" spans="5:14" s="409" customFormat="1" ht="13.5">
      <c r="E386" s="425"/>
      <c r="F386" s="426"/>
      <c r="N386" s="1033"/>
    </row>
    <row r="387" spans="5:14" s="409" customFormat="1" ht="13.5">
      <c r="E387" s="425"/>
      <c r="F387" s="426"/>
      <c r="N387" s="1033"/>
    </row>
    <row r="388" spans="5:14" s="409" customFormat="1" ht="13.5">
      <c r="E388" s="425"/>
      <c r="F388" s="426"/>
      <c r="N388" s="1033"/>
    </row>
    <row r="389" spans="5:14" s="409" customFormat="1" ht="13.5">
      <c r="E389" s="425"/>
      <c r="F389" s="426"/>
      <c r="N389" s="1033"/>
    </row>
    <row r="390" spans="5:14" s="409" customFormat="1" ht="13.5">
      <c r="E390" s="425"/>
      <c r="F390" s="426"/>
      <c r="N390" s="1033"/>
    </row>
    <row r="391" spans="5:14" s="409" customFormat="1" ht="13.5">
      <c r="E391" s="425"/>
      <c r="F391" s="426"/>
      <c r="N391" s="1033"/>
    </row>
    <row r="392" spans="5:14" s="409" customFormat="1" ht="13.5">
      <c r="E392" s="425"/>
      <c r="F392" s="426"/>
      <c r="N392" s="1033"/>
    </row>
    <row r="393" spans="5:14" s="409" customFormat="1" ht="13.5">
      <c r="E393" s="425"/>
      <c r="F393" s="426"/>
      <c r="N393" s="1033"/>
    </row>
    <row r="394" spans="5:14" s="409" customFormat="1" ht="13.5">
      <c r="E394" s="425"/>
      <c r="F394" s="426"/>
      <c r="N394" s="1033"/>
    </row>
    <row r="395" spans="5:14" s="409" customFormat="1" ht="13.5">
      <c r="E395" s="425"/>
      <c r="F395" s="426"/>
      <c r="N395" s="1033"/>
    </row>
    <row r="396" spans="5:14" s="409" customFormat="1" ht="13.5">
      <c r="E396" s="425"/>
      <c r="F396" s="426"/>
      <c r="N396" s="1033"/>
    </row>
    <row r="397" spans="5:14" s="409" customFormat="1" ht="13.5">
      <c r="E397" s="425"/>
      <c r="F397" s="426"/>
      <c r="N397" s="1033"/>
    </row>
    <row r="398" spans="5:14" s="409" customFormat="1" ht="13.5">
      <c r="E398" s="425"/>
      <c r="F398" s="426"/>
      <c r="N398" s="1033"/>
    </row>
    <row r="399" spans="5:14" s="409" customFormat="1" ht="13.5">
      <c r="E399" s="425"/>
      <c r="F399" s="426"/>
      <c r="N399" s="1033"/>
    </row>
    <row r="400" spans="5:14" s="409" customFormat="1" ht="13.5">
      <c r="E400" s="425"/>
      <c r="F400" s="426"/>
      <c r="N400" s="1033"/>
    </row>
    <row r="401" spans="5:14" s="409" customFormat="1" ht="13.5">
      <c r="E401" s="425"/>
      <c r="F401" s="426"/>
      <c r="N401" s="1033"/>
    </row>
    <row r="402" spans="5:14" s="409" customFormat="1" ht="13.5">
      <c r="E402" s="425"/>
      <c r="F402" s="426"/>
      <c r="N402" s="1033"/>
    </row>
    <row r="403" spans="5:14" s="409" customFormat="1" ht="13.5">
      <c r="E403" s="425"/>
      <c r="F403" s="426"/>
      <c r="N403" s="1033"/>
    </row>
    <row r="404" spans="5:14" s="409" customFormat="1" ht="13.5">
      <c r="E404" s="425"/>
      <c r="F404" s="426"/>
      <c r="N404" s="1033"/>
    </row>
    <row r="405" spans="5:14" s="409" customFormat="1" ht="13.5">
      <c r="E405" s="425"/>
      <c r="F405" s="426"/>
      <c r="N405" s="1033"/>
    </row>
    <row r="406" spans="5:14" s="409" customFormat="1" ht="13.5">
      <c r="E406" s="425"/>
      <c r="F406" s="426"/>
      <c r="N406" s="1033"/>
    </row>
    <row r="407" spans="5:14" s="409" customFormat="1" ht="13.5">
      <c r="E407" s="425"/>
      <c r="F407" s="426"/>
      <c r="N407" s="1033"/>
    </row>
    <row r="408" spans="5:14" s="409" customFormat="1" ht="13.5">
      <c r="E408" s="425"/>
      <c r="F408" s="426"/>
      <c r="N408" s="1033"/>
    </row>
    <row r="409" spans="5:14" s="409" customFormat="1" ht="13.5">
      <c r="E409" s="425"/>
      <c r="F409" s="426"/>
      <c r="N409" s="1033"/>
    </row>
    <row r="410" spans="5:14" s="409" customFormat="1" ht="13.5">
      <c r="E410" s="425"/>
      <c r="F410" s="426"/>
      <c r="N410" s="1033"/>
    </row>
    <row r="411" spans="5:14" s="409" customFormat="1" ht="13.5">
      <c r="E411" s="425"/>
      <c r="F411" s="426"/>
      <c r="N411" s="1033"/>
    </row>
    <row r="412" spans="5:14" s="409" customFormat="1" ht="13.5">
      <c r="E412" s="425"/>
      <c r="F412" s="426"/>
      <c r="N412" s="1033"/>
    </row>
    <row r="413" spans="5:14" s="409" customFormat="1" ht="13.5">
      <c r="E413" s="425"/>
      <c r="F413" s="426"/>
      <c r="N413" s="1033"/>
    </row>
    <row r="414" spans="5:14" s="409" customFormat="1" ht="13.5">
      <c r="E414" s="425"/>
      <c r="F414" s="426"/>
      <c r="N414" s="1033"/>
    </row>
    <row r="415" spans="5:14" s="409" customFormat="1" ht="13.5">
      <c r="E415" s="425"/>
      <c r="F415" s="426"/>
      <c r="N415" s="1033"/>
    </row>
    <row r="416" spans="5:14" s="409" customFormat="1" ht="13.5">
      <c r="E416" s="425"/>
      <c r="F416" s="426"/>
      <c r="N416" s="1033"/>
    </row>
    <row r="417" spans="5:14" s="409" customFormat="1" ht="13.5">
      <c r="E417" s="425"/>
      <c r="F417" s="426"/>
      <c r="N417" s="1033"/>
    </row>
    <row r="418" spans="5:14" s="409" customFormat="1" ht="13.5">
      <c r="E418" s="425"/>
      <c r="F418" s="426"/>
      <c r="N418" s="1033"/>
    </row>
    <row r="419" spans="5:14" s="409" customFormat="1" ht="13.5">
      <c r="E419" s="425"/>
      <c r="F419" s="426"/>
      <c r="N419" s="1033"/>
    </row>
    <row r="420" spans="5:14" s="409" customFormat="1" ht="13.5">
      <c r="E420" s="425"/>
      <c r="F420" s="426"/>
      <c r="N420" s="1033"/>
    </row>
    <row r="421" spans="5:14" s="409" customFormat="1" ht="13.5">
      <c r="E421" s="425"/>
      <c r="F421" s="426"/>
      <c r="N421" s="1033"/>
    </row>
    <row r="422" spans="5:14" s="409" customFormat="1" ht="13.5">
      <c r="E422" s="425"/>
      <c r="F422" s="426"/>
      <c r="N422" s="1033"/>
    </row>
    <row r="423" spans="5:14" s="409" customFormat="1" ht="13.5">
      <c r="E423" s="425"/>
      <c r="F423" s="426"/>
      <c r="N423" s="1033"/>
    </row>
    <row r="424" spans="5:14" s="409" customFormat="1" ht="13.5">
      <c r="E424" s="425"/>
      <c r="F424" s="426"/>
      <c r="N424" s="1033"/>
    </row>
    <row r="425" spans="5:14" s="409" customFormat="1" ht="13.5">
      <c r="E425" s="425"/>
      <c r="F425" s="426"/>
      <c r="N425" s="1033"/>
    </row>
    <row r="426" spans="5:14" s="409" customFormat="1" ht="13.5">
      <c r="E426" s="425"/>
      <c r="F426" s="426"/>
      <c r="N426" s="1033"/>
    </row>
    <row r="427" spans="5:14" s="409" customFormat="1" ht="13.5">
      <c r="E427" s="425"/>
      <c r="F427" s="426"/>
      <c r="N427" s="1033"/>
    </row>
    <row r="428" spans="5:14" s="409" customFormat="1" ht="13.5">
      <c r="E428" s="425"/>
      <c r="F428" s="426"/>
      <c r="N428" s="1033"/>
    </row>
    <row r="429" spans="5:14" s="409" customFormat="1" ht="13.5">
      <c r="E429" s="425"/>
      <c r="F429" s="426"/>
      <c r="N429" s="1033"/>
    </row>
    <row r="430" spans="5:14" s="409" customFormat="1" ht="13.5">
      <c r="E430" s="425"/>
      <c r="F430" s="426"/>
      <c r="N430" s="1033"/>
    </row>
    <row r="431" spans="5:14" s="409" customFormat="1" ht="13.5">
      <c r="E431" s="425"/>
      <c r="F431" s="426"/>
      <c r="N431" s="1033"/>
    </row>
    <row r="432" spans="5:14" s="409" customFormat="1" ht="13.5">
      <c r="E432" s="425"/>
      <c r="F432" s="426"/>
      <c r="N432" s="1033"/>
    </row>
    <row r="433" spans="5:14" s="409" customFormat="1" ht="13.5">
      <c r="E433" s="425"/>
      <c r="F433" s="426"/>
      <c r="N433" s="1033"/>
    </row>
    <row r="434" spans="5:14" s="409" customFormat="1" ht="13.5">
      <c r="E434" s="425"/>
      <c r="F434" s="426"/>
      <c r="N434" s="1033"/>
    </row>
    <row r="435" spans="5:14" s="409" customFormat="1" ht="13.5">
      <c r="E435" s="425"/>
      <c r="F435" s="426"/>
      <c r="N435" s="1033"/>
    </row>
    <row r="436" spans="5:14" s="409" customFormat="1" ht="13.5">
      <c r="E436" s="425"/>
      <c r="F436" s="426"/>
      <c r="N436" s="1033"/>
    </row>
    <row r="437" spans="5:14" s="409" customFormat="1" ht="13.5">
      <c r="E437" s="425"/>
      <c r="F437" s="426"/>
      <c r="N437" s="1033"/>
    </row>
    <row r="438" spans="5:14" s="409" customFormat="1" ht="13.5">
      <c r="E438" s="425"/>
      <c r="F438" s="426"/>
      <c r="N438" s="1033"/>
    </row>
    <row r="439" spans="5:14" s="409" customFormat="1" ht="13.5">
      <c r="E439" s="425"/>
      <c r="F439" s="426"/>
      <c r="N439" s="1033"/>
    </row>
    <row r="440" spans="5:14" s="409" customFormat="1" ht="13.5">
      <c r="E440" s="425"/>
      <c r="F440" s="426"/>
      <c r="N440" s="1033"/>
    </row>
    <row r="441" spans="5:14" s="409" customFormat="1" ht="13.5">
      <c r="E441" s="425"/>
      <c r="F441" s="426"/>
      <c r="N441" s="1033"/>
    </row>
    <row r="442" spans="5:14" s="409" customFormat="1" ht="13.5">
      <c r="E442" s="425"/>
      <c r="F442" s="426"/>
      <c r="N442" s="1033"/>
    </row>
    <row r="443" spans="5:14" s="409" customFormat="1" ht="13.5">
      <c r="E443" s="425"/>
      <c r="F443" s="426"/>
      <c r="N443" s="1033"/>
    </row>
    <row r="444" spans="5:14" s="409" customFormat="1" ht="13.5">
      <c r="E444" s="425"/>
      <c r="F444" s="426"/>
      <c r="N444" s="1033"/>
    </row>
    <row r="445" spans="5:14" s="409" customFormat="1" ht="13.5">
      <c r="E445" s="425"/>
      <c r="F445" s="426"/>
      <c r="N445" s="1033"/>
    </row>
    <row r="446" spans="5:14" s="409" customFormat="1" ht="13.5">
      <c r="E446" s="425"/>
      <c r="F446" s="426"/>
      <c r="N446" s="1033"/>
    </row>
    <row r="447" spans="5:14" s="409" customFormat="1" ht="13.5">
      <c r="E447" s="425"/>
      <c r="F447" s="426"/>
      <c r="N447" s="1033"/>
    </row>
    <row r="448" spans="5:14" s="409" customFormat="1" ht="13.5">
      <c r="E448" s="425"/>
      <c r="F448" s="426"/>
      <c r="N448" s="1033"/>
    </row>
    <row r="449" spans="5:14" s="409" customFormat="1" ht="13.5">
      <c r="E449" s="425"/>
      <c r="F449" s="426"/>
      <c r="N449" s="1033"/>
    </row>
    <row r="450" spans="5:14" s="409" customFormat="1" ht="13.5">
      <c r="E450" s="425"/>
      <c r="F450" s="426"/>
      <c r="N450" s="1033"/>
    </row>
    <row r="451" spans="5:14" s="409" customFormat="1" ht="13.5">
      <c r="E451" s="425"/>
      <c r="F451" s="426"/>
      <c r="N451" s="1033"/>
    </row>
    <row r="452" spans="5:14" s="409" customFormat="1" ht="13.5">
      <c r="E452" s="425"/>
      <c r="F452" s="426"/>
      <c r="N452" s="1033"/>
    </row>
    <row r="453" spans="5:14" s="409" customFormat="1" ht="13.5">
      <c r="E453" s="425"/>
      <c r="F453" s="426"/>
      <c r="N453" s="1033"/>
    </row>
    <row r="454" spans="5:14" s="409" customFormat="1" ht="13.5">
      <c r="E454" s="425"/>
      <c r="F454" s="426"/>
      <c r="N454" s="1033"/>
    </row>
    <row r="455" spans="5:14" s="409" customFormat="1" ht="13.5">
      <c r="E455" s="425"/>
      <c r="F455" s="426"/>
      <c r="N455" s="1033"/>
    </row>
    <row r="456" spans="5:14" s="409" customFormat="1" ht="13.5">
      <c r="E456" s="425"/>
      <c r="F456" s="426"/>
      <c r="N456" s="1033"/>
    </row>
    <row r="457" spans="5:14" s="409" customFormat="1" ht="13.5">
      <c r="E457" s="425"/>
      <c r="F457" s="426"/>
      <c r="N457" s="1033"/>
    </row>
    <row r="458" spans="5:14" s="409" customFormat="1" ht="13.5">
      <c r="E458" s="425"/>
      <c r="F458" s="426"/>
      <c r="N458" s="1033"/>
    </row>
    <row r="459" spans="5:14" s="409" customFormat="1" ht="13.5">
      <c r="E459" s="425"/>
      <c r="F459" s="426"/>
      <c r="N459" s="1033"/>
    </row>
    <row r="460" spans="5:14" s="409" customFormat="1" ht="13.5">
      <c r="E460" s="425"/>
      <c r="F460" s="426"/>
      <c r="N460" s="1033"/>
    </row>
    <row r="461" spans="5:14" s="409" customFormat="1" ht="13.5">
      <c r="E461" s="425"/>
      <c r="F461" s="426"/>
      <c r="N461" s="1033"/>
    </row>
    <row r="462" spans="5:14" s="409" customFormat="1" ht="13.5">
      <c r="E462" s="425"/>
      <c r="F462" s="426"/>
      <c r="N462" s="1033"/>
    </row>
    <row r="463" spans="5:14" s="409" customFormat="1" ht="13.5">
      <c r="E463" s="425"/>
      <c r="F463" s="426"/>
      <c r="N463" s="1033"/>
    </row>
    <row r="464" spans="5:14" s="409" customFormat="1" ht="13.5">
      <c r="E464" s="425"/>
      <c r="F464" s="426"/>
      <c r="N464" s="1033"/>
    </row>
    <row r="465" spans="5:14" s="409" customFormat="1" ht="13.5">
      <c r="E465" s="425"/>
      <c r="F465" s="426"/>
      <c r="N465" s="1033"/>
    </row>
    <row r="466" spans="5:14" s="409" customFormat="1" ht="13.5">
      <c r="E466" s="425"/>
      <c r="F466" s="426"/>
      <c r="N466" s="1033"/>
    </row>
    <row r="467" spans="5:14" s="409" customFormat="1" ht="13.5">
      <c r="E467" s="425"/>
      <c r="F467" s="426"/>
      <c r="N467" s="1033"/>
    </row>
    <row r="468" spans="5:14" s="409" customFormat="1" ht="13.5">
      <c r="E468" s="425"/>
      <c r="F468" s="426"/>
      <c r="N468" s="1033"/>
    </row>
    <row r="469" spans="5:14" s="409" customFormat="1" ht="13.5">
      <c r="E469" s="425"/>
      <c r="F469" s="426"/>
      <c r="N469" s="1033"/>
    </row>
    <row r="470" spans="5:14" s="409" customFormat="1" ht="13.5">
      <c r="E470" s="425"/>
      <c r="F470" s="426"/>
      <c r="N470" s="1033"/>
    </row>
    <row r="471" spans="5:14" s="409" customFormat="1" ht="13.5">
      <c r="E471" s="425"/>
      <c r="F471" s="426"/>
      <c r="N471" s="1033"/>
    </row>
    <row r="472" spans="5:14" s="409" customFormat="1" ht="13.5">
      <c r="E472" s="425"/>
      <c r="F472" s="426"/>
      <c r="N472" s="1033"/>
    </row>
    <row r="473" spans="5:14" s="409" customFormat="1" ht="13.5">
      <c r="E473" s="425"/>
      <c r="F473" s="426"/>
      <c r="N473" s="1033"/>
    </row>
    <row r="474" spans="5:14" s="409" customFormat="1" ht="13.5">
      <c r="E474" s="425"/>
      <c r="F474" s="426"/>
      <c r="N474" s="1033"/>
    </row>
    <row r="475" spans="5:14" s="409" customFormat="1" ht="13.5">
      <c r="E475" s="425"/>
      <c r="F475" s="426"/>
      <c r="N475" s="1033"/>
    </row>
    <row r="476" spans="5:14" s="409" customFormat="1" ht="13.5">
      <c r="E476" s="425"/>
      <c r="F476" s="426"/>
      <c r="N476" s="1033"/>
    </row>
    <row r="477" spans="5:14" s="409" customFormat="1" ht="13.5">
      <c r="E477" s="425"/>
      <c r="F477" s="426"/>
      <c r="N477" s="1033"/>
    </row>
    <row r="478" spans="5:14" s="409" customFormat="1" ht="13.5">
      <c r="E478" s="425"/>
      <c r="F478" s="426"/>
      <c r="N478" s="1033"/>
    </row>
    <row r="479" spans="5:14" s="409" customFormat="1" ht="13.5">
      <c r="E479" s="425"/>
      <c r="F479" s="426"/>
      <c r="N479" s="1033"/>
    </row>
    <row r="480" spans="5:14" s="409" customFormat="1" ht="13.5">
      <c r="E480" s="425"/>
      <c r="F480" s="426"/>
      <c r="N480" s="1033"/>
    </row>
    <row r="481" spans="5:14" s="409" customFormat="1" ht="13.5">
      <c r="E481" s="425"/>
      <c r="F481" s="426"/>
      <c r="N481" s="1033"/>
    </row>
    <row r="482" spans="5:14" s="409" customFormat="1" ht="13.5">
      <c r="E482" s="425"/>
      <c r="F482" s="426"/>
      <c r="N482" s="1033"/>
    </row>
    <row r="483" spans="5:14" s="409" customFormat="1" ht="13.5">
      <c r="E483" s="425"/>
      <c r="F483" s="426"/>
      <c r="N483" s="1033"/>
    </row>
    <row r="484" spans="5:14" s="409" customFormat="1" ht="13.5">
      <c r="E484" s="425"/>
      <c r="F484" s="426"/>
      <c r="N484" s="1033"/>
    </row>
    <row r="485" spans="5:14" s="409" customFormat="1" ht="13.5">
      <c r="E485" s="425"/>
      <c r="F485" s="426"/>
      <c r="N485" s="1033"/>
    </row>
    <row r="486" spans="5:14" s="409" customFormat="1" ht="13.5">
      <c r="E486" s="425"/>
      <c r="F486" s="426"/>
      <c r="N486" s="1033"/>
    </row>
    <row r="487" spans="5:14" s="409" customFormat="1" ht="13.5">
      <c r="E487" s="425"/>
      <c r="F487" s="426"/>
      <c r="N487" s="1033"/>
    </row>
    <row r="488" spans="5:14" s="409" customFormat="1" ht="13.5">
      <c r="E488" s="425"/>
      <c r="F488" s="426"/>
      <c r="N488" s="1033"/>
    </row>
    <row r="489" spans="5:14" s="409" customFormat="1" ht="13.5">
      <c r="E489" s="425"/>
      <c r="F489" s="426"/>
      <c r="N489" s="1033"/>
    </row>
    <row r="490" spans="5:14" s="409" customFormat="1" ht="13.5">
      <c r="E490" s="425"/>
      <c r="F490" s="426"/>
      <c r="N490" s="1033"/>
    </row>
    <row r="491" spans="5:14" s="409" customFormat="1" ht="13.5">
      <c r="E491" s="425"/>
      <c r="F491" s="426"/>
      <c r="N491" s="1033"/>
    </row>
    <row r="492" spans="5:14" s="409" customFormat="1" ht="13.5">
      <c r="E492" s="425"/>
      <c r="F492" s="426"/>
      <c r="N492" s="1033"/>
    </row>
    <row r="493" spans="5:14" s="409" customFormat="1" ht="13.5">
      <c r="E493" s="425"/>
      <c r="F493" s="426"/>
      <c r="N493" s="1033"/>
    </row>
    <row r="494" spans="5:14" s="409" customFormat="1" ht="13.5">
      <c r="E494" s="425"/>
      <c r="F494" s="426"/>
      <c r="N494" s="1033"/>
    </row>
    <row r="495" spans="5:14" s="409" customFormat="1" ht="13.5">
      <c r="E495" s="425"/>
      <c r="F495" s="426"/>
      <c r="N495" s="1033"/>
    </row>
    <row r="496" spans="5:14" s="409" customFormat="1" ht="13.5">
      <c r="E496" s="425"/>
      <c r="F496" s="426"/>
      <c r="N496" s="1033"/>
    </row>
    <row r="497" spans="5:14" s="409" customFormat="1" ht="13.5">
      <c r="E497" s="425"/>
      <c r="F497" s="426"/>
      <c r="N497" s="1033"/>
    </row>
    <row r="498" spans="5:14" s="409" customFormat="1" ht="13.5">
      <c r="E498" s="425"/>
      <c r="F498" s="426"/>
      <c r="N498" s="1033"/>
    </row>
    <row r="499" spans="5:14" s="409" customFormat="1" ht="13.5">
      <c r="E499" s="425"/>
      <c r="F499" s="426"/>
      <c r="N499" s="1033"/>
    </row>
    <row r="500" spans="5:14" s="409" customFormat="1" ht="13.5">
      <c r="E500" s="425"/>
      <c r="F500" s="426"/>
      <c r="N500" s="1033"/>
    </row>
    <row r="501" spans="5:14" s="409" customFormat="1" ht="13.5">
      <c r="E501" s="425"/>
      <c r="F501" s="426"/>
      <c r="N501" s="1033"/>
    </row>
    <row r="502" spans="5:14" s="409" customFormat="1" ht="13.5">
      <c r="E502" s="425"/>
      <c r="F502" s="426"/>
      <c r="N502" s="1033"/>
    </row>
    <row r="503" spans="5:14" s="409" customFormat="1" ht="13.5">
      <c r="E503" s="425"/>
      <c r="F503" s="426"/>
      <c r="N503" s="1033"/>
    </row>
    <row r="504" spans="5:14" s="409" customFormat="1" ht="13.5">
      <c r="E504" s="425"/>
      <c r="F504" s="426"/>
      <c r="N504" s="1033"/>
    </row>
    <row r="505" spans="5:14" s="409" customFormat="1" ht="13.5">
      <c r="E505" s="425"/>
      <c r="F505" s="426"/>
      <c r="N505" s="1033"/>
    </row>
    <row r="506" spans="5:14" s="409" customFormat="1" ht="13.5">
      <c r="E506" s="425"/>
      <c r="F506" s="426"/>
      <c r="N506" s="1033"/>
    </row>
    <row r="507" spans="5:14" s="409" customFormat="1" ht="13.5">
      <c r="E507" s="425"/>
      <c r="F507" s="426"/>
      <c r="N507" s="1033"/>
    </row>
    <row r="508" spans="5:14" s="409" customFormat="1" ht="13.5">
      <c r="E508" s="425"/>
      <c r="F508" s="426"/>
      <c r="N508" s="1033"/>
    </row>
    <row r="509" spans="5:14" s="409" customFormat="1" ht="13.5">
      <c r="E509" s="425"/>
      <c r="F509" s="426"/>
      <c r="N509" s="1033"/>
    </row>
    <row r="510" spans="5:14" s="409" customFormat="1" ht="13.5">
      <c r="E510" s="425"/>
      <c r="F510" s="426"/>
      <c r="N510" s="1033"/>
    </row>
    <row r="511" spans="5:14" s="409" customFormat="1" ht="13.5">
      <c r="E511" s="425"/>
      <c r="F511" s="426"/>
      <c r="N511" s="1033"/>
    </row>
    <row r="512" spans="5:14" s="409" customFormat="1" ht="13.5">
      <c r="E512" s="425"/>
      <c r="F512" s="426"/>
      <c r="N512" s="1033"/>
    </row>
    <row r="513" spans="5:14" s="409" customFormat="1" ht="13.5">
      <c r="E513" s="425"/>
      <c r="F513" s="426"/>
      <c r="N513" s="1033"/>
    </row>
    <row r="514" spans="5:14" s="409" customFormat="1" ht="13.5">
      <c r="E514" s="425"/>
      <c r="F514" s="426"/>
      <c r="N514" s="1033"/>
    </row>
    <row r="515" spans="5:14" s="409" customFormat="1" ht="13.5">
      <c r="E515" s="425"/>
      <c r="F515" s="426"/>
      <c r="N515" s="1033"/>
    </row>
    <row r="516" spans="5:14" s="409" customFormat="1" ht="13.5">
      <c r="E516" s="425"/>
      <c r="F516" s="426"/>
      <c r="N516" s="1033"/>
    </row>
    <row r="517" spans="5:14" s="409" customFormat="1" ht="13.5">
      <c r="E517" s="425"/>
      <c r="F517" s="426"/>
      <c r="N517" s="1033"/>
    </row>
    <row r="518" spans="5:14" s="409" customFormat="1" ht="13.5">
      <c r="E518" s="425"/>
      <c r="F518" s="426"/>
      <c r="N518" s="1033"/>
    </row>
    <row r="519" spans="5:14" s="409" customFormat="1" ht="13.5">
      <c r="E519" s="425"/>
      <c r="F519" s="426"/>
      <c r="N519" s="1033"/>
    </row>
    <row r="520" spans="5:14" s="409" customFormat="1" ht="13.5">
      <c r="E520" s="425"/>
      <c r="F520" s="426"/>
      <c r="N520" s="1033"/>
    </row>
    <row r="521" spans="5:14" s="409" customFormat="1" ht="13.5">
      <c r="E521" s="425"/>
      <c r="F521" s="426"/>
      <c r="N521" s="1033"/>
    </row>
    <row r="522" spans="5:14" s="409" customFormat="1" ht="13.5">
      <c r="E522" s="425"/>
      <c r="F522" s="426"/>
      <c r="N522" s="1033"/>
    </row>
    <row r="523" spans="5:14" s="409" customFormat="1" ht="13.5">
      <c r="E523" s="425"/>
      <c r="F523" s="426"/>
      <c r="N523" s="1033"/>
    </row>
    <row r="524" spans="5:14" s="409" customFormat="1" ht="13.5">
      <c r="E524" s="425"/>
      <c r="F524" s="426"/>
      <c r="N524" s="1033"/>
    </row>
    <row r="525" spans="5:14" s="409" customFormat="1" ht="13.5">
      <c r="E525" s="425"/>
      <c r="F525" s="426"/>
      <c r="N525" s="1033"/>
    </row>
    <row r="526" spans="5:14" s="409" customFormat="1" ht="13.5">
      <c r="E526" s="425"/>
      <c r="F526" s="426"/>
      <c r="N526" s="1033"/>
    </row>
    <row r="527" spans="5:14" s="409" customFormat="1" ht="13.5">
      <c r="E527" s="425"/>
      <c r="F527" s="426"/>
      <c r="N527" s="1033"/>
    </row>
    <row r="528" spans="5:14" s="409" customFormat="1" ht="13.5">
      <c r="E528" s="425"/>
      <c r="F528" s="426"/>
      <c r="N528" s="1033"/>
    </row>
    <row r="529" spans="5:14" s="409" customFormat="1" ht="13.5">
      <c r="E529" s="425"/>
      <c r="F529" s="426"/>
      <c r="N529" s="1033"/>
    </row>
    <row r="530" spans="5:14" s="409" customFormat="1" ht="13.5">
      <c r="E530" s="425"/>
      <c r="F530" s="426"/>
      <c r="N530" s="1033"/>
    </row>
    <row r="531" spans="5:14" s="409" customFormat="1" ht="13.5">
      <c r="E531" s="425"/>
      <c r="F531" s="426"/>
      <c r="N531" s="1033"/>
    </row>
    <row r="532" spans="5:14" s="409" customFormat="1" ht="13.5">
      <c r="E532" s="425"/>
      <c r="F532" s="426"/>
      <c r="N532" s="1033"/>
    </row>
    <row r="533" spans="5:14" s="409" customFormat="1" ht="13.5">
      <c r="E533" s="425"/>
      <c r="F533" s="426"/>
      <c r="N533" s="1033"/>
    </row>
    <row r="534" spans="5:14" s="409" customFormat="1" ht="13.5">
      <c r="E534" s="425"/>
      <c r="F534" s="426"/>
      <c r="N534" s="1033"/>
    </row>
    <row r="535" spans="5:14" s="409" customFormat="1" ht="13.5">
      <c r="E535" s="425"/>
      <c r="F535" s="426"/>
      <c r="N535" s="1033"/>
    </row>
    <row r="536" spans="5:14" s="409" customFormat="1" ht="13.5">
      <c r="E536" s="425"/>
      <c r="F536" s="426"/>
      <c r="N536" s="1033"/>
    </row>
    <row r="537" spans="5:14" s="409" customFormat="1" ht="13.5">
      <c r="E537" s="425"/>
      <c r="F537" s="426"/>
      <c r="N537" s="1033"/>
    </row>
    <row r="538" spans="5:14" s="409" customFormat="1" ht="13.5">
      <c r="E538" s="425"/>
      <c r="F538" s="426"/>
      <c r="N538" s="1033"/>
    </row>
    <row r="539" spans="5:14" s="409" customFormat="1" ht="13.5">
      <c r="E539" s="425"/>
      <c r="F539" s="426"/>
      <c r="N539" s="1033"/>
    </row>
    <row r="540" spans="5:14" s="409" customFormat="1" ht="13.5">
      <c r="E540" s="425"/>
      <c r="F540" s="426"/>
      <c r="N540" s="1033"/>
    </row>
    <row r="541" spans="5:14" s="409" customFormat="1" ht="13.5">
      <c r="E541" s="425"/>
      <c r="F541" s="426"/>
      <c r="N541" s="1033"/>
    </row>
    <row r="542" spans="5:14" s="409" customFormat="1" ht="13.5">
      <c r="E542" s="425"/>
      <c r="F542" s="426"/>
      <c r="N542" s="1033"/>
    </row>
    <row r="543" spans="5:14" s="409" customFormat="1" ht="13.5">
      <c r="E543" s="425"/>
      <c r="F543" s="426"/>
      <c r="N543" s="1033"/>
    </row>
    <row r="544" spans="5:14" s="409" customFormat="1" ht="13.5">
      <c r="E544" s="425"/>
      <c r="F544" s="426"/>
      <c r="N544" s="1033"/>
    </row>
    <row r="545" spans="5:14" s="409" customFormat="1" ht="13.5">
      <c r="E545" s="425"/>
      <c r="F545" s="426"/>
      <c r="N545" s="1033"/>
    </row>
    <row r="546" spans="2:14" s="409" customFormat="1" ht="13.5">
      <c r="B546" s="437"/>
      <c r="C546" s="437"/>
      <c r="D546" s="437"/>
      <c r="E546" s="438"/>
      <c r="F546" s="439"/>
      <c r="N546" s="1033"/>
    </row>
    <row r="547" spans="2:14" s="409" customFormat="1" ht="13.5">
      <c r="B547" s="437"/>
      <c r="C547" s="437"/>
      <c r="D547" s="437"/>
      <c r="E547" s="438"/>
      <c r="F547" s="439"/>
      <c r="N547" s="1033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fitToHeight="1" fitToWidth="1" orientation="portrait" paperSize="9" scale="82"/>
  <headerFooter alignWithMargins="0">
    <oddHeader>&amp;L                     &amp;R      
</oddHeader>
  </headerFooter>
  <ignoredErrors>
    <ignoredError sqref="C3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64"/>
  <sheetViews>
    <sheetView showGridLines="0" zoomScale="85" zoomScaleNormal="85" zoomScalePageLayoutView="0" workbookViewId="0" topLeftCell="A55">
      <selection activeCell="A62" sqref="A62:IV72"/>
    </sheetView>
  </sheetViews>
  <sheetFormatPr defaultColWidth="10.7109375" defaultRowHeight="12.75"/>
  <cols>
    <col min="1" max="1" width="6.140625" style="437" customWidth="1"/>
    <col min="2" max="2" width="55.00390625" style="437" customWidth="1"/>
    <col min="3" max="3" width="18.140625" style="437" customWidth="1"/>
    <col min="4" max="4" width="17.421875" style="437" customWidth="1"/>
    <col min="5" max="5" width="18.140625" style="437" customWidth="1"/>
    <col min="6" max="6" width="2.421875" style="440" customWidth="1"/>
    <col min="7" max="7" width="11.28125" style="1035" hidden="1" customWidth="1"/>
    <col min="8" max="8" width="11.7109375" style="437" bestFit="1" customWidth="1"/>
    <col min="9" max="9" width="12.28125" style="437" bestFit="1" customWidth="1"/>
    <col min="10" max="10" width="12.00390625" style="437" bestFit="1" customWidth="1"/>
    <col min="11" max="12" width="15.8515625" style="437" customWidth="1"/>
    <col min="13" max="16384" width="10.7109375" style="437" customWidth="1"/>
  </cols>
  <sheetData>
    <row r="1" ht="27" customHeight="1"/>
    <row r="2" spans="2:7" s="409" customFormat="1" ht="49.5" customHeight="1">
      <c r="B2" s="1225" t="s">
        <v>130</v>
      </c>
      <c r="C2" s="1226"/>
      <c r="D2" s="1227"/>
      <c r="E2" s="408">
        <f>CPYG!E2</f>
        <v>2017</v>
      </c>
      <c r="F2" s="441"/>
      <c r="G2" s="1033"/>
    </row>
    <row r="3" spans="2:7" s="409" customFormat="1" ht="25.5" customHeight="1">
      <c r="B3" s="1228" t="str">
        <f>CPYG!B3</f>
        <v>ENTIDAD: ENTIDAD PÚBLICA EMPRESARIAL LOCAL BALSAS DE TENERIFE, BALTEN</v>
      </c>
      <c r="C3" s="1229"/>
      <c r="D3" s="1229"/>
      <c r="E3" s="408" t="s">
        <v>132</v>
      </c>
      <c r="F3" s="351"/>
      <c r="G3" s="1033"/>
    </row>
    <row r="4" spans="2:7" s="409" customFormat="1" ht="24.75" customHeight="1">
      <c r="B4" s="1224" t="s">
        <v>215</v>
      </c>
      <c r="C4" s="1224"/>
      <c r="D4" s="1224"/>
      <c r="E4" s="1224"/>
      <c r="F4" s="410"/>
      <c r="G4" s="1033"/>
    </row>
    <row r="5" spans="2:7" s="409" customFormat="1" ht="40.5" customHeight="1">
      <c r="B5" s="411" t="s">
        <v>428</v>
      </c>
      <c r="C5" s="221" t="s">
        <v>493</v>
      </c>
      <c r="D5" s="442" t="s">
        <v>501</v>
      </c>
      <c r="E5" s="442" t="s">
        <v>491</v>
      </c>
      <c r="F5" s="443"/>
      <c r="G5" s="1036" t="s">
        <v>979</v>
      </c>
    </row>
    <row r="6" spans="2:7" s="409" customFormat="1" ht="22.5" customHeight="1">
      <c r="B6" s="444" t="s">
        <v>171</v>
      </c>
      <c r="C6" s="488">
        <f>C7+C23+C27</f>
        <v>32145341.1</v>
      </c>
      <c r="D6" s="488">
        <f>D7+D23+D27</f>
        <v>31320944.84</v>
      </c>
      <c r="E6" s="488">
        <f>E7+E23+E27</f>
        <v>29838775.549999997</v>
      </c>
      <c r="F6" s="416"/>
      <c r="G6" s="1038">
        <f>+E6-D6</f>
        <v>-1482169.2900000028</v>
      </c>
    </row>
    <row r="7" spans="2:7" s="409" customFormat="1" ht="19.5" customHeight="1">
      <c r="B7" s="445" t="s">
        <v>172</v>
      </c>
      <c r="C7" s="504">
        <f>+C8+C11+C12+C15+C16+C19+C20+C21+C22</f>
        <v>131814.42999999993</v>
      </c>
      <c r="D7" s="504">
        <f>+D8+D11+D12+D15+D16+D19+D20+D21+D22</f>
        <v>141194.96999999974</v>
      </c>
      <c r="E7" s="504">
        <f>+E8+E11+E12+E15+E16+E19+E20+E21+E22</f>
        <v>157401.72000000067</v>
      </c>
      <c r="F7" s="435"/>
      <c r="G7" s="1037">
        <f>+E7-D7</f>
        <v>16206.750000000931</v>
      </c>
    </row>
    <row r="8" spans="2:7" s="409" customFormat="1" ht="19.5" customHeight="1">
      <c r="B8" s="445" t="s">
        <v>173</v>
      </c>
      <c r="C8" s="505">
        <f>SUM(C9:C10)</f>
        <v>0</v>
      </c>
      <c r="D8" s="505">
        <f>SUM(D9:D10)</f>
        <v>0</v>
      </c>
      <c r="E8" s="505">
        <f>SUM(E9:E10)</f>
        <v>0</v>
      </c>
      <c r="F8" s="428"/>
      <c r="G8" s="1033"/>
    </row>
    <row r="9" spans="2:7" s="409" customFormat="1" ht="19.5" customHeight="1">
      <c r="B9" s="446" t="s">
        <v>36</v>
      </c>
      <c r="C9" s="501"/>
      <c r="D9" s="501"/>
      <c r="E9" s="501"/>
      <c r="F9" s="428"/>
      <c r="G9" s="1033"/>
    </row>
    <row r="10" spans="2:7" s="409" customFormat="1" ht="19.5" customHeight="1">
      <c r="B10" s="446" t="s">
        <v>37</v>
      </c>
      <c r="C10" s="501"/>
      <c r="D10" s="501"/>
      <c r="E10" s="501"/>
      <c r="F10" s="428"/>
      <c r="G10" s="1033"/>
    </row>
    <row r="11" spans="2:7" s="409" customFormat="1" ht="19.5" customHeight="1">
      <c r="B11" s="445" t="s">
        <v>133</v>
      </c>
      <c r="C11" s="501"/>
      <c r="D11" s="501"/>
      <c r="E11" s="501"/>
      <c r="F11" s="428"/>
      <c r="G11" s="1033"/>
    </row>
    <row r="12" spans="2:7" s="409" customFormat="1" ht="19.5" customHeight="1">
      <c r="B12" s="445" t="s">
        <v>174</v>
      </c>
      <c r="C12" s="505">
        <f>SUM(C13:C14)</f>
        <v>0</v>
      </c>
      <c r="D12" s="505">
        <f>SUM(D13:D14)</f>
        <v>0</v>
      </c>
      <c r="E12" s="505">
        <f>SUM(E13:E14)</f>
        <v>0</v>
      </c>
      <c r="F12" s="428"/>
      <c r="G12" s="1033"/>
    </row>
    <row r="13" spans="2:7" s="409" customFormat="1" ht="19.5" customHeight="1">
      <c r="B13" s="446" t="s">
        <v>38</v>
      </c>
      <c r="C13" s="501"/>
      <c r="D13" s="501"/>
      <c r="E13" s="501"/>
      <c r="F13" s="428"/>
      <c r="G13" s="1033"/>
    </row>
    <row r="14" spans="2:7" s="409" customFormat="1" ht="19.5" customHeight="1">
      <c r="B14" s="446" t="s">
        <v>39</v>
      </c>
      <c r="C14" s="501"/>
      <c r="D14" s="501"/>
      <c r="E14" s="501"/>
      <c r="F14" s="428"/>
      <c r="G14" s="1033"/>
    </row>
    <row r="15" spans="2:7" s="409" customFormat="1" ht="19.5" customHeight="1">
      <c r="B15" s="445" t="s">
        <v>40</v>
      </c>
      <c r="C15" s="501"/>
      <c r="D15" s="501"/>
      <c r="E15" s="501"/>
      <c r="F15" s="428"/>
      <c r="G15" s="1033"/>
    </row>
    <row r="16" spans="2:7" s="409" customFormat="1" ht="19.5" customHeight="1">
      <c r="B16" s="445" t="s">
        <v>134</v>
      </c>
      <c r="C16" s="504">
        <f>SUM(C17:C18)</f>
        <v>-3007718.6</v>
      </c>
      <c r="D16" s="504">
        <f>SUM(D17:D18)</f>
        <v>-3259123.3</v>
      </c>
      <c r="E16" s="504">
        <f>SUM(E17:E18)</f>
        <v>-3984940.7600000002</v>
      </c>
      <c r="F16" s="428"/>
      <c r="G16" s="1037">
        <f>+E16-D16</f>
        <v>-725817.4600000004</v>
      </c>
    </row>
    <row r="17" spans="2:7" s="420" customFormat="1" ht="19.5" customHeight="1">
      <c r="B17" s="418" t="s">
        <v>41</v>
      </c>
      <c r="C17" s="502"/>
      <c r="D17" s="502"/>
      <c r="E17" s="502"/>
      <c r="F17" s="428"/>
      <c r="G17" s="1034"/>
    </row>
    <row r="18" spans="2:9" s="420" customFormat="1" ht="19.5" customHeight="1">
      <c r="B18" s="418" t="s">
        <v>175</v>
      </c>
      <c r="C18" s="502">
        <v>-3007718.6</v>
      </c>
      <c r="D18" s="502">
        <f>C18+C20</f>
        <v>-3259123.3</v>
      </c>
      <c r="E18" s="502">
        <f>D18+D20</f>
        <v>-3984940.7600000002</v>
      </c>
      <c r="F18" s="428"/>
      <c r="G18" s="1034"/>
      <c r="I18" s="450"/>
    </row>
    <row r="19" spans="2:7" s="420" customFormat="1" ht="19.5" customHeight="1">
      <c r="B19" s="415" t="s">
        <v>43</v>
      </c>
      <c r="C19" s="502">
        <v>3390937.73</v>
      </c>
      <c r="D19" s="502">
        <f>3390937.73+735198</f>
        <v>4126135.73</v>
      </c>
      <c r="E19" s="502">
        <f>4126135.73+703449</f>
        <v>4829584.73</v>
      </c>
      <c r="F19" s="428"/>
      <c r="G19" s="1037">
        <f>+E19-D19</f>
        <v>703449.0000000005</v>
      </c>
    </row>
    <row r="20" spans="2:7" s="420" customFormat="1" ht="19.5" customHeight="1">
      <c r="B20" s="415" t="s">
        <v>44</v>
      </c>
      <c r="C20" s="962">
        <f>CPYG!C94</f>
        <v>-251404.69999999995</v>
      </c>
      <c r="D20" s="962">
        <f>CPYG!D94</f>
        <v>-725817.4600000004</v>
      </c>
      <c r="E20" s="962">
        <f>CPYG!E94</f>
        <v>-687242.2499999995</v>
      </c>
      <c r="F20" s="447"/>
      <c r="G20" s="1037">
        <f>+E20-D20</f>
        <v>38575.210000000894</v>
      </c>
    </row>
    <row r="21" spans="2:7" s="420" customFormat="1" ht="19.5" customHeight="1">
      <c r="B21" s="415" t="s">
        <v>45</v>
      </c>
      <c r="C21" s="502"/>
      <c r="D21" s="502"/>
      <c r="E21" s="502"/>
      <c r="F21" s="428"/>
      <c r="G21" s="1034"/>
    </row>
    <row r="22" spans="2:7" s="420" customFormat="1" ht="19.5" customHeight="1">
      <c r="B22" s="415" t="s">
        <v>46</v>
      </c>
      <c r="C22" s="502"/>
      <c r="D22" s="502"/>
      <c r="E22" s="502"/>
      <c r="F22" s="428"/>
      <c r="G22" s="1034"/>
    </row>
    <row r="23" spans="2:7" s="420" customFormat="1" ht="19.5" customHeight="1">
      <c r="B23" s="415" t="s">
        <v>47</v>
      </c>
      <c r="C23" s="506">
        <f>SUM(C24:C26)</f>
        <v>0</v>
      </c>
      <c r="D23" s="506">
        <f>SUM(D24:D26)</f>
        <v>0</v>
      </c>
      <c r="E23" s="506">
        <f>SUM(E24:E26)</f>
        <v>0</v>
      </c>
      <c r="F23" s="435"/>
      <c r="G23" s="1034"/>
    </row>
    <row r="24" spans="2:7" s="420" customFormat="1" ht="19.5" customHeight="1">
      <c r="B24" s="415" t="s">
        <v>48</v>
      </c>
      <c r="C24" s="502"/>
      <c r="D24" s="502"/>
      <c r="E24" s="502"/>
      <c r="F24" s="428"/>
      <c r="G24" s="1034"/>
    </row>
    <row r="25" spans="2:7" s="420" customFormat="1" ht="19.5" customHeight="1">
      <c r="B25" s="415" t="s">
        <v>49</v>
      </c>
      <c r="C25" s="502"/>
      <c r="D25" s="502"/>
      <c r="E25" s="502"/>
      <c r="F25" s="428"/>
      <c r="G25" s="1034"/>
    </row>
    <row r="26" spans="2:7" s="420" customFormat="1" ht="19.5" customHeight="1">
      <c r="B26" s="415" t="s">
        <v>50</v>
      </c>
      <c r="C26" s="502"/>
      <c r="D26" s="502"/>
      <c r="E26" s="502"/>
      <c r="F26" s="428"/>
      <c r="G26" s="1034"/>
    </row>
    <row r="27" spans="2:8" s="420" customFormat="1" ht="19.5" customHeight="1">
      <c r="B27" s="415" t="s">
        <v>51</v>
      </c>
      <c r="C27" s="502">
        <v>32013526.67</v>
      </c>
      <c r="D27" s="502">
        <v>31179749.87</v>
      </c>
      <c r="E27" s="502">
        <f>31921248.83-2175000+225000+10125-300000</f>
        <v>29681373.83</v>
      </c>
      <c r="F27" s="428"/>
      <c r="G27" s="1037">
        <f>+E27-D27</f>
        <v>-1498376.0400000028</v>
      </c>
      <c r="H27" s="450"/>
    </row>
    <row r="28" spans="2:7" s="420" customFormat="1" ht="19.5" customHeight="1">
      <c r="B28" s="444" t="s">
        <v>176</v>
      </c>
      <c r="C28" s="506">
        <f>C29+C33+C38+C39+C40+C41+C4+C42</f>
        <v>12498623.11</v>
      </c>
      <c r="D28" s="506">
        <f>D29+D33+D38+D39+D40+D41+D4+D42</f>
        <v>15654810.010000002</v>
      </c>
      <c r="E28" s="506">
        <f>E29+E33+E38+E39+E40+E41+E4+E42</f>
        <v>10763791.28</v>
      </c>
      <c r="F28" s="435"/>
      <c r="G28" s="1038">
        <f>+E28-D28</f>
        <v>-4891018.730000002</v>
      </c>
    </row>
    <row r="29" spans="2:7" s="420" customFormat="1" ht="19.5" customHeight="1">
      <c r="B29" s="415" t="s">
        <v>52</v>
      </c>
      <c r="C29" s="506">
        <f>SUM(C30:C32)</f>
        <v>0</v>
      </c>
      <c r="D29" s="506">
        <f>SUM(D30:D32)</f>
        <v>0</v>
      </c>
      <c r="E29" s="506">
        <f>SUM(E30:E32)</f>
        <v>0</v>
      </c>
      <c r="F29" s="428"/>
      <c r="G29" s="1034"/>
    </row>
    <row r="30" spans="2:7" s="420" customFormat="1" ht="19.5" customHeight="1">
      <c r="B30" s="418" t="s">
        <v>431</v>
      </c>
      <c r="C30" s="502"/>
      <c r="D30" s="502"/>
      <c r="E30" s="502"/>
      <c r="F30" s="428"/>
      <c r="G30" s="1034"/>
    </row>
    <row r="31" spans="2:7" s="420" customFormat="1" ht="28.5" customHeight="1">
      <c r="B31" s="448" t="s">
        <v>432</v>
      </c>
      <c r="C31" s="502"/>
      <c r="D31" s="502"/>
      <c r="E31" s="502"/>
      <c r="F31" s="428"/>
      <c r="G31" s="1034"/>
    </row>
    <row r="32" spans="2:7" s="420" customFormat="1" ht="19.5" customHeight="1">
      <c r="B32" s="418" t="s">
        <v>433</v>
      </c>
      <c r="C32" s="503"/>
      <c r="D32" s="503"/>
      <c r="E32" s="503"/>
      <c r="F32" s="435"/>
      <c r="G32" s="1034"/>
    </row>
    <row r="33" spans="2:7" s="420" customFormat="1" ht="19.5" customHeight="1">
      <c r="B33" s="415" t="s">
        <v>53</v>
      </c>
      <c r="C33" s="506">
        <f>SUM(C34:C37)</f>
        <v>1827447.54</v>
      </c>
      <c r="D33" s="506">
        <f>SUM(D34:D37)</f>
        <v>5261560.05</v>
      </c>
      <c r="E33" s="506">
        <f>SUM(E34:E37)</f>
        <v>870000</v>
      </c>
      <c r="F33" s="428"/>
      <c r="G33" s="1037">
        <f>+E33-D33</f>
        <v>-4391560.05</v>
      </c>
    </row>
    <row r="34" spans="2:7" s="420" customFormat="1" ht="19.5" customHeight="1">
      <c r="B34" s="418" t="s">
        <v>55</v>
      </c>
      <c r="C34" s="503"/>
      <c r="D34" s="503"/>
      <c r="E34" s="503"/>
      <c r="F34" s="435"/>
      <c r="G34" s="1034"/>
    </row>
    <row r="35" spans="2:7" s="420" customFormat="1" ht="19.5" customHeight="1">
      <c r="B35" s="418" t="s">
        <v>66</v>
      </c>
      <c r="C35" s="502"/>
      <c r="D35" s="502"/>
      <c r="E35" s="502"/>
      <c r="F35" s="428"/>
      <c r="G35" s="1040"/>
    </row>
    <row r="36" spans="2:7" s="420" customFormat="1" ht="19.5" customHeight="1">
      <c r="B36" s="418" t="s">
        <v>56</v>
      </c>
      <c r="C36" s="502"/>
      <c r="D36" s="502"/>
      <c r="E36" s="502"/>
      <c r="F36" s="428"/>
      <c r="G36" s="1034"/>
    </row>
    <row r="37" spans="2:8" s="420" customFormat="1" ht="19.5" customHeight="1">
      <c r="B37" s="418" t="s">
        <v>434</v>
      </c>
      <c r="C37" s="502">
        <v>1827447.54</v>
      </c>
      <c r="D37" s="502">
        <f>500000+1011560.05+850000+2900000</f>
        <v>5261560.05</v>
      </c>
      <c r="E37" s="502">
        <v>870000</v>
      </c>
      <c r="F37" s="428"/>
      <c r="G37" s="1034"/>
      <c r="H37" s="450"/>
    </row>
    <row r="38" spans="2:7" s="420" customFormat="1" ht="19.5" customHeight="1">
      <c r="B38" s="415" t="s">
        <v>57</v>
      </c>
      <c r="C38" s="503"/>
      <c r="D38" s="503"/>
      <c r="E38" s="503"/>
      <c r="F38" s="428"/>
      <c r="G38" s="1037">
        <f>+E38-D38</f>
        <v>0</v>
      </c>
    </row>
    <row r="39" spans="2:7" s="420" customFormat="1" ht="19.5" customHeight="1">
      <c r="B39" s="415" t="s">
        <v>58</v>
      </c>
      <c r="C39" s="503">
        <v>10671175.57</v>
      </c>
      <c r="D39" s="503">
        <v>10393249.96</v>
      </c>
      <c r="E39" s="503">
        <f>10640416.28-725000+75000+3375-100000</f>
        <v>9893791.28</v>
      </c>
      <c r="F39" s="428"/>
      <c r="G39" s="1037">
        <f>+E39-D39</f>
        <v>-499458.68000000156</v>
      </c>
    </row>
    <row r="40" spans="2:7" s="420" customFormat="1" ht="19.5" customHeight="1">
      <c r="B40" s="415" t="s">
        <v>59</v>
      </c>
      <c r="C40" s="503"/>
      <c r="D40" s="503"/>
      <c r="E40" s="503"/>
      <c r="F40" s="435"/>
      <c r="G40" s="1034"/>
    </row>
    <row r="41" spans="2:7" s="420" customFormat="1" ht="19.5" customHeight="1">
      <c r="B41" s="415" t="s">
        <v>435</v>
      </c>
      <c r="C41" s="503"/>
      <c r="D41" s="503"/>
      <c r="E41" s="503"/>
      <c r="F41" s="435"/>
      <c r="G41" s="1034"/>
    </row>
    <row r="42" spans="2:7" s="420" customFormat="1" ht="19.5" customHeight="1">
      <c r="B42" s="415" t="s">
        <v>436</v>
      </c>
      <c r="C42" s="503"/>
      <c r="D42" s="503"/>
      <c r="E42" s="503"/>
      <c r="F42" s="435"/>
      <c r="G42" s="1034"/>
    </row>
    <row r="43" spans="2:7" s="420" customFormat="1" ht="19.5" customHeight="1">
      <c r="B43" s="444" t="s">
        <v>128</v>
      </c>
      <c r="C43" s="506">
        <f>+C44+C45+C49+C54+C55+C58+C59</f>
        <v>6578065.600000001</v>
      </c>
      <c r="D43" s="506">
        <f>+D44+D45+D49+D54+D55+D58+D59</f>
        <v>2855207.23</v>
      </c>
      <c r="E43" s="506">
        <f>+E44+E45+E49+E54+E55+E58+E59</f>
        <v>6793038.38</v>
      </c>
      <c r="F43" s="435"/>
      <c r="G43" s="1038">
        <f>+E43-D43</f>
        <v>3937831.15</v>
      </c>
    </row>
    <row r="44" spans="2:7" s="420" customFormat="1" ht="30" customHeight="1">
      <c r="B44" s="449" t="s">
        <v>63</v>
      </c>
      <c r="C44" s="503"/>
      <c r="D44" s="503"/>
      <c r="E44" s="503"/>
      <c r="F44" s="435"/>
      <c r="G44" s="1034"/>
    </row>
    <row r="45" spans="2:7" s="420" customFormat="1" ht="19.5" customHeight="1">
      <c r="B45" s="415" t="s">
        <v>64</v>
      </c>
      <c r="C45" s="506">
        <f>+C46+C47+C48</f>
        <v>3192.82</v>
      </c>
      <c r="D45" s="506">
        <f>+D46+D47+D48</f>
        <v>0</v>
      </c>
      <c r="E45" s="506">
        <f>+E46+E47+E48</f>
        <v>0</v>
      </c>
      <c r="F45" s="435"/>
      <c r="G45" s="1037">
        <f>+E45-D45</f>
        <v>0</v>
      </c>
    </row>
    <row r="46" spans="2:7" s="420" customFormat="1" ht="19.5" customHeight="1">
      <c r="B46" s="418" t="s">
        <v>431</v>
      </c>
      <c r="C46" s="503"/>
      <c r="D46" s="503"/>
      <c r="E46" s="503"/>
      <c r="F46" s="435"/>
      <c r="G46" s="1034"/>
    </row>
    <row r="47" spans="2:7" s="420" customFormat="1" ht="28.5" customHeight="1">
      <c r="B47" s="448" t="s">
        <v>432</v>
      </c>
      <c r="C47" s="503"/>
      <c r="D47" s="503"/>
      <c r="E47" s="503"/>
      <c r="F47" s="435"/>
      <c r="G47" s="1034"/>
    </row>
    <row r="48" spans="2:7" s="420" customFormat="1" ht="19.5" customHeight="1">
      <c r="B48" s="418" t="s">
        <v>433</v>
      </c>
      <c r="C48" s="503">
        <v>3192.82</v>
      </c>
      <c r="D48" s="503">
        <v>0</v>
      </c>
      <c r="E48" s="503">
        <v>0</v>
      </c>
      <c r="F48" s="435"/>
      <c r="G48" s="1034"/>
    </row>
    <row r="49" spans="2:7" s="420" customFormat="1" ht="19.5" customHeight="1">
      <c r="B49" s="415" t="s">
        <v>65</v>
      </c>
      <c r="C49" s="506">
        <f>SUM(C50:C53)</f>
        <v>4411560.05</v>
      </c>
      <c r="D49" s="506">
        <f>SUM(D50:D53)</f>
        <v>703122.6299999999</v>
      </c>
      <c r="E49" s="506">
        <f>SUM(E50:E53)</f>
        <v>4411560.05</v>
      </c>
      <c r="F49" s="428"/>
      <c r="G49" s="1037">
        <f>+E49-D49</f>
        <v>3708437.42</v>
      </c>
    </row>
    <row r="50" spans="2:7" s="420" customFormat="1" ht="19.5" customHeight="1">
      <c r="B50" s="418" t="s">
        <v>55</v>
      </c>
      <c r="C50" s="502"/>
      <c r="D50" s="502"/>
      <c r="E50" s="502"/>
      <c r="F50" s="428"/>
      <c r="G50" s="1034"/>
    </row>
    <row r="51" spans="2:7" s="420" customFormat="1" ht="19.5" customHeight="1">
      <c r="B51" s="418" t="s">
        <v>66</v>
      </c>
      <c r="C51" s="502"/>
      <c r="D51" s="502"/>
      <c r="E51" s="502"/>
      <c r="G51" s="1040"/>
    </row>
    <row r="52" spans="2:7" s="420" customFormat="1" ht="19.5" customHeight="1">
      <c r="B52" s="418" t="s">
        <v>56</v>
      </c>
      <c r="C52" s="503"/>
      <c r="D52" s="503"/>
      <c r="E52" s="503"/>
      <c r="F52" s="435"/>
      <c r="G52" s="1034"/>
    </row>
    <row r="53" spans="2:7" s="420" customFormat="1" ht="19.5" customHeight="1">
      <c r="B53" s="418" t="s">
        <v>437</v>
      </c>
      <c r="C53" s="503">
        <v>4411560.05</v>
      </c>
      <c r="D53" s="503">
        <f>500000+2900000+203122.63-2900000</f>
        <v>703122.6299999999</v>
      </c>
      <c r="E53" s="503">
        <f>500000+1011560.05+2900000</f>
        <v>4411560.05</v>
      </c>
      <c r="F53" s="435"/>
      <c r="G53" s="1034"/>
    </row>
    <row r="54" spans="2:10" s="420" customFormat="1" ht="19.5" customHeight="1">
      <c r="B54" s="415" t="s">
        <v>67</v>
      </c>
      <c r="C54" s="503">
        <v>74457.62</v>
      </c>
      <c r="D54" s="503">
        <v>74457.62</v>
      </c>
      <c r="E54" s="503">
        <v>74457.62</v>
      </c>
      <c r="F54" s="435"/>
      <c r="G54" s="1037">
        <f>+E54-D54</f>
        <v>0</v>
      </c>
      <c r="H54" s="450"/>
      <c r="I54" s="450"/>
      <c r="J54" s="450"/>
    </row>
    <row r="55" spans="2:7" s="420" customFormat="1" ht="19.5" customHeight="1">
      <c r="B55" s="415" t="s">
        <v>68</v>
      </c>
      <c r="C55" s="506">
        <f>SUM(C56:C57)</f>
        <v>2088855.11</v>
      </c>
      <c r="D55" s="506">
        <f>SUM(D56:D57)</f>
        <v>2077626.98</v>
      </c>
      <c r="E55" s="506">
        <f>SUM(E56:E57)</f>
        <v>2307020.71</v>
      </c>
      <c r="F55" s="428"/>
      <c r="G55" s="1037">
        <f>+E55-D55</f>
        <v>229393.72999999998</v>
      </c>
    </row>
    <row r="56" spans="2:7" s="420" customFormat="1" ht="19.5" customHeight="1">
      <c r="B56" s="418" t="s">
        <v>69</v>
      </c>
      <c r="C56" s="502">
        <f>822904.78+484772.77</f>
        <v>1307677.55</v>
      </c>
      <c r="D56" s="502">
        <f>1300000-6373.02</f>
        <v>1293626.98</v>
      </c>
      <c r="E56" s="502">
        <f>1535000-56422.19</f>
        <v>1478577.81</v>
      </c>
      <c r="F56" s="428"/>
      <c r="G56" s="1034"/>
    </row>
    <row r="57" spans="2:7" s="420" customFormat="1" ht="19.5" customHeight="1">
      <c r="B57" s="418" t="s">
        <v>438</v>
      </c>
      <c r="C57" s="502">
        <f>588059.03+68769.44+92621.16+31727.93</f>
        <v>781177.56</v>
      </c>
      <c r="D57" s="502">
        <f>32000+69000+28000+65000+625000-35000</f>
        <v>784000</v>
      </c>
      <c r="E57" s="502">
        <f>32000+69000+28000+65000+645000-10557.1</f>
        <v>828442.9</v>
      </c>
      <c r="F57" s="428"/>
      <c r="G57" s="1034"/>
    </row>
    <row r="58" spans="2:7" s="420" customFormat="1" ht="19.5" customHeight="1">
      <c r="B58" s="415" t="s">
        <v>90</v>
      </c>
      <c r="C58" s="503"/>
      <c r="D58" s="503"/>
      <c r="E58" s="503"/>
      <c r="F58" s="435"/>
      <c r="G58" s="1034"/>
    </row>
    <row r="59" spans="2:7" s="420" customFormat="1" ht="19.5" customHeight="1">
      <c r="B59" s="415" t="s">
        <v>439</v>
      </c>
      <c r="C59" s="503"/>
      <c r="D59" s="503"/>
      <c r="E59" s="503"/>
      <c r="F59" s="435"/>
      <c r="G59" s="1034"/>
    </row>
    <row r="60" spans="2:7" s="420" customFormat="1" ht="30" customHeight="1">
      <c r="B60" s="421" t="s">
        <v>129</v>
      </c>
      <c r="C60" s="488">
        <f>C43+C28+C6</f>
        <v>51222029.81</v>
      </c>
      <c r="D60" s="488">
        <f>D43+D28+D6</f>
        <v>49830962.08</v>
      </c>
      <c r="E60" s="488">
        <f>E43+E28+E6</f>
        <v>47395605.20999999</v>
      </c>
      <c r="F60" s="416"/>
      <c r="G60" s="1038">
        <f>+E60-D60</f>
        <v>-2435356.870000005</v>
      </c>
    </row>
    <row r="61" spans="3:7" s="420" customFormat="1" ht="13.5">
      <c r="C61" s="450"/>
      <c r="D61" s="450"/>
      <c r="E61" s="450"/>
      <c r="F61" s="450"/>
      <c r="G61" s="1034"/>
    </row>
    <row r="62" spans="3:7" s="420" customFormat="1" ht="13.5" hidden="1">
      <c r="C62" s="450">
        <f>+C33+C43</f>
        <v>8405513.14</v>
      </c>
      <c r="D62" s="450">
        <f>+D33+D43</f>
        <v>8116767.279999999</v>
      </c>
      <c r="E62" s="450">
        <f>+E33+E43</f>
        <v>7663038.38</v>
      </c>
      <c r="F62" s="450"/>
      <c r="G62" s="1034"/>
    </row>
    <row r="63" spans="2:7" s="420" customFormat="1" ht="13.5" hidden="1">
      <c r="B63" s="963" t="s">
        <v>70</v>
      </c>
      <c r="C63" s="450"/>
      <c r="D63" s="450"/>
      <c r="E63" s="450"/>
      <c r="F63" s="450"/>
      <c r="G63" s="1034"/>
    </row>
    <row r="64" spans="4:7" s="420" customFormat="1" ht="13.5" hidden="1">
      <c r="D64" s="450">
        <f>+D62-C62</f>
        <v>-288745.86000000127</v>
      </c>
      <c r="E64" s="450">
        <f>+E62-D62</f>
        <v>-453728.89999999944</v>
      </c>
      <c r="G64" s="1034"/>
    </row>
    <row r="65" spans="3:7" s="420" customFormat="1" ht="13.5" hidden="1">
      <c r="C65" s="450"/>
      <c r="D65" s="450"/>
      <c r="E65" s="450"/>
      <c r="F65" s="450"/>
      <c r="G65" s="1034"/>
    </row>
    <row r="66" spans="3:7" s="420" customFormat="1" ht="13.5" hidden="1">
      <c r="C66" s="450"/>
      <c r="D66" s="450"/>
      <c r="E66" s="450"/>
      <c r="F66" s="450"/>
      <c r="G66" s="1034"/>
    </row>
    <row r="67" spans="2:7" s="420" customFormat="1" ht="13.5" hidden="1">
      <c r="B67" s="420" t="s">
        <v>91</v>
      </c>
      <c r="C67" s="450">
        <f>+ACTIVO!C43</f>
        <v>51222029.81</v>
      </c>
      <c r="D67" s="450">
        <f>+ACTIVO!D43</f>
        <v>49830962.07999999</v>
      </c>
      <c r="E67" s="450">
        <f>+ACTIVO!E43</f>
        <v>47395605.21</v>
      </c>
      <c r="F67" s="450"/>
      <c r="G67" s="1034"/>
    </row>
    <row r="68" spans="2:7" s="420" customFormat="1" ht="13.5" hidden="1">
      <c r="B68" s="420" t="s">
        <v>89</v>
      </c>
      <c r="C68" s="428">
        <f>+C60-C67</f>
        <v>0</v>
      </c>
      <c r="D68" s="428">
        <f>+D60-D67</f>
        <v>0</v>
      </c>
      <c r="E68" s="428">
        <f>+E60-E67</f>
        <v>0</v>
      </c>
      <c r="F68" s="428"/>
      <c r="G68" s="1034"/>
    </row>
    <row r="69" s="420" customFormat="1" ht="13.5" hidden="1">
      <c r="G69" s="1034"/>
    </row>
    <row r="70" spans="5:7" s="420" customFormat="1" ht="13.5" hidden="1">
      <c r="E70" s="450"/>
      <c r="F70" s="450"/>
      <c r="G70" s="1034"/>
    </row>
    <row r="71" spans="2:7" s="420" customFormat="1" ht="13.5" hidden="1">
      <c r="B71" s="964" t="s">
        <v>883</v>
      </c>
      <c r="C71" s="965">
        <f>C20-CPYG!C94</f>
        <v>0</v>
      </c>
      <c r="D71" s="965">
        <f>D20-CPYG!D94</f>
        <v>0</v>
      </c>
      <c r="E71" s="965">
        <f>E20-CPYG!E94</f>
        <v>0</v>
      </c>
      <c r="G71" s="1034"/>
    </row>
    <row r="72" spans="2:7" s="409" customFormat="1" ht="13.5" hidden="1">
      <c r="B72" s="799" t="s">
        <v>885</v>
      </c>
      <c r="C72" s="798">
        <f>C60-ACTIVO!C43</f>
        <v>0</v>
      </c>
      <c r="D72" s="798">
        <f>D60-ACTIVO!D43</f>
        <v>0</v>
      </c>
      <c r="E72" s="798">
        <f>E60-ACTIVO!E43</f>
        <v>0</v>
      </c>
      <c r="F72" s="420"/>
      <c r="G72" s="1033"/>
    </row>
    <row r="73" spans="6:7" s="409" customFormat="1" ht="13.5">
      <c r="F73" s="420"/>
      <c r="G73" s="1033"/>
    </row>
    <row r="74" spans="6:7" s="409" customFormat="1" ht="13.5">
      <c r="F74" s="420"/>
      <c r="G74" s="1033"/>
    </row>
    <row r="75" spans="6:7" s="409" customFormat="1" ht="13.5">
      <c r="F75" s="420"/>
      <c r="G75" s="1033"/>
    </row>
    <row r="76" spans="3:7" s="409" customFormat="1" ht="13.5">
      <c r="C76" s="419"/>
      <c r="F76" s="420"/>
      <c r="G76" s="1033"/>
    </row>
    <row r="77" spans="6:7" s="409" customFormat="1" ht="13.5">
      <c r="F77" s="420"/>
      <c r="G77" s="1033"/>
    </row>
    <row r="78" spans="6:7" s="409" customFormat="1" ht="13.5">
      <c r="F78" s="420"/>
      <c r="G78" s="1033"/>
    </row>
    <row r="79" spans="6:7" s="409" customFormat="1" ht="13.5">
      <c r="F79" s="420"/>
      <c r="G79" s="1033"/>
    </row>
    <row r="80" spans="6:7" s="409" customFormat="1" ht="13.5">
      <c r="F80" s="420"/>
      <c r="G80" s="1033"/>
    </row>
    <row r="81" spans="6:7" s="409" customFormat="1" ht="13.5">
      <c r="F81" s="420"/>
      <c r="G81" s="1033"/>
    </row>
    <row r="82" spans="6:7" s="409" customFormat="1" ht="13.5">
      <c r="F82" s="420"/>
      <c r="G82" s="1033"/>
    </row>
    <row r="83" spans="6:7" s="409" customFormat="1" ht="13.5">
      <c r="F83" s="420"/>
      <c r="G83" s="1033"/>
    </row>
    <row r="84" spans="6:7" s="409" customFormat="1" ht="13.5">
      <c r="F84" s="420"/>
      <c r="G84" s="1033"/>
    </row>
    <row r="85" spans="6:7" s="409" customFormat="1" ht="13.5">
      <c r="F85" s="420"/>
      <c r="G85" s="1033"/>
    </row>
    <row r="86" spans="6:7" s="409" customFormat="1" ht="13.5">
      <c r="F86" s="420"/>
      <c r="G86" s="1033"/>
    </row>
    <row r="87" spans="6:7" s="409" customFormat="1" ht="13.5">
      <c r="F87" s="420"/>
      <c r="G87" s="1033"/>
    </row>
    <row r="88" spans="6:7" s="409" customFormat="1" ht="13.5">
      <c r="F88" s="420"/>
      <c r="G88" s="1033"/>
    </row>
    <row r="89" spans="6:7" s="409" customFormat="1" ht="13.5">
      <c r="F89" s="420"/>
      <c r="G89" s="1033"/>
    </row>
    <row r="90" spans="6:7" s="409" customFormat="1" ht="13.5">
      <c r="F90" s="420"/>
      <c r="G90" s="1033"/>
    </row>
    <row r="91" spans="6:7" s="409" customFormat="1" ht="13.5">
      <c r="F91" s="420"/>
      <c r="G91" s="1033"/>
    </row>
    <row r="92" spans="6:7" s="409" customFormat="1" ht="13.5">
      <c r="F92" s="420"/>
      <c r="G92" s="1033"/>
    </row>
    <row r="93" spans="6:7" s="409" customFormat="1" ht="13.5">
      <c r="F93" s="420"/>
      <c r="G93" s="1033"/>
    </row>
    <row r="94" spans="6:7" s="409" customFormat="1" ht="13.5">
      <c r="F94" s="420"/>
      <c r="G94" s="1033"/>
    </row>
    <row r="95" spans="6:7" s="409" customFormat="1" ht="13.5">
      <c r="F95" s="420"/>
      <c r="G95" s="1033"/>
    </row>
    <row r="96" spans="6:7" s="409" customFormat="1" ht="13.5">
      <c r="F96" s="420"/>
      <c r="G96" s="1033"/>
    </row>
    <row r="97" spans="6:7" s="409" customFormat="1" ht="13.5">
      <c r="F97" s="420"/>
      <c r="G97" s="1033"/>
    </row>
    <row r="98" spans="6:7" s="409" customFormat="1" ht="13.5">
      <c r="F98" s="420"/>
      <c r="G98" s="1033"/>
    </row>
    <row r="99" spans="6:7" s="409" customFormat="1" ht="13.5">
      <c r="F99" s="420"/>
      <c r="G99" s="1033"/>
    </row>
    <row r="100" spans="6:7" s="409" customFormat="1" ht="13.5">
      <c r="F100" s="420"/>
      <c r="G100" s="1033"/>
    </row>
    <row r="101" spans="6:7" s="409" customFormat="1" ht="13.5">
      <c r="F101" s="420"/>
      <c r="G101" s="1033"/>
    </row>
    <row r="102" spans="6:7" s="409" customFormat="1" ht="13.5">
      <c r="F102" s="420"/>
      <c r="G102" s="1033"/>
    </row>
    <row r="103" spans="6:7" s="409" customFormat="1" ht="13.5">
      <c r="F103" s="420"/>
      <c r="G103" s="1033"/>
    </row>
    <row r="104" spans="6:7" s="409" customFormat="1" ht="13.5">
      <c r="F104" s="420"/>
      <c r="G104" s="1033"/>
    </row>
    <row r="105" spans="6:7" s="409" customFormat="1" ht="13.5">
      <c r="F105" s="420"/>
      <c r="G105" s="1033"/>
    </row>
    <row r="106" spans="6:7" s="409" customFormat="1" ht="13.5">
      <c r="F106" s="420"/>
      <c r="G106" s="1033"/>
    </row>
    <row r="107" spans="6:7" s="409" customFormat="1" ht="13.5">
      <c r="F107" s="420"/>
      <c r="G107" s="1033"/>
    </row>
    <row r="108" spans="6:7" s="409" customFormat="1" ht="13.5">
      <c r="F108" s="420"/>
      <c r="G108" s="1033"/>
    </row>
    <row r="109" spans="6:7" s="409" customFormat="1" ht="13.5">
      <c r="F109" s="420"/>
      <c r="G109" s="1033"/>
    </row>
    <row r="110" spans="6:7" s="409" customFormat="1" ht="13.5">
      <c r="F110" s="420"/>
      <c r="G110" s="1033"/>
    </row>
    <row r="111" spans="6:7" s="409" customFormat="1" ht="13.5">
      <c r="F111" s="420"/>
      <c r="G111" s="1033"/>
    </row>
    <row r="112" spans="6:7" s="409" customFormat="1" ht="13.5">
      <c r="F112" s="420"/>
      <c r="G112" s="1033"/>
    </row>
    <row r="113" spans="6:7" s="409" customFormat="1" ht="13.5">
      <c r="F113" s="420"/>
      <c r="G113" s="1033"/>
    </row>
    <row r="114" spans="6:7" s="409" customFormat="1" ht="13.5">
      <c r="F114" s="420"/>
      <c r="G114" s="1033"/>
    </row>
    <row r="115" spans="6:7" s="409" customFormat="1" ht="13.5">
      <c r="F115" s="420"/>
      <c r="G115" s="1033"/>
    </row>
    <row r="116" spans="6:7" s="409" customFormat="1" ht="13.5">
      <c r="F116" s="420"/>
      <c r="G116" s="1033"/>
    </row>
    <row r="117" spans="6:7" s="409" customFormat="1" ht="13.5">
      <c r="F117" s="420"/>
      <c r="G117" s="1033"/>
    </row>
    <row r="118" spans="6:7" s="409" customFormat="1" ht="13.5">
      <c r="F118" s="420"/>
      <c r="G118" s="1033"/>
    </row>
    <row r="119" spans="6:7" s="409" customFormat="1" ht="13.5">
      <c r="F119" s="420"/>
      <c r="G119" s="1033"/>
    </row>
    <row r="120" spans="6:7" s="409" customFormat="1" ht="13.5">
      <c r="F120" s="420"/>
      <c r="G120" s="1033"/>
    </row>
    <row r="121" spans="6:7" s="409" customFormat="1" ht="13.5">
      <c r="F121" s="420"/>
      <c r="G121" s="1033"/>
    </row>
    <row r="122" spans="6:7" s="409" customFormat="1" ht="13.5">
      <c r="F122" s="420"/>
      <c r="G122" s="1033"/>
    </row>
    <row r="123" spans="6:7" s="409" customFormat="1" ht="13.5">
      <c r="F123" s="420"/>
      <c r="G123" s="1033"/>
    </row>
    <row r="124" spans="6:7" s="409" customFormat="1" ht="13.5">
      <c r="F124" s="420"/>
      <c r="G124" s="1033"/>
    </row>
    <row r="125" spans="6:7" s="409" customFormat="1" ht="13.5">
      <c r="F125" s="420"/>
      <c r="G125" s="1033"/>
    </row>
    <row r="126" spans="6:7" s="409" customFormat="1" ht="13.5">
      <c r="F126" s="420"/>
      <c r="G126" s="1033"/>
    </row>
    <row r="127" spans="6:7" s="409" customFormat="1" ht="13.5">
      <c r="F127" s="420"/>
      <c r="G127" s="1033"/>
    </row>
    <row r="128" spans="6:7" s="409" customFormat="1" ht="13.5">
      <c r="F128" s="420"/>
      <c r="G128" s="1033"/>
    </row>
    <row r="129" spans="6:7" s="409" customFormat="1" ht="13.5">
      <c r="F129" s="420"/>
      <c r="G129" s="1033"/>
    </row>
    <row r="130" spans="6:7" s="409" customFormat="1" ht="13.5">
      <c r="F130" s="420"/>
      <c r="G130" s="1033"/>
    </row>
    <row r="131" spans="6:7" s="409" customFormat="1" ht="13.5">
      <c r="F131" s="420"/>
      <c r="G131" s="1033"/>
    </row>
    <row r="132" spans="6:7" s="409" customFormat="1" ht="13.5">
      <c r="F132" s="420"/>
      <c r="G132" s="1033"/>
    </row>
    <row r="133" spans="6:7" s="409" customFormat="1" ht="13.5">
      <c r="F133" s="420"/>
      <c r="G133" s="1033"/>
    </row>
    <row r="134" spans="6:7" s="409" customFormat="1" ht="13.5">
      <c r="F134" s="420"/>
      <c r="G134" s="1033"/>
    </row>
    <row r="135" spans="6:7" s="409" customFormat="1" ht="13.5">
      <c r="F135" s="420"/>
      <c r="G135" s="1033"/>
    </row>
    <row r="136" spans="6:7" s="409" customFormat="1" ht="13.5">
      <c r="F136" s="420"/>
      <c r="G136" s="1033"/>
    </row>
    <row r="137" spans="6:7" s="409" customFormat="1" ht="13.5">
      <c r="F137" s="420"/>
      <c r="G137" s="1033"/>
    </row>
    <row r="138" spans="6:7" s="409" customFormat="1" ht="13.5">
      <c r="F138" s="420"/>
      <c r="G138" s="1033"/>
    </row>
    <row r="139" spans="6:7" s="409" customFormat="1" ht="13.5">
      <c r="F139" s="420"/>
      <c r="G139" s="1033"/>
    </row>
    <row r="140" spans="6:7" s="409" customFormat="1" ht="13.5">
      <c r="F140" s="420"/>
      <c r="G140" s="1033"/>
    </row>
    <row r="141" spans="6:7" s="409" customFormat="1" ht="13.5">
      <c r="F141" s="420"/>
      <c r="G141" s="1033"/>
    </row>
    <row r="142" spans="6:7" s="409" customFormat="1" ht="13.5">
      <c r="F142" s="420"/>
      <c r="G142" s="1033"/>
    </row>
    <row r="143" spans="6:7" s="409" customFormat="1" ht="13.5">
      <c r="F143" s="420"/>
      <c r="G143" s="1033"/>
    </row>
    <row r="144" spans="6:7" s="409" customFormat="1" ht="13.5">
      <c r="F144" s="420"/>
      <c r="G144" s="1033"/>
    </row>
    <row r="145" spans="6:7" s="409" customFormat="1" ht="13.5">
      <c r="F145" s="420"/>
      <c r="G145" s="1033"/>
    </row>
    <row r="146" spans="6:7" s="409" customFormat="1" ht="13.5">
      <c r="F146" s="420"/>
      <c r="G146" s="1033"/>
    </row>
    <row r="147" spans="6:7" s="409" customFormat="1" ht="13.5">
      <c r="F147" s="420"/>
      <c r="G147" s="1033"/>
    </row>
    <row r="148" spans="6:7" s="409" customFormat="1" ht="13.5">
      <c r="F148" s="420"/>
      <c r="G148" s="1033"/>
    </row>
    <row r="149" spans="6:7" s="409" customFormat="1" ht="13.5">
      <c r="F149" s="420"/>
      <c r="G149" s="1033"/>
    </row>
    <row r="150" spans="6:7" s="409" customFormat="1" ht="13.5">
      <c r="F150" s="420"/>
      <c r="G150" s="1033"/>
    </row>
    <row r="151" spans="6:7" s="409" customFormat="1" ht="13.5">
      <c r="F151" s="420"/>
      <c r="G151" s="1033"/>
    </row>
    <row r="152" spans="6:7" s="409" customFormat="1" ht="13.5">
      <c r="F152" s="420"/>
      <c r="G152" s="1033"/>
    </row>
    <row r="153" spans="6:7" s="409" customFormat="1" ht="13.5">
      <c r="F153" s="420"/>
      <c r="G153" s="1033"/>
    </row>
    <row r="154" spans="6:7" s="409" customFormat="1" ht="13.5">
      <c r="F154" s="420"/>
      <c r="G154" s="1033"/>
    </row>
    <row r="155" spans="6:7" s="409" customFormat="1" ht="13.5">
      <c r="F155" s="420"/>
      <c r="G155" s="1033"/>
    </row>
    <row r="156" spans="6:7" s="409" customFormat="1" ht="13.5">
      <c r="F156" s="420"/>
      <c r="G156" s="1033"/>
    </row>
    <row r="157" spans="6:7" s="409" customFormat="1" ht="13.5">
      <c r="F157" s="420"/>
      <c r="G157" s="1033"/>
    </row>
    <row r="158" spans="6:7" s="409" customFormat="1" ht="13.5">
      <c r="F158" s="420"/>
      <c r="G158" s="1033"/>
    </row>
    <row r="159" spans="6:7" s="409" customFormat="1" ht="13.5">
      <c r="F159" s="420"/>
      <c r="G159" s="1033"/>
    </row>
    <row r="160" spans="6:7" s="409" customFormat="1" ht="13.5">
      <c r="F160" s="420"/>
      <c r="G160" s="1033"/>
    </row>
    <row r="161" spans="6:7" s="409" customFormat="1" ht="13.5">
      <c r="F161" s="420"/>
      <c r="G161" s="1033"/>
    </row>
    <row r="162" spans="6:7" s="409" customFormat="1" ht="13.5">
      <c r="F162" s="420"/>
      <c r="G162" s="1033"/>
    </row>
    <row r="163" spans="6:7" s="409" customFormat="1" ht="13.5">
      <c r="F163" s="420"/>
      <c r="G163" s="1033"/>
    </row>
    <row r="164" spans="6:7" s="409" customFormat="1" ht="13.5">
      <c r="F164" s="420"/>
      <c r="G164" s="1033"/>
    </row>
    <row r="165" spans="6:7" s="409" customFormat="1" ht="13.5">
      <c r="F165" s="420"/>
      <c r="G165" s="1033"/>
    </row>
    <row r="166" spans="6:7" s="409" customFormat="1" ht="13.5">
      <c r="F166" s="420"/>
      <c r="G166" s="1033"/>
    </row>
    <row r="167" spans="6:7" s="409" customFormat="1" ht="13.5">
      <c r="F167" s="420"/>
      <c r="G167" s="1033"/>
    </row>
    <row r="168" spans="6:7" s="409" customFormat="1" ht="13.5">
      <c r="F168" s="420"/>
      <c r="G168" s="1033"/>
    </row>
    <row r="169" spans="6:7" s="409" customFormat="1" ht="13.5">
      <c r="F169" s="420"/>
      <c r="G169" s="1033"/>
    </row>
    <row r="170" spans="6:7" s="409" customFormat="1" ht="13.5">
      <c r="F170" s="420"/>
      <c r="G170" s="1033"/>
    </row>
    <row r="171" spans="6:7" s="409" customFormat="1" ht="13.5">
      <c r="F171" s="420"/>
      <c r="G171" s="1033"/>
    </row>
    <row r="172" spans="6:7" s="409" customFormat="1" ht="13.5">
      <c r="F172" s="420"/>
      <c r="G172" s="1033"/>
    </row>
    <row r="173" spans="6:7" s="409" customFormat="1" ht="13.5">
      <c r="F173" s="420"/>
      <c r="G173" s="1033"/>
    </row>
    <row r="174" spans="6:7" s="409" customFormat="1" ht="13.5">
      <c r="F174" s="420"/>
      <c r="G174" s="1033"/>
    </row>
    <row r="175" spans="6:7" s="409" customFormat="1" ht="13.5">
      <c r="F175" s="420"/>
      <c r="G175" s="1033"/>
    </row>
    <row r="176" spans="6:7" s="409" customFormat="1" ht="13.5">
      <c r="F176" s="420"/>
      <c r="G176" s="1033"/>
    </row>
    <row r="177" spans="6:7" s="409" customFormat="1" ht="13.5">
      <c r="F177" s="420"/>
      <c r="G177" s="1033"/>
    </row>
    <row r="178" spans="6:7" s="409" customFormat="1" ht="13.5">
      <c r="F178" s="420"/>
      <c r="G178" s="1033"/>
    </row>
    <row r="179" spans="6:7" s="409" customFormat="1" ht="13.5">
      <c r="F179" s="420"/>
      <c r="G179" s="1033"/>
    </row>
    <row r="180" spans="6:7" s="409" customFormat="1" ht="13.5">
      <c r="F180" s="420"/>
      <c r="G180" s="1033"/>
    </row>
    <row r="181" spans="6:7" s="409" customFormat="1" ht="13.5">
      <c r="F181" s="420"/>
      <c r="G181" s="1033"/>
    </row>
    <row r="182" spans="6:7" s="409" customFormat="1" ht="13.5">
      <c r="F182" s="420"/>
      <c r="G182" s="1033"/>
    </row>
    <row r="183" spans="6:7" s="409" customFormat="1" ht="13.5">
      <c r="F183" s="420"/>
      <c r="G183" s="1033"/>
    </row>
    <row r="184" spans="6:7" s="409" customFormat="1" ht="13.5">
      <c r="F184" s="420"/>
      <c r="G184" s="1033"/>
    </row>
    <row r="185" spans="6:7" s="409" customFormat="1" ht="13.5">
      <c r="F185" s="420"/>
      <c r="G185" s="1033"/>
    </row>
    <row r="186" spans="6:7" s="409" customFormat="1" ht="13.5">
      <c r="F186" s="420"/>
      <c r="G186" s="1033"/>
    </row>
    <row r="187" spans="6:7" s="409" customFormat="1" ht="13.5">
      <c r="F187" s="420"/>
      <c r="G187" s="1033"/>
    </row>
    <row r="188" spans="6:7" s="409" customFormat="1" ht="13.5">
      <c r="F188" s="420"/>
      <c r="G188" s="1033"/>
    </row>
    <row r="189" spans="6:7" s="409" customFormat="1" ht="13.5">
      <c r="F189" s="420"/>
      <c r="G189" s="1033"/>
    </row>
    <row r="190" spans="6:7" s="409" customFormat="1" ht="13.5">
      <c r="F190" s="420"/>
      <c r="G190" s="1033"/>
    </row>
    <row r="191" spans="6:7" s="409" customFormat="1" ht="13.5">
      <c r="F191" s="420"/>
      <c r="G191" s="1033"/>
    </row>
    <row r="192" spans="6:7" s="409" customFormat="1" ht="13.5">
      <c r="F192" s="420"/>
      <c r="G192" s="1033"/>
    </row>
    <row r="193" spans="6:7" s="409" customFormat="1" ht="13.5">
      <c r="F193" s="420"/>
      <c r="G193" s="1033"/>
    </row>
    <row r="194" spans="6:7" s="409" customFormat="1" ht="13.5">
      <c r="F194" s="420"/>
      <c r="G194" s="1033"/>
    </row>
    <row r="195" spans="6:7" s="409" customFormat="1" ht="13.5">
      <c r="F195" s="420"/>
      <c r="G195" s="1033"/>
    </row>
    <row r="196" spans="6:7" s="409" customFormat="1" ht="13.5">
      <c r="F196" s="420"/>
      <c r="G196" s="1033"/>
    </row>
    <row r="197" spans="6:7" s="409" customFormat="1" ht="13.5">
      <c r="F197" s="420"/>
      <c r="G197" s="1033"/>
    </row>
    <row r="198" spans="6:7" s="409" customFormat="1" ht="13.5">
      <c r="F198" s="420"/>
      <c r="G198" s="1033"/>
    </row>
    <row r="199" spans="6:7" s="409" customFormat="1" ht="13.5">
      <c r="F199" s="420"/>
      <c r="G199" s="1033"/>
    </row>
    <row r="200" spans="6:7" s="409" customFormat="1" ht="13.5">
      <c r="F200" s="420"/>
      <c r="G200" s="1033"/>
    </row>
    <row r="201" spans="6:7" s="409" customFormat="1" ht="13.5">
      <c r="F201" s="420"/>
      <c r="G201" s="1033"/>
    </row>
    <row r="202" spans="6:7" s="409" customFormat="1" ht="13.5">
      <c r="F202" s="420"/>
      <c r="G202" s="1033"/>
    </row>
    <row r="203" spans="6:7" s="409" customFormat="1" ht="13.5">
      <c r="F203" s="420"/>
      <c r="G203" s="1033"/>
    </row>
    <row r="204" spans="6:7" s="409" customFormat="1" ht="13.5">
      <c r="F204" s="420"/>
      <c r="G204" s="1033"/>
    </row>
    <row r="205" spans="6:7" s="409" customFormat="1" ht="13.5">
      <c r="F205" s="420"/>
      <c r="G205" s="1033"/>
    </row>
    <row r="206" spans="6:7" s="409" customFormat="1" ht="13.5">
      <c r="F206" s="420"/>
      <c r="G206" s="1033"/>
    </row>
    <row r="207" spans="6:7" s="409" customFormat="1" ht="13.5">
      <c r="F207" s="420"/>
      <c r="G207" s="1033"/>
    </row>
    <row r="208" spans="6:7" s="409" customFormat="1" ht="13.5">
      <c r="F208" s="420"/>
      <c r="G208" s="1033"/>
    </row>
    <row r="209" spans="6:7" s="409" customFormat="1" ht="13.5">
      <c r="F209" s="420"/>
      <c r="G209" s="1033"/>
    </row>
    <row r="210" spans="6:7" s="409" customFormat="1" ht="13.5">
      <c r="F210" s="420"/>
      <c r="G210" s="1033"/>
    </row>
    <row r="211" spans="6:7" s="409" customFormat="1" ht="13.5">
      <c r="F211" s="420"/>
      <c r="G211" s="1033"/>
    </row>
    <row r="212" spans="6:7" s="409" customFormat="1" ht="13.5">
      <c r="F212" s="420"/>
      <c r="G212" s="1033"/>
    </row>
    <row r="213" spans="6:7" s="409" customFormat="1" ht="13.5">
      <c r="F213" s="420"/>
      <c r="G213" s="1033"/>
    </row>
    <row r="214" spans="6:7" s="409" customFormat="1" ht="13.5">
      <c r="F214" s="420"/>
      <c r="G214" s="1033"/>
    </row>
    <row r="215" spans="6:7" s="409" customFormat="1" ht="13.5">
      <c r="F215" s="420"/>
      <c r="G215" s="1033"/>
    </row>
    <row r="216" spans="6:7" s="409" customFormat="1" ht="13.5">
      <c r="F216" s="420"/>
      <c r="G216" s="1033"/>
    </row>
    <row r="217" spans="6:7" s="409" customFormat="1" ht="13.5">
      <c r="F217" s="420"/>
      <c r="G217" s="1033"/>
    </row>
    <row r="218" spans="6:7" s="409" customFormat="1" ht="13.5">
      <c r="F218" s="420"/>
      <c r="G218" s="1033"/>
    </row>
    <row r="219" spans="6:7" s="409" customFormat="1" ht="13.5">
      <c r="F219" s="420"/>
      <c r="G219" s="1033"/>
    </row>
    <row r="220" spans="6:7" s="409" customFormat="1" ht="13.5">
      <c r="F220" s="420"/>
      <c r="G220" s="1033"/>
    </row>
    <row r="221" spans="6:7" s="409" customFormat="1" ht="13.5">
      <c r="F221" s="420"/>
      <c r="G221" s="1033"/>
    </row>
    <row r="222" spans="6:7" s="409" customFormat="1" ht="13.5">
      <c r="F222" s="420"/>
      <c r="G222" s="1033"/>
    </row>
    <row r="223" spans="6:7" s="409" customFormat="1" ht="13.5">
      <c r="F223" s="420"/>
      <c r="G223" s="1033"/>
    </row>
    <row r="224" spans="6:7" s="409" customFormat="1" ht="13.5">
      <c r="F224" s="420"/>
      <c r="G224" s="1033"/>
    </row>
    <row r="225" spans="6:7" s="409" customFormat="1" ht="13.5">
      <c r="F225" s="420"/>
      <c r="G225" s="1033"/>
    </row>
    <row r="226" spans="6:7" s="409" customFormat="1" ht="13.5">
      <c r="F226" s="420"/>
      <c r="G226" s="1033"/>
    </row>
    <row r="227" spans="6:7" s="409" customFormat="1" ht="13.5">
      <c r="F227" s="420"/>
      <c r="G227" s="1033"/>
    </row>
    <row r="228" spans="6:7" s="409" customFormat="1" ht="13.5">
      <c r="F228" s="420"/>
      <c r="G228" s="1033"/>
    </row>
    <row r="229" spans="6:7" s="409" customFormat="1" ht="13.5">
      <c r="F229" s="420"/>
      <c r="G229" s="1033"/>
    </row>
    <row r="230" spans="6:7" s="409" customFormat="1" ht="13.5">
      <c r="F230" s="420"/>
      <c r="G230" s="1033"/>
    </row>
    <row r="231" spans="6:7" s="409" customFormat="1" ht="13.5">
      <c r="F231" s="420"/>
      <c r="G231" s="1033"/>
    </row>
    <row r="232" spans="6:7" s="409" customFormat="1" ht="13.5">
      <c r="F232" s="420"/>
      <c r="G232" s="1033"/>
    </row>
    <row r="233" spans="6:7" s="409" customFormat="1" ht="13.5">
      <c r="F233" s="420"/>
      <c r="G233" s="1033"/>
    </row>
    <row r="234" spans="6:7" s="409" customFormat="1" ht="13.5">
      <c r="F234" s="420"/>
      <c r="G234" s="1033"/>
    </row>
    <row r="235" spans="6:7" s="409" customFormat="1" ht="13.5">
      <c r="F235" s="420"/>
      <c r="G235" s="1033"/>
    </row>
    <row r="236" spans="6:7" s="409" customFormat="1" ht="13.5">
      <c r="F236" s="420"/>
      <c r="G236" s="1033"/>
    </row>
    <row r="237" spans="6:7" s="409" customFormat="1" ht="13.5">
      <c r="F237" s="420"/>
      <c r="G237" s="1033"/>
    </row>
    <row r="238" spans="6:7" s="409" customFormat="1" ht="13.5">
      <c r="F238" s="420"/>
      <c r="G238" s="1033"/>
    </row>
    <row r="239" spans="6:7" s="409" customFormat="1" ht="13.5">
      <c r="F239" s="420"/>
      <c r="G239" s="1033"/>
    </row>
    <row r="240" spans="6:7" s="409" customFormat="1" ht="13.5">
      <c r="F240" s="420"/>
      <c r="G240" s="1033"/>
    </row>
    <row r="241" spans="6:7" s="409" customFormat="1" ht="13.5">
      <c r="F241" s="420"/>
      <c r="G241" s="1033"/>
    </row>
    <row r="242" spans="6:7" s="409" customFormat="1" ht="13.5">
      <c r="F242" s="420"/>
      <c r="G242" s="1033"/>
    </row>
    <row r="243" spans="6:7" s="409" customFormat="1" ht="13.5">
      <c r="F243" s="420"/>
      <c r="G243" s="1033"/>
    </row>
    <row r="244" spans="6:7" s="409" customFormat="1" ht="13.5">
      <c r="F244" s="420"/>
      <c r="G244" s="1033"/>
    </row>
    <row r="245" spans="6:7" s="409" customFormat="1" ht="13.5">
      <c r="F245" s="420"/>
      <c r="G245" s="1033"/>
    </row>
    <row r="246" spans="6:7" s="409" customFormat="1" ht="13.5">
      <c r="F246" s="420"/>
      <c r="G246" s="1033"/>
    </row>
    <row r="247" spans="6:7" s="409" customFormat="1" ht="13.5">
      <c r="F247" s="420"/>
      <c r="G247" s="1033"/>
    </row>
    <row r="248" spans="6:7" s="409" customFormat="1" ht="13.5">
      <c r="F248" s="420"/>
      <c r="G248" s="1033"/>
    </row>
    <row r="249" spans="6:7" s="409" customFormat="1" ht="13.5">
      <c r="F249" s="420"/>
      <c r="G249" s="1033"/>
    </row>
    <row r="250" spans="6:7" s="409" customFormat="1" ht="13.5">
      <c r="F250" s="420"/>
      <c r="G250" s="1033"/>
    </row>
    <row r="251" spans="6:7" s="409" customFormat="1" ht="13.5">
      <c r="F251" s="420"/>
      <c r="G251" s="1033"/>
    </row>
    <row r="252" spans="6:7" s="409" customFormat="1" ht="13.5">
      <c r="F252" s="420"/>
      <c r="G252" s="1033"/>
    </row>
    <row r="253" spans="6:7" s="409" customFormat="1" ht="13.5">
      <c r="F253" s="420"/>
      <c r="G253" s="1033"/>
    </row>
    <row r="254" spans="6:7" s="409" customFormat="1" ht="13.5">
      <c r="F254" s="420"/>
      <c r="G254" s="1033"/>
    </row>
    <row r="255" spans="6:7" s="409" customFormat="1" ht="13.5">
      <c r="F255" s="420"/>
      <c r="G255" s="1033"/>
    </row>
    <row r="256" spans="6:7" s="409" customFormat="1" ht="13.5">
      <c r="F256" s="420"/>
      <c r="G256" s="1033"/>
    </row>
    <row r="257" spans="6:7" s="409" customFormat="1" ht="13.5">
      <c r="F257" s="420"/>
      <c r="G257" s="1033"/>
    </row>
    <row r="258" spans="6:7" s="409" customFormat="1" ht="13.5">
      <c r="F258" s="420"/>
      <c r="G258" s="1033"/>
    </row>
    <row r="259" spans="6:7" s="409" customFormat="1" ht="13.5">
      <c r="F259" s="420"/>
      <c r="G259" s="1033"/>
    </row>
    <row r="260" spans="6:7" s="409" customFormat="1" ht="13.5">
      <c r="F260" s="420"/>
      <c r="G260" s="1033"/>
    </row>
    <row r="261" spans="6:7" s="409" customFormat="1" ht="13.5">
      <c r="F261" s="420"/>
      <c r="G261" s="1033"/>
    </row>
    <row r="262" spans="6:7" s="409" customFormat="1" ht="13.5">
      <c r="F262" s="420"/>
      <c r="G262" s="1033"/>
    </row>
    <row r="263" spans="6:7" s="409" customFormat="1" ht="13.5">
      <c r="F263" s="420"/>
      <c r="G263" s="1033"/>
    </row>
    <row r="264" spans="6:7" s="409" customFormat="1" ht="13.5">
      <c r="F264" s="420"/>
      <c r="G264" s="1033"/>
    </row>
    <row r="265" spans="6:7" s="409" customFormat="1" ht="13.5">
      <c r="F265" s="420"/>
      <c r="G265" s="1033"/>
    </row>
    <row r="266" spans="6:7" s="409" customFormat="1" ht="13.5">
      <c r="F266" s="420"/>
      <c r="G266" s="1033"/>
    </row>
    <row r="267" spans="6:7" s="409" customFormat="1" ht="13.5">
      <c r="F267" s="420"/>
      <c r="G267" s="1033"/>
    </row>
    <row r="268" spans="6:7" s="409" customFormat="1" ht="13.5">
      <c r="F268" s="420"/>
      <c r="G268" s="1033"/>
    </row>
    <row r="269" spans="6:7" s="409" customFormat="1" ht="13.5">
      <c r="F269" s="420"/>
      <c r="G269" s="1033"/>
    </row>
    <row r="270" spans="6:7" s="409" customFormat="1" ht="13.5">
      <c r="F270" s="420"/>
      <c r="G270" s="1033"/>
    </row>
    <row r="271" spans="6:7" s="409" customFormat="1" ht="13.5">
      <c r="F271" s="420"/>
      <c r="G271" s="1033"/>
    </row>
    <row r="272" spans="6:7" s="409" customFormat="1" ht="13.5">
      <c r="F272" s="420"/>
      <c r="G272" s="1033"/>
    </row>
    <row r="273" spans="6:7" s="409" customFormat="1" ht="13.5">
      <c r="F273" s="420"/>
      <c r="G273" s="1033"/>
    </row>
    <row r="274" spans="6:7" s="409" customFormat="1" ht="13.5">
      <c r="F274" s="420"/>
      <c r="G274" s="1033"/>
    </row>
    <row r="275" spans="6:7" s="409" customFormat="1" ht="13.5">
      <c r="F275" s="420"/>
      <c r="G275" s="1033"/>
    </row>
    <row r="276" spans="6:7" s="409" customFormat="1" ht="13.5">
      <c r="F276" s="420"/>
      <c r="G276" s="1033"/>
    </row>
    <row r="277" spans="6:7" s="409" customFormat="1" ht="13.5">
      <c r="F277" s="420"/>
      <c r="G277" s="1033"/>
    </row>
    <row r="278" spans="6:7" s="409" customFormat="1" ht="13.5">
      <c r="F278" s="420"/>
      <c r="G278" s="1033"/>
    </row>
    <row r="279" spans="6:7" s="409" customFormat="1" ht="13.5">
      <c r="F279" s="420"/>
      <c r="G279" s="1033"/>
    </row>
    <row r="280" spans="6:7" s="409" customFormat="1" ht="13.5">
      <c r="F280" s="420"/>
      <c r="G280" s="1033"/>
    </row>
    <row r="281" spans="6:7" s="409" customFormat="1" ht="13.5">
      <c r="F281" s="420"/>
      <c r="G281" s="1033"/>
    </row>
    <row r="282" spans="6:7" s="409" customFormat="1" ht="13.5">
      <c r="F282" s="420"/>
      <c r="G282" s="1033"/>
    </row>
    <row r="283" spans="6:7" s="409" customFormat="1" ht="13.5">
      <c r="F283" s="420"/>
      <c r="G283" s="1033"/>
    </row>
    <row r="284" spans="6:7" s="409" customFormat="1" ht="13.5">
      <c r="F284" s="420"/>
      <c r="G284" s="1033"/>
    </row>
    <row r="285" spans="6:7" s="409" customFormat="1" ht="13.5">
      <c r="F285" s="420"/>
      <c r="G285" s="1033"/>
    </row>
    <row r="286" spans="6:7" s="409" customFormat="1" ht="13.5">
      <c r="F286" s="420"/>
      <c r="G286" s="1033"/>
    </row>
    <row r="287" spans="6:7" s="409" customFormat="1" ht="13.5">
      <c r="F287" s="420"/>
      <c r="G287" s="1033"/>
    </row>
    <row r="288" spans="6:7" s="409" customFormat="1" ht="13.5">
      <c r="F288" s="420"/>
      <c r="G288" s="1033"/>
    </row>
    <row r="289" spans="6:7" s="409" customFormat="1" ht="13.5">
      <c r="F289" s="420"/>
      <c r="G289" s="1033"/>
    </row>
    <row r="290" spans="6:7" s="409" customFormat="1" ht="13.5">
      <c r="F290" s="420"/>
      <c r="G290" s="1033"/>
    </row>
    <row r="291" spans="6:7" s="409" customFormat="1" ht="13.5">
      <c r="F291" s="420"/>
      <c r="G291" s="1033"/>
    </row>
    <row r="292" spans="6:7" s="409" customFormat="1" ht="13.5">
      <c r="F292" s="420"/>
      <c r="G292" s="1033"/>
    </row>
    <row r="293" spans="6:7" s="409" customFormat="1" ht="13.5">
      <c r="F293" s="420"/>
      <c r="G293" s="1033"/>
    </row>
    <row r="294" spans="6:7" s="409" customFormat="1" ht="13.5">
      <c r="F294" s="420"/>
      <c r="G294" s="1033"/>
    </row>
    <row r="295" spans="6:7" s="409" customFormat="1" ht="13.5">
      <c r="F295" s="420"/>
      <c r="G295" s="1033"/>
    </row>
    <row r="296" spans="6:7" s="409" customFormat="1" ht="13.5">
      <c r="F296" s="420"/>
      <c r="G296" s="1033"/>
    </row>
    <row r="297" spans="6:7" s="409" customFormat="1" ht="13.5">
      <c r="F297" s="420"/>
      <c r="G297" s="1033"/>
    </row>
    <row r="298" spans="6:7" s="409" customFormat="1" ht="13.5">
      <c r="F298" s="420"/>
      <c r="G298" s="1033"/>
    </row>
    <row r="299" spans="6:7" s="409" customFormat="1" ht="13.5">
      <c r="F299" s="420"/>
      <c r="G299" s="1033"/>
    </row>
    <row r="300" spans="6:7" s="409" customFormat="1" ht="13.5">
      <c r="F300" s="420"/>
      <c r="G300" s="1033"/>
    </row>
    <row r="301" spans="6:7" s="409" customFormat="1" ht="13.5">
      <c r="F301" s="420"/>
      <c r="G301" s="1033"/>
    </row>
    <row r="302" spans="6:7" s="409" customFormat="1" ht="13.5">
      <c r="F302" s="420"/>
      <c r="G302" s="1033"/>
    </row>
    <row r="303" spans="6:7" s="409" customFormat="1" ht="13.5">
      <c r="F303" s="420"/>
      <c r="G303" s="1033"/>
    </row>
    <row r="304" spans="6:7" s="409" customFormat="1" ht="13.5">
      <c r="F304" s="420"/>
      <c r="G304" s="1033"/>
    </row>
    <row r="305" spans="6:7" s="409" customFormat="1" ht="13.5">
      <c r="F305" s="420"/>
      <c r="G305" s="1033"/>
    </row>
    <row r="306" spans="6:7" s="409" customFormat="1" ht="13.5">
      <c r="F306" s="420"/>
      <c r="G306" s="1033"/>
    </row>
    <row r="307" spans="6:7" s="409" customFormat="1" ht="13.5">
      <c r="F307" s="420"/>
      <c r="G307" s="1033"/>
    </row>
    <row r="308" spans="6:7" s="409" customFormat="1" ht="13.5">
      <c r="F308" s="420"/>
      <c r="G308" s="1033"/>
    </row>
    <row r="309" spans="6:7" s="409" customFormat="1" ht="13.5">
      <c r="F309" s="420"/>
      <c r="G309" s="1033"/>
    </row>
    <row r="310" spans="6:7" s="409" customFormat="1" ht="13.5">
      <c r="F310" s="420"/>
      <c r="G310" s="1033"/>
    </row>
    <row r="311" spans="6:7" s="409" customFormat="1" ht="13.5">
      <c r="F311" s="420"/>
      <c r="G311" s="1033"/>
    </row>
    <row r="312" spans="6:7" s="409" customFormat="1" ht="13.5">
      <c r="F312" s="420"/>
      <c r="G312" s="1033"/>
    </row>
    <row r="313" spans="6:7" s="409" customFormat="1" ht="13.5">
      <c r="F313" s="420"/>
      <c r="G313" s="1033"/>
    </row>
    <row r="314" spans="6:7" s="409" customFormat="1" ht="13.5">
      <c r="F314" s="420"/>
      <c r="G314" s="1033"/>
    </row>
    <row r="315" spans="6:7" s="409" customFormat="1" ht="13.5">
      <c r="F315" s="420"/>
      <c r="G315" s="1033"/>
    </row>
    <row r="316" spans="6:7" s="409" customFormat="1" ht="13.5">
      <c r="F316" s="420"/>
      <c r="G316" s="1033"/>
    </row>
    <row r="317" spans="6:7" s="409" customFormat="1" ht="13.5">
      <c r="F317" s="420"/>
      <c r="G317" s="1033"/>
    </row>
    <row r="318" spans="6:7" s="409" customFormat="1" ht="13.5">
      <c r="F318" s="420"/>
      <c r="G318" s="1033"/>
    </row>
    <row r="319" spans="6:7" s="409" customFormat="1" ht="13.5">
      <c r="F319" s="420"/>
      <c r="G319" s="1033"/>
    </row>
    <row r="320" spans="6:7" s="409" customFormat="1" ht="13.5">
      <c r="F320" s="420"/>
      <c r="G320" s="1033"/>
    </row>
    <row r="321" spans="6:7" s="409" customFormat="1" ht="13.5">
      <c r="F321" s="420"/>
      <c r="G321" s="1033"/>
    </row>
    <row r="322" spans="6:7" s="409" customFormat="1" ht="13.5">
      <c r="F322" s="420"/>
      <c r="G322" s="1033"/>
    </row>
    <row r="323" spans="6:7" s="409" customFormat="1" ht="13.5">
      <c r="F323" s="420"/>
      <c r="G323" s="1033"/>
    </row>
    <row r="324" spans="6:7" s="409" customFormat="1" ht="13.5">
      <c r="F324" s="420"/>
      <c r="G324" s="1033"/>
    </row>
    <row r="325" spans="6:7" s="409" customFormat="1" ht="13.5">
      <c r="F325" s="420"/>
      <c r="G325" s="1033"/>
    </row>
    <row r="326" spans="6:7" s="409" customFormat="1" ht="13.5">
      <c r="F326" s="420"/>
      <c r="G326" s="1033"/>
    </row>
    <row r="327" spans="6:7" s="409" customFormat="1" ht="13.5">
      <c r="F327" s="420"/>
      <c r="G327" s="1033"/>
    </row>
    <row r="328" spans="6:7" s="409" customFormat="1" ht="13.5">
      <c r="F328" s="420"/>
      <c r="G328" s="1033"/>
    </row>
    <row r="329" spans="6:7" s="409" customFormat="1" ht="13.5">
      <c r="F329" s="420"/>
      <c r="G329" s="1033"/>
    </row>
    <row r="330" spans="6:7" s="409" customFormat="1" ht="13.5">
      <c r="F330" s="420"/>
      <c r="G330" s="1033"/>
    </row>
    <row r="331" spans="6:7" s="409" customFormat="1" ht="13.5">
      <c r="F331" s="420"/>
      <c r="G331" s="1033"/>
    </row>
    <row r="332" spans="6:7" s="409" customFormat="1" ht="13.5">
      <c r="F332" s="420"/>
      <c r="G332" s="1033"/>
    </row>
    <row r="333" spans="6:7" s="409" customFormat="1" ht="13.5">
      <c r="F333" s="420"/>
      <c r="G333" s="1033"/>
    </row>
    <row r="334" spans="6:7" s="409" customFormat="1" ht="13.5">
      <c r="F334" s="420"/>
      <c r="G334" s="1033"/>
    </row>
    <row r="335" spans="6:7" s="409" customFormat="1" ht="13.5">
      <c r="F335" s="420"/>
      <c r="G335" s="1033"/>
    </row>
    <row r="336" spans="6:7" s="409" customFormat="1" ht="13.5">
      <c r="F336" s="420"/>
      <c r="G336" s="1033"/>
    </row>
    <row r="337" spans="6:7" s="409" customFormat="1" ht="13.5">
      <c r="F337" s="420"/>
      <c r="G337" s="1033"/>
    </row>
    <row r="338" spans="6:7" s="409" customFormat="1" ht="13.5">
      <c r="F338" s="420"/>
      <c r="G338" s="1033"/>
    </row>
    <row r="339" spans="6:7" s="409" customFormat="1" ht="13.5">
      <c r="F339" s="420"/>
      <c r="G339" s="1033"/>
    </row>
    <row r="340" spans="6:7" s="409" customFormat="1" ht="13.5">
      <c r="F340" s="420"/>
      <c r="G340" s="1033"/>
    </row>
    <row r="341" spans="6:7" s="409" customFormat="1" ht="13.5">
      <c r="F341" s="420"/>
      <c r="G341" s="1033"/>
    </row>
    <row r="342" spans="6:7" s="409" customFormat="1" ht="13.5">
      <c r="F342" s="420"/>
      <c r="G342" s="1033"/>
    </row>
    <row r="343" spans="6:7" s="409" customFormat="1" ht="13.5">
      <c r="F343" s="420"/>
      <c r="G343" s="1033"/>
    </row>
    <row r="344" spans="6:7" s="409" customFormat="1" ht="13.5">
      <c r="F344" s="420"/>
      <c r="G344" s="1033"/>
    </row>
    <row r="345" spans="6:7" s="409" customFormat="1" ht="13.5">
      <c r="F345" s="420"/>
      <c r="G345" s="1033"/>
    </row>
    <row r="346" spans="6:7" s="409" customFormat="1" ht="13.5">
      <c r="F346" s="420"/>
      <c r="G346" s="1033"/>
    </row>
    <row r="347" spans="6:7" s="409" customFormat="1" ht="13.5">
      <c r="F347" s="420"/>
      <c r="G347" s="1033"/>
    </row>
    <row r="348" spans="6:7" s="409" customFormat="1" ht="13.5">
      <c r="F348" s="420"/>
      <c r="G348" s="1033"/>
    </row>
    <row r="349" spans="6:7" s="409" customFormat="1" ht="13.5">
      <c r="F349" s="420"/>
      <c r="G349" s="1033"/>
    </row>
    <row r="350" spans="6:7" s="409" customFormat="1" ht="13.5">
      <c r="F350" s="420"/>
      <c r="G350" s="1033"/>
    </row>
    <row r="351" spans="6:7" s="409" customFormat="1" ht="13.5">
      <c r="F351" s="420"/>
      <c r="G351" s="1033"/>
    </row>
    <row r="352" spans="6:7" s="409" customFormat="1" ht="13.5">
      <c r="F352" s="420"/>
      <c r="G352" s="1033"/>
    </row>
    <row r="353" spans="6:7" s="409" customFormat="1" ht="13.5">
      <c r="F353" s="420"/>
      <c r="G353" s="1033"/>
    </row>
    <row r="354" spans="6:7" s="409" customFormat="1" ht="13.5">
      <c r="F354" s="420"/>
      <c r="G354" s="1033"/>
    </row>
    <row r="355" spans="6:7" s="409" customFormat="1" ht="13.5">
      <c r="F355" s="420"/>
      <c r="G355" s="1033"/>
    </row>
    <row r="356" spans="6:7" s="409" customFormat="1" ht="13.5">
      <c r="F356" s="420"/>
      <c r="G356" s="1033"/>
    </row>
    <row r="357" spans="6:7" s="409" customFormat="1" ht="13.5">
      <c r="F357" s="420"/>
      <c r="G357" s="1033"/>
    </row>
    <row r="358" spans="6:7" s="409" customFormat="1" ht="13.5">
      <c r="F358" s="420"/>
      <c r="G358" s="1033"/>
    </row>
    <row r="359" spans="6:7" s="409" customFormat="1" ht="13.5">
      <c r="F359" s="420"/>
      <c r="G359" s="1033"/>
    </row>
    <row r="360" spans="6:7" s="409" customFormat="1" ht="13.5">
      <c r="F360" s="420"/>
      <c r="G360" s="1033"/>
    </row>
    <row r="361" spans="6:7" s="409" customFormat="1" ht="13.5">
      <c r="F361" s="420"/>
      <c r="G361" s="1033"/>
    </row>
    <row r="362" spans="6:7" s="409" customFormat="1" ht="13.5">
      <c r="F362" s="420"/>
      <c r="G362" s="1033"/>
    </row>
    <row r="363" spans="6:7" s="409" customFormat="1" ht="13.5">
      <c r="F363" s="420"/>
      <c r="G363" s="1033"/>
    </row>
    <row r="364" spans="6:7" s="409" customFormat="1" ht="13.5">
      <c r="F364" s="420"/>
      <c r="G364" s="1033"/>
    </row>
    <row r="365" spans="6:7" s="409" customFormat="1" ht="13.5">
      <c r="F365" s="420"/>
      <c r="G365" s="1033"/>
    </row>
    <row r="366" spans="6:7" s="409" customFormat="1" ht="13.5">
      <c r="F366" s="420"/>
      <c r="G366" s="1033"/>
    </row>
    <row r="367" spans="6:7" s="409" customFormat="1" ht="13.5">
      <c r="F367" s="420"/>
      <c r="G367" s="1033"/>
    </row>
    <row r="368" spans="6:7" s="409" customFormat="1" ht="13.5">
      <c r="F368" s="420"/>
      <c r="G368" s="1033"/>
    </row>
    <row r="369" spans="6:7" s="409" customFormat="1" ht="13.5">
      <c r="F369" s="420"/>
      <c r="G369" s="1033"/>
    </row>
    <row r="370" spans="6:7" s="409" customFormat="1" ht="13.5">
      <c r="F370" s="420"/>
      <c r="G370" s="1033"/>
    </row>
    <row r="371" spans="6:7" s="409" customFormat="1" ht="13.5">
      <c r="F371" s="420"/>
      <c r="G371" s="1033"/>
    </row>
    <row r="372" spans="6:7" s="409" customFormat="1" ht="13.5">
      <c r="F372" s="420"/>
      <c r="G372" s="1033"/>
    </row>
    <row r="373" spans="6:7" s="409" customFormat="1" ht="13.5">
      <c r="F373" s="420"/>
      <c r="G373" s="1033"/>
    </row>
    <row r="374" spans="6:7" s="409" customFormat="1" ht="13.5">
      <c r="F374" s="420"/>
      <c r="G374" s="1033"/>
    </row>
    <row r="375" spans="6:7" s="409" customFormat="1" ht="13.5">
      <c r="F375" s="420"/>
      <c r="G375" s="1033"/>
    </row>
    <row r="376" spans="6:7" s="409" customFormat="1" ht="13.5">
      <c r="F376" s="420"/>
      <c r="G376" s="1033"/>
    </row>
    <row r="377" spans="6:7" s="409" customFormat="1" ht="13.5">
      <c r="F377" s="420"/>
      <c r="G377" s="1033"/>
    </row>
    <row r="378" spans="6:7" s="409" customFormat="1" ht="13.5">
      <c r="F378" s="420"/>
      <c r="G378" s="1033"/>
    </row>
    <row r="379" spans="6:7" s="409" customFormat="1" ht="13.5">
      <c r="F379" s="420"/>
      <c r="G379" s="1033"/>
    </row>
    <row r="380" spans="6:7" s="409" customFormat="1" ht="13.5">
      <c r="F380" s="420"/>
      <c r="G380" s="1033"/>
    </row>
    <row r="381" spans="6:7" s="409" customFormat="1" ht="13.5">
      <c r="F381" s="420"/>
      <c r="G381" s="1033"/>
    </row>
    <row r="382" spans="6:7" s="409" customFormat="1" ht="13.5">
      <c r="F382" s="420"/>
      <c r="G382" s="1033"/>
    </row>
    <row r="383" spans="6:7" s="409" customFormat="1" ht="13.5">
      <c r="F383" s="420"/>
      <c r="G383" s="1033"/>
    </row>
    <row r="384" spans="6:7" s="409" customFormat="1" ht="13.5">
      <c r="F384" s="420"/>
      <c r="G384" s="1033"/>
    </row>
    <row r="385" spans="6:7" s="409" customFormat="1" ht="13.5">
      <c r="F385" s="420"/>
      <c r="G385" s="1033"/>
    </row>
    <row r="386" spans="6:7" s="409" customFormat="1" ht="13.5">
      <c r="F386" s="420"/>
      <c r="G386" s="1033"/>
    </row>
    <row r="387" spans="6:7" s="409" customFormat="1" ht="13.5">
      <c r="F387" s="420"/>
      <c r="G387" s="1033"/>
    </row>
    <row r="388" spans="6:7" s="409" customFormat="1" ht="13.5">
      <c r="F388" s="420"/>
      <c r="G388" s="1033"/>
    </row>
    <row r="389" spans="6:7" s="409" customFormat="1" ht="13.5">
      <c r="F389" s="420"/>
      <c r="G389" s="1033"/>
    </row>
    <row r="390" spans="6:7" s="409" customFormat="1" ht="13.5">
      <c r="F390" s="420"/>
      <c r="G390" s="1033"/>
    </row>
    <row r="391" spans="6:7" s="409" customFormat="1" ht="13.5">
      <c r="F391" s="420"/>
      <c r="G391" s="1033"/>
    </row>
    <row r="392" spans="6:7" s="409" customFormat="1" ht="13.5">
      <c r="F392" s="420"/>
      <c r="G392" s="1033"/>
    </row>
    <row r="393" spans="6:7" s="409" customFormat="1" ht="13.5">
      <c r="F393" s="420"/>
      <c r="G393" s="1033"/>
    </row>
    <row r="394" spans="6:7" s="409" customFormat="1" ht="13.5">
      <c r="F394" s="420"/>
      <c r="G394" s="1033"/>
    </row>
    <row r="395" spans="6:7" s="409" customFormat="1" ht="13.5">
      <c r="F395" s="420"/>
      <c r="G395" s="1033"/>
    </row>
    <row r="396" spans="6:7" s="409" customFormat="1" ht="13.5">
      <c r="F396" s="420"/>
      <c r="G396" s="1033"/>
    </row>
    <row r="397" spans="6:7" s="409" customFormat="1" ht="13.5">
      <c r="F397" s="420"/>
      <c r="G397" s="1033"/>
    </row>
    <row r="398" spans="6:7" s="409" customFormat="1" ht="13.5">
      <c r="F398" s="420"/>
      <c r="G398" s="1033"/>
    </row>
    <row r="399" spans="6:7" s="409" customFormat="1" ht="13.5">
      <c r="F399" s="420"/>
      <c r="G399" s="1033"/>
    </row>
    <row r="400" spans="6:7" s="409" customFormat="1" ht="13.5">
      <c r="F400" s="420"/>
      <c r="G400" s="1033"/>
    </row>
    <row r="401" spans="6:7" s="409" customFormat="1" ht="13.5">
      <c r="F401" s="420"/>
      <c r="G401" s="1033"/>
    </row>
    <row r="402" spans="6:7" s="409" customFormat="1" ht="13.5">
      <c r="F402" s="420"/>
      <c r="G402" s="1033"/>
    </row>
    <row r="403" spans="6:7" s="409" customFormat="1" ht="13.5">
      <c r="F403" s="420"/>
      <c r="G403" s="1033"/>
    </row>
    <row r="404" spans="6:7" s="409" customFormat="1" ht="13.5">
      <c r="F404" s="420"/>
      <c r="G404" s="1033"/>
    </row>
    <row r="405" spans="6:7" s="409" customFormat="1" ht="13.5">
      <c r="F405" s="420"/>
      <c r="G405" s="1033"/>
    </row>
    <row r="406" spans="6:7" s="409" customFormat="1" ht="13.5">
      <c r="F406" s="420"/>
      <c r="G406" s="1033"/>
    </row>
    <row r="407" spans="6:7" s="409" customFormat="1" ht="13.5">
      <c r="F407" s="420"/>
      <c r="G407" s="1033"/>
    </row>
    <row r="408" spans="6:7" s="409" customFormat="1" ht="13.5">
      <c r="F408" s="420"/>
      <c r="G408" s="1033"/>
    </row>
    <row r="409" spans="6:7" s="409" customFormat="1" ht="13.5">
      <c r="F409" s="420"/>
      <c r="G409" s="1033"/>
    </row>
    <row r="410" spans="6:7" s="409" customFormat="1" ht="13.5">
      <c r="F410" s="420"/>
      <c r="G410" s="1033"/>
    </row>
    <row r="411" spans="6:7" s="409" customFormat="1" ht="13.5">
      <c r="F411" s="420"/>
      <c r="G411" s="1033"/>
    </row>
    <row r="412" spans="6:7" s="409" customFormat="1" ht="13.5">
      <c r="F412" s="420"/>
      <c r="G412" s="1033"/>
    </row>
    <row r="413" spans="6:7" s="409" customFormat="1" ht="13.5">
      <c r="F413" s="420"/>
      <c r="G413" s="1033"/>
    </row>
    <row r="414" spans="6:7" s="409" customFormat="1" ht="13.5">
      <c r="F414" s="420"/>
      <c r="G414" s="1033"/>
    </row>
    <row r="415" spans="6:7" s="409" customFormat="1" ht="13.5">
      <c r="F415" s="420"/>
      <c r="G415" s="1033"/>
    </row>
    <row r="416" spans="6:7" s="409" customFormat="1" ht="13.5">
      <c r="F416" s="420"/>
      <c r="G416" s="1033"/>
    </row>
    <row r="417" spans="6:7" s="409" customFormat="1" ht="13.5">
      <c r="F417" s="420"/>
      <c r="G417" s="1033"/>
    </row>
    <row r="418" spans="6:7" s="409" customFormat="1" ht="13.5">
      <c r="F418" s="420"/>
      <c r="G418" s="1033"/>
    </row>
    <row r="419" spans="6:7" s="409" customFormat="1" ht="13.5">
      <c r="F419" s="420"/>
      <c r="G419" s="1033"/>
    </row>
    <row r="420" spans="6:7" s="409" customFormat="1" ht="13.5">
      <c r="F420" s="420"/>
      <c r="G420" s="1033"/>
    </row>
    <row r="421" spans="6:7" s="409" customFormat="1" ht="13.5">
      <c r="F421" s="420"/>
      <c r="G421" s="1033"/>
    </row>
    <row r="422" spans="6:7" s="409" customFormat="1" ht="13.5">
      <c r="F422" s="420"/>
      <c r="G422" s="1033"/>
    </row>
    <row r="423" spans="6:7" s="409" customFormat="1" ht="13.5">
      <c r="F423" s="420"/>
      <c r="G423" s="1033"/>
    </row>
    <row r="424" spans="6:7" s="409" customFormat="1" ht="13.5">
      <c r="F424" s="420"/>
      <c r="G424" s="1033"/>
    </row>
    <row r="425" spans="6:7" s="409" customFormat="1" ht="13.5">
      <c r="F425" s="420"/>
      <c r="G425" s="1033"/>
    </row>
    <row r="426" spans="6:7" s="409" customFormat="1" ht="13.5">
      <c r="F426" s="420"/>
      <c r="G426" s="1033"/>
    </row>
    <row r="427" spans="6:7" s="409" customFormat="1" ht="13.5">
      <c r="F427" s="420"/>
      <c r="G427" s="1033"/>
    </row>
    <row r="428" spans="6:7" s="409" customFormat="1" ht="13.5">
      <c r="F428" s="420"/>
      <c r="G428" s="1033"/>
    </row>
    <row r="429" spans="6:7" s="409" customFormat="1" ht="13.5">
      <c r="F429" s="420"/>
      <c r="G429" s="1033"/>
    </row>
    <row r="430" spans="6:7" s="409" customFormat="1" ht="13.5">
      <c r="F430" s="420"/>
      <c r="G430" s="1033"/>
    </row>
    <row r="431" spans="6:7" s="409" customFormat="1" ht="13.5">
      <c r="F431" s="420"/>
      <c r="G431" s="1033"/>
    </row>
    <row r="432" spans="6:7" s="409" customFormat="1" ht="13.5">
      <c r="F432" s="420"/>
      <c r="G432" s="1033"/>
    </row>
    <row r="433" spans="6:7" s="409" customFormat="1" ht="13.5">
      <c r="F433" s="420"/>
      <c r="G433" s="1033"/>
    </row>
    <row r="434" spans="6:7" s="409" customFormat="1" ht="13.5">
      <c r="F434" s="420"/>
      <c r="G434" s="1033"/>
    </row>
    <row r="435" spans="6:7" s="409" customFormat="1" ht="13.5">
      <c r="F435" s="420"/>
      <c r="G435" s="1033"/>
    </row>
    <row r="436" spans="6:7" s="409" customFormat="1" ht="13.5">
      <c r="F436" s="420"/>
      <c r="G436" s="1033"/>
    </row>
    <row r="437" spans="6:7" s="409" customFormat="1" ht="13.5">
      <c r="F437" s="420"/>
      <c r="G437" s="1033"/>
    </row>
    <row r="438" spans="6:7" s="409" customFormat="1" ht="13.5">
      <c r="F438" s="420"/>
      <c r="G438" s="1033"/>
    </row>
    <row r="439" spans="6:7" s="409" customFormat="1" ht="13.5">
      <c r="F439" s="420"/>
      <c r="G439" s="1033"/>
    </row>
    <row r="440" spans="6:7" s="409" customFormat="1" ht="13.5">
      <c r="F440" s="420"/>
      <c r="G440" s="1033"/>
    </row>
    <row r="441" spans="6:7" s="409" customFormat="1" ht="13.5">
      <c r="F441" s="420"/>
      <c r="G441" s="1033"/>
    </row>
    <row r="442" spans="6:7" s="409" customFormat="1" ht="13.5">
      <c r="F442" s="420"/>
      <c r="G442" s="1033"/>
    </row>
    <row r="443" spans="6:7" s="409" customFormat="1" ht="13.5">
      <c r="F443" s="420"/>
      <c r="G443" s="1033"/>
    </row>
    <row r="444" spans="6:7" s="409" customFormat="1" ht="13.5">
      <c r="F444" s="420"/>
      <c r="G444" s="1033"/>
    </row>
    <row r="445" spans="6:7" s="409" customFormat="1" ht="13.5">
      <c r="F445" s="420"/>
      <c r="G445" s="1033"/>
    </row>
    <row r="446" spans="6:7" s="409" customFormat="1" ht="13.5">
      <c r="F446" s="420"/>
      <c r="G446" s="1033"/>
    </row>
    <row r="447" spans="6:7" s="409" customFormat="1" ht="13.5">
      <c r="F447" s="420"/>
      <c r="G447" s="1033"/>
    </row>
    <row r="448" spans="6:7" s="409" customFormat="1" ht="13.5">
      <c r="F448" s="420"/>
      <c r="G448" s="1033"/>
    </row>
    <row r="449" spans="6:7" s="409" customFormat="1" ht="13.5">
      <c r="F449" s="420"/>
      <c r="G449" s="1033"/>
    </row>
    <row r="450" spans="6:7" s="409" customFormat="1" ht="13.5">
      <c r="F450" s="420"/>
      <c r="G450" s="1033"/>
    </row>
    <row r="451" spans="6:7" s="409" customFormat="1" ht="13.5">
      <c r="F451" s="420"/>
      <c r="G451" s="1033"/>
    </row>
    <row r="452" spans="6:7" s="409" customFormat="1" ht="13.5">
      <c r="F452" s="420"/>
      <c r="G452" s="1033"/>
    </row>
    <row r="453" spans="6:7" s="409" customFormat="1" ht="13.5">
      <c r="F453" s="420"/>
      <c r="G453" s="1033"/>
    </row>
    <row r="454" spans="6:7" s="409" customFormat="1" ht="13.5">
      <c r="F454" s="420"/>
      <c r="G454" s="1033"/>
    </row>
    <row r="455" spans="6:7" s="409" customFormat="1" ht="13.5">
      <c r="F455" s="420"/>
      <c r="G455" s="1033"/>
    </row>
    <row r="456" spans="6:7" s="409" customFormat="1" ht="13.5">
      <c r="F456" s="420"/>
      <c r="G456" s="1033"/>
    </row>
    <row r="457" spans="6:7" s="409" customFormat="1" ht="13.5">
      <c r="F457" s="420"/>
      <c r="G457" s="1033"/>
    </row>
    <row r="458" spans="6:7" s="409" customFormat="1" ht="13.5">
      <c r="F458" s="420"/>
      <c r="G458" s="1033"/>
    </row>
    <row r="459" spans="6:7" s="409" customFormat="1" ht="13.5">
      <c r="F459" s="420"/>
      <c r="G459" s="1033"/>
    </row>
    <row r="460" spans="6:7" s="409" customFormat="1" ht="13.5">
      <c r="F460" s="420"/>
      <c r="G460" s="1033"/>
    </row>
    <row r="461" spans="6:7" s="409" customFormat="1" ht="13.5">
      <c r="F461" s="420"/>
      <c r="G461" s="1033"/>
    </row>
    <row r="462" spans="6:7" s="409" customFormat="1" ht="13.5">
      <c r="F462" s="420"/>
      <c r="G462" s="1033"/>
    </row>
    <row r="463" spans="6:7" s="409" customFormat="1" ht="13.5">
      <c r="F463" s="420"/>
      <c r="G463" s="1033"/>
    </row>
    <row r="464" spans="6:7" s="409" customFormat="1" ht="13.5">
      <c r="F464" s="420"/>
      <c r="G464" s="1033"/>
    </row>
    <row r="465" spans="6:7" s="409" customFormat="1" ht="13.5">
      <c r="F465" s="420"/>
      <c r="G465" s="1033"/>
    </row>
    <row r="466" spans="6:7" s="409" customFormat="1" ht="13.5">
      <c r="F466" s="420"/>
      <c r="G466" s="1033"/>
    </row>
    <row r="467" spans="6:7" s="409" customFormat="1" ht="13.5">
      <c r="F467" s="420"/>
      <c r="G467" s="1033"/>
    </row>
    <row r="468" spans="6:7" s="409" customFormat="1" ht="13.5">
      <c r="F468" s="420"/>
      <c r="G468" s="1033"/>
    </row>
    <row r="469" spans="6:7" s="409" customFormat="1" ht="13.5">
      <c r="F469" s="420"/>
      <c r="G469" s="1033"/>
    </row>
    <row r="470" spans="6:7" s="409" customFormat="1" ht="13.5">
      <c r="F470" s="420"/>
      <c r="G470" s="1033"/>
    </row>
    <row r="471" spans="6:7" s="409" customFormat="1" ht="13.5">
      <c r="F471" s="420"/>
      <c r="G471" s="1033"/>
    </row>
    <row r="472" spans="6:7" s="409" customFormat="1" ht="13.5">
      <c r="F472" s="420"/>
      <c r="G472" s="1033"/>
    </row>
    <row r="473" spans="6:7" s="409" customFormat="1" ht="13.5">
      <c r="F473" s="420"/>
      <c r="G473" s="1033"/>
    </row>
    <row r="474" spans="6:7" s="409" customFormat="1" ht="13.5">
      <c r="F474" s="420"/>
      <c r="G474" s="1033"/>
    </row>
    <row r="475" spans="6:7" s="409" customFormat="1" ht="13.5">
      <c r="F475" s="420"/>
      <c r="G475" s="1033"/>
    </row>
    <row r="476" spans="6:7" s="409" customFormat="1" ht="13.5">
      <c r="F476" s="420"/>
      <c r="G476" s="1033"/>
    </row>
    <row r="477" spans="6:7" s="409" customFormat="1" ht="13.5">
      <c r="F477" s="420"/>
      <c r="G477" s="1033"/>
    </row>
    <row r="478" spans="6:7" s="409" customFormat="1" ht="13.5">
      <c r="F478" s="420"/>
      <c r="G478" s="1033"/>
    </row>
    <row r="479" spans="6:7" s="409" customFormat="1" ht="13.5">
      <c r="F479" s="420"/>
      <c r="G479" s="1033"/>
    </row>
    <row r="480" spans="6:7" s="409" customFormat="1" ht="13.5">
      <c r="F480" s="420"/>
      <c r="G480" s="1033"/>
    </row>
    <row r="481" spans="6:7" s="409" customFormat="1" ht="13.5">
      <c r="F481" s="420"/>
      <c r="G481" s="1033"/>
    </row>
    <row r="482" spans="6:7" s="409" customFormat="1" ht="13.5">
      <c r="F482" s="420"/>
      <c r="G482" s="1033"/>
    </row>
    <row r="483" spans="6:7" s="409" customFormat="1" ht="13.5">
      <c r="F483" s="420"/>
      <c r="G483" s="1033"/>
    </row>
    <row r="484" spans="6:7" s="409" customFormat="1" ht="13.5">
      <c r="F484" s="420"/>
      <c r="G484" s="1033"/>
    </row>
    <row r="485" spans="6:7" s="409" customFormat="1" ht="13.5">
      <c r="F485" s="420"/>
      <c r="G485" s="1033"/>
    </row>
    <row r="486" spans="6:7" s="409" customFormat="1" ht="13.5">
      <c r="F486" s="420"/>
      <c r="G486" s="1033"/>
    </row>
    <row r="487" spans="6:7" s="409" customFormat="1" ht="13.5">
      <c r="F487" s="420"/>
      <c r="G487" s="1033"/>
    </row>
    <row r="488" spans="6:7" s="409" customFormat="1" ht="13.5">
      <c r="F488" s="420"/>
      <c r="G488" s="1033"/>
    </row>
    <row r="489" spans="6:7" s="409" customFormat="1" ht="13.5">
      <c r="F489" s="420"/>
      <c r="G489" s="1033"/>
    </row>
    <row r="490" spans="6:7" s="409" customFormat="1" ht="13.5">
      <c r="F490" s="420"/>
      <c r="G490" s="1033"/>
    </row>
    <row r="491" spans="6:7" s="409" customFormat="1" ht="13.5">
      <c r="F491" s="420"/>
      <c r="G491" s="1033"/>
    </row>
    <row r="492" spans="6:7" s="409" customFormat="1" ht="13.5">
      <c r="F492" s="420"/>
      <c r="G492" s="1033"/>
    </row>
    <row r="493" spans="6:7" s="409" customFormat="1" ht="13.5">
      <c r="F493" s="420"/>
      <c r="G493" s="1033"/>
    </row>
    <row r="494" spans="6:7" s="409" customFormat="1" ht="13.5">
      <c r="F494" s="420"/>
      <c r="G494" s="1033"/>
    </row>
    <row r="495" spans="6:7" s="409" customFormat="1" ht="13.5">
      <c r="F495" s="420"/>
      <c r="G495" s="1033"/>
    </row>
    <row r="496" spans="6:7" s="409" customFormat="1" ht="13.5">
      <c r="F496" s="420"/>
      <c r="G496" s="1033"/>
    </row>
    <row r="497" spans="6:7" s="409" customFormat="1" ht="13.5">
      <c r="F497" s="420"/>
      <c r="G497" s="1033"/>
    </row>
    <row r="498" spans="6:7" s="409" customFormat="1" ht="13.5">
      <c r="F498" s="420"/>
      <c r="G498" s="1033"/>
    </row>
    <row r="499" spans="6:7" s="409" customFormat="1" ht="13.5">
      <c r="F499" s="420"/>
      <c r="G499" s="1033"/>
    </row>
    <row r="500" spans="6:7" s="409" customFormat="1" ht="13.5">
      <c r="F500" s="420"/>
      <c r="G500" s="1033"/>
    </row>
    <row r="501" spans="6:7" s="409" customFormat="1" ht="13.5">
      <c r="F501" s="420"/>
      <c r="G501" s="1033"/>
    </row>
    <row r="502" spans="6:7" s="409" customFormat="1" ht="13.5">
      <c r="F502" s="420"/>
      <c r="G502" s="1033"/>
    </row>
    <row r="503" spans="6:7" s="409" customFormat="1" ht="13.5">
      <c r="F503" s="420"/>
      <c r="G503" s="1033"/>
    </row>
    <row r="504" spans="6:7" s="409" customFormat="1" ht="13.5">
      <c r="F504" s="420"/>
      <c r="G504" s="1033"/>
    </row>
    <row r="505" spans="6:7" s="409" customFormat="1" ht="13.5">
      <c r="F505" s="420"/>
      <c r="G505" s="1033"/>
    </row>
    <row r="506" spans="6:7" s="409" customFormat="1" ht="13.5">
      <c r="F506" s="420"/>
      <c r="G506" s="1033"/>
    </row>
    <row r="507" spans="6:7" s="409" customFormat="1" ht="13.5">
      <c r="F507" s="420"/>
      <c r="G507" s="1033"/>
    </row>
    <row r="508" spans="6:7" s="409" customFormat="1" ht="13.5">
      <c r="F508" s="420"/>
      <c r="G508" s="1033"/>
    </row>
    <row r="509" spans="6:7" s="409" customFormat="1" ht="13.5">
      <c r="F509" s="420"/>
      <c r="G509" s="1033"/>
    </row>
    <row r="510" spans="6:7" s="409" customFormat="1" ht="13.5">
      <c r="F510" s="420"/>
      <c r="G510" s="1033"/>
    </row>
    <row r="511" spans="6:7" s="409" customFormat="1" ht="13.5">
      <c r="F511" s="420"/>
      <c r="G511" s="1033"/>
    </row>
    <row r="512" spans="6:7" s="409" customFormat="1" ht="13.5">
      <c r="F512" s="420"/>
      <c r="G512" s="1033"/>
    </row>
    <row r="513" spans="6:7" s="409" customFormat="1" ht="13.5">
      <c r="F513" s="420"/>
      <c r="G513" s="1033"/>
    </row>
    <row r="514" spans="6:7" s="409" customFormat="1" ht="13.5">
      <c r="F514" s="420"/>
      <c r="G514" s="1033"/>
    </row>
    <row r="515" spans="6:7" s="409" customFormat="1" ht="13.5">
      <c r="F515" s="420"/>
      <c r="G515" s="1033"/>
    </row>
    <row r="516" spans="6:7" s="409" customFormat="1" ht="13.5">
      <c r="F516" s="420"/>
      <c r="G516" s="1033"/>
    </row>
    <row r="517" spans="6:7" s="409" customFormat="1" ht="13.5">
      <c r="F517" s="420"/>
      <c r="G517" s="1033"/>
    </row>
    <row r="518" spans="6:7" s="409" customFormat="1" ht="13.5">
      <c r="F518" s="420"/>
      <c r="G518" s="1033"/>
    </row>
    <row r="519" spans="6:7" s="409" customFormat="1" ht="13.5">
      <c r="F519" s="420"/>
      <c r="G519" s="1033"/>
    </row>
    <row r="520" spans="6:7" s="409" customFormat="1" ht="13.5">
      <c r="F520" s="420"/>
      <c r="G520" s="1033"/>
    </row>
    <row r="521" spans="6:7" s="409" customFormat="1" ht="13.5">
      <c r="F521" s="420"/>
      <c r="G521" s="1033"/>
    </row>
    <row r="522" spans="6:7" s="409" customFormat="1" ht="13.5">
      <c r="F522" s="420"/>
      <c r="G522" s="1033"/>
    </row>
    <row r="523" spans="6:7" s="409" customFormat="1" ht="13.5">
      <c r="F523" s="420"/>
      <c r="G523" s="1033"/>
    </row>
    <row r="524" spans="6:7" s="409" customFormat="1" ht="13.5">
      <c r="F524" s="420"/>
      <c r="G524" s="1033"/>
    </row>
    <row r="525" spans="6:7" s="409" customFormat="1" ht="13.5">
      <c r="F525" s="420"/>
      <c r="G525" s="1033"/>
    </row>
    <row r="526" spans="6:7" s="409" customFormat="1" ht="13.5">
      <c r="F526" s="420"/>
      <c r="G526" s="1033"/>
    </row>
    <row r="527" spans="6:7" s="409" customFormat="1" ht="13.5">
      <c r="F527" s="420"/>
      <c r="G527" s="1033"/>
    </row>
    <row r="528" spans="6:7" s="409" customFormat="1" ht="13.5">
      <c r="F528" s="420"/>
      <c r="G528" s="1033"/>
    </row>
    <row r="529" spans="6:7" s="409" customFormat="1" ht="13.5">
      <c r="F529" s="420"/>
      <c r="G529" s="1033"/>
    </row>
    <row r="530" spans="6:7" s="409" customFormat="1" ht="13.5">
      <c r="F530" s="420"/>
      <c r="G530" s="1033"/>
    </row>
    <row r="531" spans="6:7" s="409" customFormat="1" ht="13.5">
      <c r="F531" s="420"/>
      <c r="G531" s="1033"/>
    </row>
    <row r="532" spans="6:7" s="409" customFormat="1" ht="13.5">
      <c r="F532" s="420"/>
      <c r="G532" s="1033"/>
    </row>
    <row r="533" spans="6:7" s="409" customFormat="1" ht="13.5">
      <c r="F533" s="420"/>
      <c r="G533" s="1033"/>
    </row>
    <row r="534" spans="6:7" s="409" customFormat="1" ht="13.5">
      <c r="F534" s="420"/>
      <c r="G534" s="1033"/>
    </row>
    <row r="535" spans="6:7" s="409" customFormat="1" ht="13.5">
      <c r="F535" s="420"/>
      <c r="G535" s="1033"/>
    </row>
    <row r="536" spans="6:7" s="409" customFormat="1" ht="13.5">
      <c r="F536" s="420"/>
      <c r="G536" s="1033"/>
    </row>
    <row r="537" spans="6:7" s="409" customFormat="1" ht="13.5">
      <c r="F537" s="420"/>
      <c r="G537" s="1033"/>
    </row>
    <row r="538" spans="6:7" s="409" customFormat="1" ht="13.5">
      <c r="F538" s="420"/>
      <c r="G538" s="1033"/>
    </row>
    <row r="539" spans="6:7" s="409" customFormat="1" ht="13.5">
      <c r="F539" s="420"/>
      <c r="G539" s="1033"/>
    </row>
    <row r="540" spans="6:7" s="409" customFormat="1" ht="13.5">
      <c r="F540" s="420"/>
      <c r="G540" s="1033"/>
    </row>
    <row r="541" spans="6:7" s="409" customFormat="1" ht="13.5">
      <c r="F541" s="420"/>
      <c r="G541" s="1033"/>
    </row>
    <row r="542" spans="6:7" s="409" customFormat="1" ht="13.5">
      <c r="F542" s="420"/>
      <c r="G542" s="1033"/>
    </row>
    <row r="543" spans="6:7" s="409" customFormat="1" ht="13.5">
      <c r="F543" s="420"/>
      <c r="G543" s="1033"/>
    </row>
    <row r="544" spans="6:7" s="409" customFormat="1" ht="13.5">
      <c r="F544" s="420"/>
      <c r="G544" s="1033"/>
    </row>
    <row r="545" spans="6:7" s="409" customFormat="1" ht="13.5">
      <c r="F545" s="420"/>
      <c r="G545" s="1033"/>
    </row>
    <row r="546" spans="6:7" s="409" customFormat="1" ht="13.5">
      <c r="F546" s="420"/>
      <c r="G546" s="1033"/>
    </row>
    <row r="547" spans="6:7" s="409" customFormat="1" ht="13.5">
      <c r="F547" s="420"/>
      <c r="G547" s="1033"/>
    </row>
    <row r="548" spans="6:7" s="409" customFormat="1" ht="13.5">
      <c r="F548" s="420"/>
      <c r="G548" s="1033"/>
    </row>
    <row r="549" spans="6:7" s="409" customFormat="1" ht="13.5">
      <c r="F549" s="420"/>
      <c r="G549" s="1033"/>
    </row>
    <row r="550" spans="6:7" s="409" customFormat="1" ht="13.5">
      <c r="F550" s="420"/>
      <c r="G550" s="1033"/>
    </row>
    <row r="551" spans="6:7" s="409" customFormat="1" ht="13.5">
      <c r="F551" s="420"/>
      <c r="G551" s="1033"/>
    </row>
    <row r="552" spans="6:7" s="409" customFormat="1" ht="13.5">
      <c r="F552" s="420"/>
      <c r="G552" s="1033"/>
    </row>
    <row r="553" spans="6:7" s="409" customFormat="1" ht="13.5">
      <c r="F553" s="420"/>
      <c r="G553" s="1033"/>
    </row>
    <row r="554" spans="6:7" s="409" customFormat="1" ht="13.5">
      <c r="F554" s="420"/>
      <c r="G554" s="1033"/>
    </row>
    <row r="555" spans="6:7" s="409" customFormat="1" ht="13.5">
      <c r="F555" s="420"/>
      <c r="G555" s="1033"/>
    </row>
    <row r="556" spans="6:7" s="409" customFormat="1" ht="13.5">
      <c r="F556" s="420"/>
      <c r="G556" s="1033"/>
    </row>
    <row r="557" spans="6:7" s="409" customFormat="1" ht="13.5">
      <c r="F557" s="420"/>
      <c r="G557" s="1033"/>
    </row>
    <row r="558" spans="6:7" s="409" customFormat="1" ht="13.5">
      <c r="F558" s="420"/>
      <c r="G558" s="1033"/>
    </row>
    <row r="559" spans="6:7" s="409" customFormat="1" ht="13.5">
      <c r="F559" s="420"/>
      <c r="G559" s="1033"/>
    </row>
    <row r="560" spans="6:7" s="409" customFormat="1" ht="13.5">
      <c r="F560" s="420"/>
      <c r="G560" s="1033"/>
    </row>
    <row r="561" spans="6:7" s="409" customFormat="1" ht="13.5">
      <c r="F561" s="420"/>
      <c r="G561" s="1033"/>
    </row>
    <row r="562" spans="6:7" s="409" customFormat="1" ht="13.5">
      <c r="F562" s="420"/>
      <c r="G562" s="1033"/>
    </row>
    <row r="563" spans="6:7" s="409" customFormat="1" ht="13.5">
      <c r="F563" s="420"/>
      <c r="G563" s="1033"/>
    </row>
    <row r="564" spans="2:6" ht="14.25">
      <c r="B564" s="409"/>
      <c r="C564" s="409"/>
      <c r="D564" s="409"/>
      <c r="E564" s="409"/>
      <c r="F564" s="42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fitToHeight="1" fitToWidth="1" orientation="portrait" paperSize="9" scale="65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98"/>
  <sheetViews>
    <sheetView showGridLines="0" zoomScalePageLayoutView="0" workbookViewId="0" topLeftCell="A1">
      <selection activeCell="B98" sqref="B98"/>
    </sheetView>
  </sheetViews>
  <sheetFormatPr defaultColWidth="11.421875" defaultRowHeight="12.75"/>
  <cols>
    <col min="1" max="1" width="4.421875" style="319" customWidth="1"/>
    <col min="2" max="2" width="66.00390625" style="319" customWidth="1"/>
    <col min="3" max="3" width="0.42578125" style="319" hidden="1" customWidth="1"/>
    <col min="4" max="4" width="13.00390625" style="319" customWidth="1"/>
    <col min="5" max="5" width="18.421875" style="319" customWidth="1"/>
    <col min="6" max="6" width="20.7109375" style="319" customWidth="1"/>
    <col min="7" max="7" width="8.7109375" style="319" customWidth="1"/>
    <col min="8" max="8" width="11.421875" style="321" customWidth="1"/>
    <col min="9" max="16384" width="11.421875" style="319" customWidth="1"/>
  </cols>
  <sheetData>
    <row r="1" spans="2:6" ht="12.75">
      <c r="B1" s="320"/>
      <c r="C1" s="320"/>
      <c r="D1" s="320"/>
      <c r="E1" s="320"/>
      <c r="F1" s="320"/>
    </row>
    <row r="2" spans="2:6" ht="12.75">
      <c r="B2" s="320"/>
      <c r="C2" s="320"/>
      <c r="D2" s="320"/>
      <c r="E2" s="320"/>
      <c r="F2" s="320"/>
    </row>
    <row r="3" spans="2:6" ht="13.5" thickBot="1">
      <c r="B3" s="320"/>
      <c r="C3" s="320"/>
      <c r="D3" s="320"/>
      <c r="E3" s="320"/>
      <c r="F3" s="320"/>
    </row>
    <row r="4" spans="1:8" s="323" customFormat="1" ht="35.25" customHeight="1">
      <c r="A4" s="319"/>
      <c r="B4" s="1232" t="s">
        <v>130</v>
      </c>
      <c r="C4" s="1233"/>
      <c r="D4" s="1234"/>
      <c r="E4" s="1234"/>
      <c r="F4" s="322">
        <v>2017</v>
      </c>
      <c r="H4" s="324"/>
    </row>
    <row r="5" spans="2:6" ht="25.5" customHeight="1" thickBot="1">
      <c r="B5" s="1235" t="str">
        <f>CPYG!B3</f>
        <v>ENTIDAD: ENTIDAD PÚBLICA EMPRESARIAL LOCAL BALSAS DE TENERIFE, BALTEN</v>
      </c>
      <c r="C5" s="1236"/>
      <c r="D5" s="1236"/>
      <c r="E5" s="1236"/>
      <c r="F5" s="325" t="s">
        <v>242</v>
      </c>
    </row>
    <row r="6" spans="2:6" ht="30" customHeight="1">
      <c r="B6" s="1237" t="s">
        <v>1014</v>
      </c>
      <c r="C6" s="1238"/>
      <c r="D6" s="1238"/>
      <c r="E6" s="1238"/>
      <c r="F6" s="1239"/>
    </row>
    <row r="7" spans="2:6" ht="36" customHeight="1" thickBot="1">
      <c r="B7" s="326"/>
      <c r="C7" s="327"/>
      <c r="D7" s="1084"/>
      <c r="E7" s="328" t="s">
        <v>495</v>
      </c>
      <c r="F7" s="329" t="s">
        <v>496</v>
      </c>
    </row>
    <row r="8" spans="2:6" ht="17.25" customHeight="1" thickBot="1">
      <c r="B8" s="330" t="s">
        <v>243</v>
      </c>
      <c r="C8" s="331"/>
      <c r="D8" s="331"/>
      <c r="E8" s="332"/>
      <c r="F8" s="333"/>
    </row>
    <row r="9" spans="2:6" ht="12.75">
      <c r="B9" s="334" t="s">
        <v>244</v>
      </c>
      <c r="C9" s="335"/>
      <c r="D9" s="335"/>
      <c r="E9" s="520">
        <f>+CPYG!E94</f>
        <v>-687242.2499999995</v>
      </c>
      <c r="F9" s="521">
        <f>+CPYG!D94</f>
        <v>-725817.4600000004</v>
      </c>
    </row>
    <row r="10" spans="2:6" ht="12.75">
      <c r="B10" s="336" t="s">
        <v>245</v>
      </c>
      <c r="C10" s="337"/>
      <c r="D10" s="337"/>
      <c r="E10" s="523">
        <f>SUM(E11:E21)</f>
        <v>18838.52000000002</v>
      </c>
      <c r="F10" s="623">
        <f>SUM(F11:F21)</f>
        <v>48559.71999999974</v>
      </c>
    </row>
    <row r="11" spans="2:6" ht="12.75">
      <c r="B11" s="338" t="s">
        <v>246</v>
      </c>
      <c r="C11" s="337"/>
      <c r="D11" s="337"/>
      <c r="E11" s="1082">
        <f>-CPYG!E42</f>
        <v>2577173.24</v>
      </c>
      <c r="F11" s="1083">
        <f>-CPYG!D42</f>
        <v>2583418.57</v>
      </c>
    </row>
    <row r="12" spans="2:6" ht="12.75">
      <c r="B12" s="338" t="s">
        <v>247</v>
      </c>
      <c r="C12" s="337"/>
      <c r="D12" s="337"/>
      <c r="E12" s="1085">
        <v>0</v>
      </c>
      <c r="F12" s="1086">
        <v>0</v>
      </c>
    </row>
    <row r="13" spans="2:6" ht="12.75">
      <c r="B13" s="338" t="s">
        <v>248</v>
      </c>
      <c r="C13" s="337"/>
      <c r="D13" s="337"/>
      <c r="E13" s="1085">
        <v>0</v>
      </c>
      <c r="F13" s="1086">
        <v>0</v>
      </c>
    </row>
    <row r="14" spans="2:6" ht="12.75">
      <c r="B14" s="338" t="s">
        <v>249</v>
      </c>
      <c r="C14" s="337"/>
      <c r="D14" s="337"/>
      <c r="E14" s="1085">
        <f>-CPYG!E46</f>
        <v>-2497834.72</v>
      </c>
      <c r="F14" s="1086">
        <f>-CPYG!D46</f>
        <v>-2531158.85</v>
      </c>
    </row>
    <row r="15" spans="2:6" ht="12.75">
      <c r="B15" s="338" t="s">
        <v>250</v>
      </c>
      <c r="C15" s="337"/>
      <c r="D15" s="337"/>
      <c r="E15" s="1085">
        <v>0</v>
      </c>
      <c r="F15" s="1086">
        <v>0</v>
      </c>
    </row>
    <row r="16" spans="2:6" ht="12.75">
      <c r="B16" s="338" t="s">
        <v>251</v>
      </c>
      <c r="C16" s="337"/>
      <c r="D16" s="337"/>
      <c r="E16" s="1085">
        <v>0</v>
      </c>
      <c r="F16" s="1086">
        <v>0</v>
      </c>
    </row>
    <row r="17" spans="2:6" ht="12.75">
      <c r="B17" s="338" t="s">
        <v>252</v>
      </c>
      <c r="C17" s="337"/>
      <c r="D17" s="337"/>
      <c r="E17" s="1085">
        <f>-CPYG!E66</f>
        <v>-1500</v>
      </c>
      <c r="F17" s="1086">
        <f>-CPYG!D66</f>
        <v>-4000</v>
      </c>
    </row>
    <row r="18" spans="2:6" ht="12.75">
      <c r="B18" s="338" t="s">
        <v>253</v>
      </c>
      <c r="C18" s="337"/>
      <c r="D18" s="337"/>
      <c r="E18" s="1085">
        <f>-CPYG!E74</f>
        <v>0</v>
      </c>
      <c r="F18" s="1086">
        <f>-CPYG!D76</f>
        <v>300</v>
      </c>
    </row>
    <row r="19" spans="2:6" ht="12.75">
      <c r="B19" s="338" t="s">
        <v>254</v>
      </c>
      <c r="C19" s="337"/>
      <c r="D19" s="337"/>
      <c r="E19" s="1085">
        <v>0</v>
      </c>
      <c r="F19" s="1086">
        <v>0</v>
      </c>
    </row>
    <row r="20" spans="2:6" ht="12.75">
      <c r="B20" s="339" t="s">
        <v>255</v>
      </c>
      <c r="C20" s="337"/>
      <c r="D20" s="337"/>
      <c r="E20" s="1085">
        <v>0</v>
      </c>
      <c r="F20" s="1086">
        <v>0</v>
      </c>
    </row>
    <row r="21" spans="2:6" ht="12.75">
      <c r="B21" s="1128" t="s">
        <v>256</v>
      </c>
      <c r="C21" s="337"/>
      <c r="D21" s="337"/>
      <c r="E21" s="1085">
        <v>-59000</v>
      </c>
      <c r="F21" s="1086">
        <v>0</v>
      </c>
    </row>
    <row r="22" spans="2:7" ht="12.75">
      <c r="B22" s="336" t="s">
        <v>257</v>
      </c>
      <c r="C22" s="337"/>
      <c r="D22" s="337"/>
      <c r="E22" s="523">
        <f>SUM(E23:E28)</f>
        <v>-592667.9</v>
      </c>
      <c r="F22" s="623">
        <f>SUM(F23:F28)</f>
        <v>-56781.24999999898</v>
      </c>
      <c r="G22" s="340"/>
    </row>
    <row r="23" spans="2:7" ht="12.75" customHeight="1">
      <c r="B23" s="1129" t="s">
        <v>258</v>
      </c>
      <c r="C23" s="337"/>
      <c r="D23" s="337"/>
      <c r="E23" s="1085">
        <f>-(ACTIVO!E30-ACTIVO!D30)</f>
        <v>0</v>
      </c>
      <c r="F23" s="1086">
        <f>-(ACTIVO!D30-ACTIVO!C30)</f>
        <v>152284.69</v>
      </c>
      <c r="G23" s="340"/>
    </row>
    <row r="24" spans="2:7" ht="12.75" customHeight="1">
      <c r="B24" s="1129" t="s">
        <v>259</v>
      </c>
      <c r="C24" s="337"/>
      <c r="D24" s="1115"/>
      <c r="E24" s="1085">
        <f>-(ACTIVO!E22+ACTIVO!E33-ACTIVO!D22-ACTIVO!D33)-500000-203122.63</f>
        <v>-138939.00000000012</v>
      </c>
      <c r="F24" s="1086">
        <f>-(ACTIVO!D22+ACTIVO!D33-ACTIVO!C22-ACTIVO!C33)-(500000-203122.63)</f>
        <v>78979.83000000112</v>
      </c>
      <c r="G24" s="340"/>
    </row>
    <row r="25" spans="2:7" ht="12.75" customHeight="1">
      <c r="B25" s="1129" t="s">
        <v>260</v>
      </c>
      <c r="C25" s="337"/>
      <c r="D25" s="1115"/>
      <c r="E25" s="1085">
        <f>-(ACTIVO!E37+ACTIVO!E38+ACTIVO!E39+ACTIVO!E24-ACTIVO!D24-ACTIVO!D37-ACTIVO!D38-ACTIVO!D39)</f>
        <v>0</v>
      </c>
      <c r="F25" s="1086">
        <f>-(ACTIVO!D37+ACTIVO!D38+ACTIVO!D39+ACTIVO!D24-ACTIVO!C24-ACTIVO!C37-ACTIVO!C38-ACTIVO!C39)</f>
        <v>700.0899999999965</v>
      </c>
      <c r="G25" s="340"/>
    </row>
    <row r="26" spans="2:7" ht="12.75" customHeight="1">
      <c r="B26" s="1129" t="s">
        <v>261</v>
      </c>
      <c r="C26" s="337"/>
      <c r="D26" s="1115"/>
      <c r="E26" s="1085">
        <f>(PASIVO!E55-PASIVO!D55)</f>
        <v>229393.72999999998</v>
      </c>
      <c r="F26" s="1086">
        <f>(PASIVO!D55-PASIVO!C55)</f>
        <v>-11228.130000000121</v>
      </c>
      <c r="G26" s="340"/>
    </row>
    <row r="27" spans="2:7" ht="12.75" customHeight="1">
      <c r="B27" s="1129" t="s">
        <v>262</v>
      </c>
      <c r="C27" s="337"/>
      <c r="D27" s="1115"/>
      <c r="E27" s="1085">
        <f>PASIVO!E37-PASIVO!D37+PASIVO!E44-PASIVO!D44+PASIVO!E45-PASIVO!D45+PASIVO!E49-PASIVO!D49+PASIVO!E54-PASIVO!D54+PASIVO!E58-PASIVO!D58+PASIVO!E59-PASIVO!D59</f>
        <v>-683122.6299999999</v>
      </c>
      <c r="F27" s="1086">
        <f>PASIVO!D37-PASIVO!C37+PASIVO!D44-PASIVO!C44+PASIVO!D45-PASIVO!C45+PASIVO!D49-PASIVO!C49+PASIVO!D54-PASIVO!C54+PASIVO!D58-PASIVO!C58+PASIVO!D59-PASIVO!C59</f>
        <v>-277517.73</v>
      </c>
      <c r="G27" s="340"/>
    </row>
    <row r="28" spans="2:7" ht="12.75" customHeight="1">
      <c r="B28" s="338" t="s">
        <v>263</v>
      </c>
      <c r="C28" s="337"/>
      <c r="D28" s="337"/>
      <c r="E28" s="1085">
        <v>0</v>
      </c>
      <c r="F28" s="1086">
        <v>0</v>
      </c>
      <c r="G28" s="340"/>
    </row>
    <row r="29" spans="2:7" ht="12.75">
      <c r="B29" s="336" t="s">
        <v>266</v>
      </c>
      <c r="C29" s="337"/>
      <c r="D29" s="337"/>
      <c r="E29" s="523">
        <f>SUM(E30:E34)</f>
        <v>1500</v>
      </c>
      <c r="F29" s="623">
        <f>SUM(F30:F34)</f>
        <v>3700</v>
      </c>
      <c r="G29" s="340"/>
    </row>
    <row r="30" spans="2:7" ht="12.75" customHeight="1">
      <c r="B30" s="338" t="s">
        <v>267</v>
      </c>
      <c r="C30" s="337"/>
      <c r="D30" s="337"/>
      <c r="E30" s="1085">
        <f>-E18</f>
        <v>0</v>
      </c>
      <c r="F30" s="1086">
        <f>-F18</f>
        <v>-300</v>
      </c>
      <c r="G30" s="340"/>
    </row>
    <row r="31" spans="2:7" ht="12.75" customHeight="1">
      <c r="B31" s="338" t="s">
        <v>268</v>
      </c>
      <c r="C31" s="337"/>
      <c r="D31" s="337"/>
      <c r="E31" s="1085">
        <v>0</v>
      </c>
      <c r="F31" s="1086">
        <v>0</v>
      </c>
      <c r="G31" s="340"/>
    </row>
    <row r="32" spans="2:6" ht="12.75" customHeight="1">
      <c r="B32" s="338" t="s">
        <v>269</v>
      </c>
      <c r="C32" s="337"/>
      <c r="D32" s="337"/>
      <c r="E32" s="1085">
        <f>-E17</f>
        <v>1500</v>
      </c>
      <c r="F32" s="1086">
        <f>-F17</f>
        <v>4000</v>
      </c>
    </row>
    <row r="33" spans="2:6" ht="12.75" customHeight="1">
      <c r="B33" s="338" t="s">
        <v>270</v>
      </c>
      <c r="C33" s="337"/>
      <c r="D33" s="337"/>
      <c r="E33" s="1085">
        <v>0</v>
      </c>
      <c r="F33" s="1086">
        <v>0</v>
      </c>
    </row>
    <row r="34" spans="2:6" ht="13.5" thickBot="1">
      <c r="B34" s="338" t="s">
        <v>271</v>
      </c>
      <c r="C34" s="341"/>
      <c r="D34" s="327"/>
      <c r="E34" s="1085">
        <v>0</v>
      </c>
      <c r="F34" s="1086">
        <v>0</v>
      </c>
    </row>
    <row r="35" spans="2:6" ht="15" customHeight="1" thickBot="1" thickTop="1">
      <c r="B35" s="1240" t="s">
        <v>272</v>
      </c>
      <c r="C35" s="1241"/>
      <c r="D35" s="1067"/>
      <c r="E35" s="524">
        <f>E9+E10+E22+E29</f>
        <v>-1259571.6299999994</v>
      </c>
      <c r="F35" s="525">
        <f>F9+F10+F22+F29</f>
        <v>-730338.9899999996</v>
      </c>
    </row>
    <row r="36" spans="2:6" ht="17.25" customHeight="1">
      <c r="B36" s="1116" t="s">
        <v>280</v>
      </c>
      <c r="C36" s="1117"/>
      <c r="D36" s="1117"/>
      <c r="E36" s="1118"/>
      <c r="F36" s="1119"/>
    </row>
    <row r="37" spans="2:6" ht="12.75">
      <c r="B37" s="336" t="s">
        <v>281</v>
      </c>
      <c r="C37" s="1114"/>
      <c r="D37" s="1114"/>
      <c r="E37" s="523">
        <f>SUM(E38:E45)</f>
        <v>-725000</v>
      </c>
      <c r="F37" s="623">
        <f>SUM(F38:F45)</f>
        <v>-1646326.95</v>
      </c>
    </row>
    <row r="38" spans="2:6" ht="12.75">
      <c r="B38" s="1129" t="s">
        <v>282</v>
      </c>
      <c r="C38" s="1114"/>
      <c r="D38" s="1114"/>
      <c r="E38" s="1085">
        <v>0</v>
      </c>
      <c r="F38" s="1086">
        <v>0</v>
      </c>
    </row>
    <row r="39" spans="2:6" ht="12.75">
      <c r="B39" s="1129" t="s">
        <v>283</v>
      </c>
      <c r="C39" s="1114"/>
      <c r="D39" s="1114"/>
      <c r="E39" s="1085">
        <f>-'Inv. NO FIN'!D17</f>
        <v>-25000</v>
      </c>
      <c r="F39" s="1086">
        <f>-'Inv. NO FIN'!D7</f>
        <v>-25656.9</v>
      </c>
    </row>
    <row r="40" spans="2:6" ht="12.75">
      <c r="B40" s="1129" t="s">
        <v>284</v>
      </c>
      <c r="C40" s="1114"/>
      <c r="D40" s="1114"/>
      <c r="E40" s="1085">
        <f>-'Inv. NO FIN'!D21+'Inv. NO FIN'!D17</f>
        <v>-700000</v>
      </c>
      <c r="F40" s="1086">
        <f>-'Inv. NO FIN'!D11+'Inv. NO FIN'!D7</f>
        <v>-1620670.05</v>
      </c>
    </row>
    <row r="41" spans="2:6" ht="12.75">
      <c r="B41" s="1129" t="s">
        <v>285</v>
      </c>
      <c r="C41" s="1114"/>
      <c r="D41" s="1114"/>
      <c r="E41" s="1085">
        <v>0</v>
      </c>
      <c r="F41" s="1086">
        <v>0</v>
      </c>
    </row>
    <row r="42" spans="2:6" ht="12.75">
      <c r="B42" s="1129" t="s">
        <v>286</v>
      </c>
      <c r="C42" s="1114"/>
      <c r="D42" s="1114"/>
      <c r="E42" s="1085">
        <v>0</v>
      </c>
      <c r="F42" s="1086">
        <v>0</v>
      </c>
    </row>
    <row r="43" spans="2:6" ht="12.75">
      <c r="B43" s="1129" t="s">
        <v>287</v>
      </c>
      <c r="C43" s="1114"/>
      <c r="D43" s="1114"/>
      <c r="E43" s="1085">
        <v>0</v>
      </c>
      <c r="F43" s="1086">
        <v>0</v>
      </c>
    </row>
    <row r="44" spans="2:6" ht="12.75">
      <c r="B44" s="1129" t="s">
        <v>288</v>
      </c>
      <c r="C44" s="1114"/>
      <c r="D44" s="1114"/>
      <c r="E44" s="1085">
        <v>0</v>
      </c>
      <c r="F44" s="1086">
        <v>0</v>
      </c>
    </row>
    <row r="45" spans="2:6" ht="12.75">
      <c r="B45" s="1129" t="s">
        <v>289</v>
      </c>
      <c r="C45" s="1114"/>
      <c r="D45" s="1114"/>
      <c r="E45" s="1085">
        <v>0</v>
      </c>
      <c r="F45" s="1086">
        <v>0</v>
      </c>
    </row>
    <row r="46" spans="2:6" ht="12.75">
      <c r="B46" s="336" t="s">
        <v>290</v>
      </c>
      <c r="C46" s="1114"/>
      <c r="D46" s="1114"/>
      <c r="E46" s="1089">
        <f>SUM(E47:E54)</f>
        <v>0</v>
      </c>
      <c r="F46" s="1090">
        <f>SUM(F47:F54)</f>
        <v>0</v>
      </c>
    </row>
    <row r="47" spans="2:6" ht="12.75">
      <c r="B47" s="1129" t="s">
        <v>291</v>
      </c>
      <c r="C47" s="1114"/>
      <c r="D47" s="1114"/>
      <c r="E47" s="1085">
        <v>0</v>
      </c>
      <c r="F47" s="1086">
        <v>0</v>
      </c>
    </row>
    <row r="48" spans="2:6" ht="12.75">
      <c r="B48" s="1129" t="s">
        <v>283</v>
      </c>
      <c r="C48" s="1114"/>
      <c r="D48" s="1114"/>
      <c r="E48" s="1085">
        <v>0</v>
      </c>
      <c r="F48" s="1086">
        <v>0</v>
      </c>
    </row>
    <row r="49" spans="2:6" ht="12.75">
      <c r="B49" s="1129" t="s">
        <v>284</v>
      </c>
      <c r="C49" s="1114"/>
      <c r="D49" s="1114"/>
      <c r="E49" s="1085">
        <v>0</v>
      </c>
      <c r="F49" s="1086">
        <v>0</v>
      </c>
    </row>
    <row r="50" spans="2:6" ht="12.75">
      <c r="B50" s="1129" t="s">
        <v>285</v>
      </c>
      <c r="C50" s="1114"/>
      <c r="D50" s="1114"/>
      <c r="E50" s="1085">
        <v>0</v>
      </c>
      <c r="F50" s="1086">
        <v>0</v>
      </c>
    </row>
    <row r="51" spans="2:6" ht="12.75">
      <c r="B51" s="1129" t="s">
        <v>286</v>
      </c>
      <c r="C51" s="1114"/>
      <c r="D51" s="1114"/>
      <c r="E51" s="1085">
        <v>0</v>
      </c>
      <c r="F51" s="1086">
        <v>0</v>
      </c>
    </row>
    <row r="52" spans="2:6" ht="12.75">
      <c r="B52" s="1129" t="s">
        <v>287</v>
      </c>
      <c r="C52" s="1114"/>
      <c r="D52" s="1114"/>
      <c r="E52" s="1085">
        <v>0</v>
      </c>
      <c r="F52" s="1086">
        <v>0</v>
      </c>
    </row>
    <row r="53" spans="2:6" ht="12.75">
      <c r="B53" s="1129" t="s">
        <v>288</v>
      </c>
      <c r="C53" s="1114"/>
      <c r="D53" s="1114"/>
      <c r="E53" s="1085">
        <v>0</v>
      </c>
      <c r="F53" s="1086">
        <v>0</v>
      </c>
    </row>
    <row r="54" spans="2:6" ht="12.75">
      <c r="B54" s="1129" t="s">
        <v>289</v>
      </c>
      <c r="C54" s="1114"/>
      <c r="D54" s="1114"/>
      <c r="E54" s="1085">
        <v>0</v>
      </c>
      <c r="F54" s="1086">
        <v>0</v>
      </c>
    </row>
    <row r="55" spans="2:6" ht="12.75">
      <c r="B55" s="1130" t="s">
        <v>292</v>
      </c>
      <c r="C55" s="1120"/>
      <c r="D55" s="1120"/>
      <c r="E55" s="1121">
        <f>E37+E46</f>
        <v>-725000</v>
      </c>
      <c r="F55" s="1131">
        <f>F37+F46</f>
        <v>-1646326.95</v>
      </c>
    </row>
    <row r="56" spans="2:6" ht="17.25" customHeight="1">
      <c r="B56" s="1132" t="s">
        <v>293</v>
      </c>
      <c r="C56" s="1122"/>
      <c r="D56" s="1122"/>
      <c r="E56" s="1089"/>
      <c r="F56" s="1090"/>
    </row>
    <row r="57" spans="2:6" ht="12.75">
      <c r="B57" s="336" t="s">
        <v>294</v>
      </c>
      <c r="C57" s="1114"/>
      <c r="D57" s="1114"/>
      <c r="E57" s="523">
        <f>SUM(E58:E62)</f>
        <v>1965571.6299999985</v>
      </c>
      <c r="F57" s="623">
        <f>SUM(F58:F62)</f>
        <v>2451531.8099999963</v>
      </c>
    </row>
    <row r="58" spans="2:6" ht="12.75">
      <c r="B58" s="1129" t="s">
        <v>295</v>
      </c>
      <c r="C58" s="1114"/>
      <c r="D58" s="1114"/>
      <c r="E58" s="1085">
        <v>0</v>
      </c>
      <c r="F58" s="1086">
        <v>0</v>
      </c>
    </row>
    <row r="59" spans="2:6" ht="12.75">
      <c r="B59" s="1129" t="s">
        <v>296</v>
      </c>
      <c r="C59" s="1114"/>
      <c r="D59" s="1114"/>
      <c r="E59" s="1085">
        <v>0</v>
      </c>
      <c r="F59" s="1086">
        <v>0</v>
      </c>
    </row>
    <row r="60" spans="2:6" ht="12.75">
      <c r="B60" s="1129" t="s">
        <v>297</v>
      </c>
      <c r="C60" s="1114"/>
      <c r="D60" s="1114"/>
      <c r="E60" s="1085">
        <v>0</v>
      </c>
      <c r="F60" s="1086">
        <v>0</v>
      </c>
    </row>
    <row r="61" spans="2:6" ht="12.75">
      <c r="B61" s="1129" t="s">
        <v>298</v>
      </c>
      <c r="C61" s="1114"/>
      <c r="D61" s="1114"/>
      <c r="E61" s="1085">
        <v>0</v>
      </c>
      <c r="F61" s="1086">
        <v>0</v>
      </c>
    </row>
    <row r="62" spans="2:6" ht="12.75" customHeight="1">
      <c r="B62" s="1129" t="s">
        <v>299</v>
      </c>
      <c r="C62" s="1114"/>
      <c r="D62" s="1115"/>
      <c r="E62" s="1085">
        <f>+PASIVO!E27+PASIVO!E39-PASIVO!D27-PASIVO!D39+CPYG!E46+PASIVO!E19-PASIVO!D19+59000+500000+203122.63</f>
        <v>1965571.6299999985</v>
      </c>
      <c r="F62" s="1087">
        <f>+PASIVO!D27+PASIVO!D39-PASIVO!C27-PASIVO!C39+CPYG!D46+PASIVO!D19-PASIVO!C19+296877.37</f>
        <v>2451531.8099999963</v>
      </c>
    </row>
    <row r="63" spans="2:6" ht="12.75">
      <c r="B63" s="336" t="s">
        <v>300</v>
      </c>
      <c r="C63" s="1114"/>
      <c r="D63" s="1114"/>
      <c r="E63" s="1088">
        <f>E64+E70</f>
        <v>0</v>
      </c>
      <c r="F63" s="1087">
        <f>F64+F70</f>
        <v>0</v>
      </c>
    </row>
    <row r="64" spans="2:6" ht="12.75">
      <c r="B64" s="1129" t="s">
        <v>301</v>
      </c>
      <c r="C64" s="1114"/>
      <c r="D64" s="1114"/>
      <c r="E64" s="1088">
        <f>SUM(E65:E69)</f>
        <v>0</v>
      </c>
      <c r="F64" s="1087">
        <f>SUM(F65:F69)</f>
        <v>0</v>
      </c>
    </row>
    <row r="65" spans="2:6" ht="12.75" customHeight="1">
      <c r="B65" s="1129" t="s">
        <v>302</v>
      </c>
      <c r="C65" s="1114"/>
      <c r="D65" s="1114"/>
      <c r="E65" s="1085">
        <v>0</v>
      </c>
      <c r="F65" s="1086">
        <v>0</v>
      </c>
    </row>
    <row r="66" spans="2:6" ht="12.75" customHeight="1">
      <c r="B66" s="1129" t="s">
        <v>303</v>
      </c>
      <c r="C66" s="1114"/>
      <c r="D66" s="1114"/>
      <c r="E66" s="1085">
        <v>0</v>
      </c>
      <c r="F66" s="1086">
        <v>0</v>
      </c>
    </row>
    <row r="67" spans="2:6" ht="12.75" customHeight="1">
      <c r="B67" s="1129" t="s">
        <v>304</v>
      </c>
      <c r="C67" s="1114"/>
      <c r="D67" s="1114"/>
      <c r="E67" s="1085">
        <v>0</v>
      </c>
      <c r="F67" s="1086">
        <v>0</v>
      </c>
    </row>
    <row r="68" spans="2:6" ht="12.75" customHeight="1">
      <c r="B68" s="1129" t="s">
        <v>305</v>
      </c>
      <c r="C68" s="1114"/>
      <c r="D68" s="1114"/>
      <c r="E68" s="1085">
        <v>0</v>
      </c>
      <c r="F68" s="1086">
        <v>0</v>
      </c>
    </row>
    <row r="69" spans="2:6" ht="12.75" customHeight="1">
      <c r="B69" s="1129" t="s">
        <v>306</v>
      </c>
      <c r="C69" s="1114"/>
      <c r="D69" s="1114"/>
      <c r="E69" s="1085">
        <v>0</v>
      </c>
      <c r="F69" s="1086">
        <v>0</v>
      </c>
    </row>
    <row r="70" spans="2:6" ht="12.75">
      <c r="B70" s="1129" t="s">
        <v>307</v>
      </c>
      <c r="C70" s="1114"/>
      <c r="D70" s="1114"/>
      <c r="E70" s="1089">
        <f>SUM(E71:E75)</f>
        <v>0</v>
      </c>
      <c r="F70" s="1090">
        <f>SUM(F71:F75)</f>
        <v>0</v>
      </c>
    </row>
    <row r="71" spans="2:6" ht="12.75" customHeight="1">
      <c r="B71" s="1129" t="s">
        <v>308</v>
      </c>
      <c r="C71" s="1114"/>
      <c r="D71" s="1114"/>
      <c r="E71" s="1085">
        <v>0</v>
      </c>
      <c r="F71" s="1086">
        <v>0</v>
      </c>
    </row>
    <row r="72" spans="2:6" ht="12.75" customHeight="1">
      <c r="B72" s="1129" t="s">
        <v>309</v>
      </c>
      <c r="C72" s="1114"/>
      <c r="D72" s="1114"/>
      <c r="E72" s="1085">
        <v>0</v>
      </c>
      <c r="F72" s="1086">
        <v>0</v>
      </c>
    </row>
    <row r="73" spans="2:6" ht="12.75" customHeight="1">
      <c r="B73" s="1129" t="s">
        <v>310</v>
      </c>
      <c r="C73" s="1114"/>
      <c r="D73" s="1114"/>
      <c r="E73" s="1085">
        <v>0</v>
      </c>
      <c r="F73" s="1086">
        <v>0</v>
      </c>
    </row>
    <row r="74" spans="2:6" ht="12.75" customHeight="1">
      <c r="B74" s="1129" t="s">
        <v>311</v>
      </c>
      <c r="C74" s="1114"/>
      <c r="D74" s="1114"/>
      <c r="E74" s="1085">
        <v>0</v>
      </c>
      <c r="F74" s="1086">
        <v>0</v>
      </c>
    </row>
    <row r="75" spans="2:6" ht="12.75" customHeight="1">
      <c r="B75" s="1129" t="s">
        <v>312</v>
      </c>
      <c r="C75" s="1114"/>
      <c r="D75" s="1114"/>
      <c r="E75" s="1085">
        <v>0</v>
      </c>
      <c r="F75" s="1086">
        <v>0</v>
      </c>
    </row>
    <row r="76" spans="2:6" ht="25.5">
      <c r="B76" s="336" t="s">
        <v>313</v>
      </c>
      <c r="C76" s="1114"/>
      <c r="D76" s="1114"/>
      <c r="E76" s="1089">
        <f>SUM(E77:E78)</f>
        <v>0</v>
      </c>
      <c r="F76" s="1090">
        <f>SUM(F77:F78)</f>
        <v>0</v>
      </c>
    </row>
    <row r="77" spans="2:6" ht="15" customHeight="1">
      <c r="B77" s="1129" t="s">
        <v>314</v>
      </c>
      <c r="C77" s="1114" t="s">
        <v>295</v>
      </c>
      <c r="D77" s="1114"/>
      <c r="E77" s="1085">
        <v>0</v>
      </c>
      <c r="F77" s="1086">
        <v>0</v>
      </c>
    </row>
    <row r="78" spans="2:6" ht="12.75">
      <c r="B78" s="1129" t="s">
        <v>315</v>
      </c>
      <c r="C78" s="1114" t="s">
        <v>296</v>
      </c>
      <c r="D78" s="1114"/>
      <c r="E78" s="1085">
        <v>0</v>
      </c>
      <c r="F78" s="1086">
        <v>0</v>
      </c>
    </row>
    <row r="79" spans="2:6" ht="23.25" customHeight="1">
      <c r="B79" s="1230" t="s">
        <v>316</v>
      </c>
      <c r="C79" s="1231"/>
      <c r="D79" s="1123"/>
      <c r="E79" s="1121">
        <f>E57+E63+E76</f>
        <v>1965571.6299999985</v>
      </c>
      <c r="F79" s="1131">
        <f>F57+F63+F76</f>
        <v>2451531.8099999963</v>
      </c>
    </row>
    <row r="80" spans="2:6" ht="17.25" customHeight="1">
      <c r="B80" s="1133" t="s">
        <v>317</v>
      </c>
      <c r="C80" s="1124"/>
      <c r="D80" s="1124"/>
      <c r="E80" s="1125"/>
      <c r="F80" s="1134"/>
    </row>
    <row r="81" spans="2:6" ht="25.5" customHeight="1">
      <c r="B81" s="1130" t="s">
        <v>318</v>
      </c>
      <c r="C81" s="1126"/>
      <c r="D81" s="1126"/>
      <c r="E81" s="1121">
        <f>E35+E55+E79+E80</f>
        <v>-19000.00000000093</v>
      </c>
      <c r="F81" s="1131">
        <f>F35+F55+F79+F80</f>
        <v>74865.86999999685</v>
      </c>
    </row>
    <row r="82" spans="2:6" ht="12.75">
      <c r="B82" s="1129" t="s">
        <v>319</v>
      </c>
      <c r="C82" s="1114"/>
      <c r="D82" s="1114"/>
      <c r="E82" s="1127">
        <f>+ACTIVO!D41</f>
        <v>550000</v>
      </c>
      <c r="F82" s="1135">
        <f>+ACTIVO!C40</f>
        <v>475134.13</v>
      </c>
    </row>
    <row r="83" spans="2:6" ht="13.5" customHeight="1" thickBot="1">
      <c r="B83" s="342" t="s">
        <v>320</v>
      </c>
      <c r="C83" s="343"/>
      <c r="D83" s="343"/>
      <c r="E83" s="522">
        <f>+ACTIVO!E41</f>
        <v>531000</v>
      </c>
      <c r="F83" s="1136">
        <f>+ACTIVO!D40</f>
        <v>550000</v>
      </c>
    </row>
    <row r="84" spans="5:6" ht="12.75" hidden="1">
      <c r="E84" s="1091">
        <f>+E83-E82-E81</f>
        <v>9.313225746154785E-10</v>
      </c>
      <c r="F84" s="1091">
        <f>+F83-F82-F81</f>
        <v>3.14321368932724E-09</v>
      </c>
    </row>
    <row r="86" spans="5:6" ht="12.75">
      <c r="E86" s="344"/>
      <c r="F86" s="344"/>
    </row>
    <row r="87" spans="5:6" ht="12.75">
      <c r="E87" s="344"/>
      <c r="F87" s="344"/>
    </row>
    <row r="88" spans="5:6" ht="12.75">
      <c r="E88" s="344"/>
      <c r="F88" s="344"/>
    </row>
    <row r="89" spans="5:6" ht="12.75">
      <c r="E89" s="344"/>
      <c r="F89" s="344"/>
    </row>
    <row r="90" spans="5:6" ht="12.75">
      <c r="E90" s="344"/>
      <c r="F90" s="344"/>
    </row>
    <row r="91" spans="5:6" ht="12.75">
      <c r="E91" s="344"/>
      <c r="F91" s="344"/>
    </row>
    <row r="92" spans="5:6" ht="12.75">
      <c r="E92" s="344"/>
      <c r="F92" s="344"/>
    </row>
    <row r="93" spans="5:6" ht="12.75">
      <c r="E93" s="344"/>
      <c r="F93" s="344"/>
    </row>
    <row r="94" spans="5:6" ht="12.75">
      <c r="E94" s="344"/>
      <c r="F94" s="344"/>
    </row>
    <row r="95" spans="5:6" ht="12.75">
      <c r="E95" s="344"/>
      <c r="F95" s="344"/>
    </row>
    <row r="96" spans="5:6" ht="12.75">
      <c r="E96" s="344"/>
      <c r="F96" s="344"/>
    </row>
    <row r="97" spans="5:6" ht="12.75">
      <c r="E97" s="344"/>
      <c r="F97" s="344"/>
    </row>
    <row r="98" spans="5:6" ht="12.75">
      <c r="E98" s="344"/>
      <c r="F98" s="344"/>
    </row>
  </sheetData>
  <sheetProtection/>
  <mergeCells count="5">
    <mergeCell ref="B79:C79"/>
    <mergeCell ref="B4:E4"/>
    <mergeCell ref="B5:E5"/>
    <mergeCell ref="B6:F6"/>
    <mergeCell ref="B35:C35"/>
  </mergeCells>
  <printOptions horizontalCentered="1" verticalCentered="1"/>
  <pageMargins left="0.35433070866141736" right="0.4330708661417323" top="0.5905511811023623" bottom="0.31496062992125984" header="0.5118110236220472" footer="0.2755905511811024"/>
  <pageSetup orientation="portrait" paperSize="9" scale="65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P67"/>
  <sheetViews>
    <sheetView zoomScale="70" zoomScaleNormal="70" zoomScalePageLayoutView="0" workbookViewId="0" topLeftCell="A31">
      <selection activeCell="A65" sqref="A65:IV68"/>
    </sheetView>
  </sheetViews>
  <sheetFormatPr defaultColWidth="11.421875" defaultRowHeight="12.75"/>
  <cols>
    <col min="1" max="1" width="11.421875" style="677" customWidth="1"/>
    <col min="2" max="2" width="2.7109375" style="677" customWidth="1"/>
    <col min="3" max="3" width="26.421875" style="677" customWidth="1"/>
    <col min="4" max="4" width="29.28125" style="677" customWidth="1"/>
    <col min="5" max="5" width="20.28125" style="677" customWidth="1"/>
    <col min="6" max="6" width="20.7109375" style="677" customWidth="1"/>
    <col min="7" max="7" width="19.421875" style="677" customWidth="1"/>
    <col min="8" max="8" width="15.7109375" style="677" customWidth="1"/>
    <col min="9" max="9" width="15.28125" style="677" customWidth="1"/>
    <col min="10" max="10" width="16.421875" style="677" customWidth="1"/>
    <col min="11" max="11" width="15.7109375" style="677" customWidth="1"/>
    <col min="12" max="12" width="15.28125" style="677" customWidth="1"/>
    <col min="13" max="13" width="19.00390625" style="677" customWidth="1"/>
    <col min="14" max="14" width="11.421875" style="677" customWidth="1"/>
    <col min="15" max="16" width="5.00390625" style="677" hidden="1" customWidth="1"/>
    <col min="17" max="17" width="11.421875" style="677" hidden="1" customWidth="1"/>
    <col min="18" max="16384" width="11.421875" style="677" customWidth="1"/>
  </cols>
  <sheetData>
    <row r="1" ht="25.5" customHeight="1" thickBot="1"/>
    <row r="2" spans="2:13" ht="44.25" customHeight="1">
      <c r="B2" s="1284" t="s">
        <v>214</v>
      </c>
      <c r="C2" s="1285"/>
      <c r="D2" s="1285"/>
      <c r="E2" s="1285"/>
      <c r="F2" s="1285"/>
      <c r="G2" s="1285"/>
      <c r="H2" s="1285"/>
      <c r="I2" s="1285"/>
      <c r="J2" s="1285"/>
      <c r="K2" s="1285"/>
      <c r="L2" s="1286"/>
      <c r="M2" s="678">
        <f>CPYG!E2</f>
        <v>2017</v>
      </c>
    </row>
    <row r="3" spans="2:13" ht="24" customHeight="1">
      <c r="B3" s="1291" t="str">
        <f>'ORGANOS DE GOBIERNO'!B4:I4</f>
        <v>ENTIDAD: ENTIDAD PÚBLICA EMPRESARIAL LOCAL BALSAS DE TENERIFE, BALTEN</v>
      </c>
      <c r="C3" s="1292"/>
      <c r="D3" s="1292"/>
      <c r="E3" s="1292"/>
      <c r="F3" s="1292"/>
      <c r="G3" s="1292"/>
      <c r="H3" s="1292"/>
      <c r="I3" s="1292"/>
      <c r="J3" s="1292"/>
      <c r="K3" s="1292"/>
      <c r="L3" s="1293"/>
      <c r="M3" s="229" t="s">
        <v>202</v>
      </c>
    </row>
    <row r="4" spans="2:13" ht="23.25" customHeight="1" thickBot="1">
      <c r="B4" s="1287" t="s">
        <v>458</v>
      </c>
      <c r="C4" s="1288"/>
      <c r="D4" s="1288"/>
      <c r="E4" s="1288"/>
      <c r="F4" s="1288"/>
      <c r="G4" s="1288"/>
      <c r="H4" s="1289"/>
      <c r="I4" s="1289"/>
      <c r="J4" s="1289"/>
      <c r="K4" s="1289"/>
      <c r="L4" s="1289"/>
      <c r="M4" s="1290"/>
    </row>
    <row r="5" spans="2:13" ht="28.5" customHeight="1">
      <c r="B5" s="1294" t="s">
        <v>486</v>
      </c>
      <c r="C5" s="1255"/>
      <c r="D5" s="1255"/>
      <c r="E5" s="1255" t="s">
        <v>494</v>
      </c>
      <c r="F5" s="1255"/>
      <c r="G5" s="1256"/>
      <c r="H5" s="1255" t="s">
        <v>459</v>
      </c>
      <c r="I5" s="1255"/>
      <c r="J5" s="1256"/>
      <c r="K5" s="1294" t="s">
        <v>460</v>
      </c>
      <c r="L5" s="1255"/>
      <c r="M5" s="1256"/>
    </row>
    <row r="6" spans="2:13" ht="28.5" customHeight="1" thickBot="1">
      <c r="B6" s="1295"/>
      <c r="C6" s="1296"/>
      <c r="D6" s="1296"/>
      <c r="E6" s="680" t="s">
        <v>461</v>
      </c>
      <c r="F6" s="680" t="s">
        <v>462</v>
      </c>
      <c r="G6" s="681" t="s">
        <v>584</v>
      </c>
      <c r="H6" s="680" t="s">
        <v>461</v>
      </c>
      <c r="I6" s="680" t="s">
        <v>462</v>
      </c>
      <c r="J6" s="681" t="s">
        <v>584</v>
      </c>
      <c r="K6" s="679" t="s">
        <v>461</v>
      </c>
      <c r="L6" s="680" t="s">
        <v>462</v>
      </c>
      <c r="M6" s="681" t="s">
        <v>584</v>
      </c>
    </row>
    <row r="7" spans="2:13" s="757" customFormat="1" ht="28.5" customHeight="1">
      <c r="B7" s="750" t="s">
        <v>463</v>
      </c>
      <c r="C7" s="751"/>
      <c r="D7" s="752"/>
      <c r="E7" s="753">
        <f>+E8+E9</f>
        <v>15625.53</v>
      </c>
      <c r="F7" s="754">
        <f>+F8+F9</f>
        <v>0</v>
      </c>
      <c r="G7" s="755"/>
      <c r="H7" s="754">
        <f>+H8+H9</f>
        <v>18000</v>
      </c>
      <c r="I7" s="754">
        <f>+I8+I9</f>
        <v>0</v>
      </c>
      <c r="J7" s="755"/>
      <c r="K7" s="756">
        <f>+K8+K9</f>
        <v>16000</v>
      </c>
      <c r="L7" s="754">
        <f>+L8+L9</f>
        <v>0</v>
      </c>
      <c r="M7" s="755"/>
    </row>
    <row r="8" spans="2:13" s="757" customFormat="1" ht="18" customHeight="1">
      <c r="B8" s="758"/>
      <c r="C8" s="759"/>
      <c r="D8" s="760" t="s">
        <v>464</v>
      </c>
      <c r="E8" s="761">
        <v>15625.53</v>
      </c>
      <c r="F8" s="754"/>
      <c r="G8" s="755"/>
      <c r="H8" s="762">
        <v>18000</v>
      </c>
      <c r="I8" s="754"/>
      <c r="J8" s="755"/>
      <c r="K8" s="763">
        <v>16000</v>
      </c>
      <c r="L8" s="754"/>
      <c r="M8" s="755"/>
    </row>
    <row r="9" spans="2:13" s="757" customFormat="1" ht="25.5" customHeight="1">
      <c r="B9" s="758"/>
      <c r="C9" s="759"/>
      <c r="D9" s="760" t="s">
        <v>465</v>
      </c>
      <c r="E9" s="764"/>
      <c r="F9" s="754"/>
      <c r="G9" s="755"/>
      <c r="H9" s="754"/>
      <c r="I9" s="754"/>
      <c r="J9" s="755"/>
      <c r="K9" s="765"/>
      <c r="L9" s="754"/>
      <c r="M9" s="755"/>
    </row>
    <row r="10" spans="2:13" s="757" customFormat="1" ht="28.5" customHeight="1">
      <c r="B10" s="750" t="s">
        <v>466</v>
      </c>
      <c r="C10" s="759"/>
      <c r="D10" s="764"/>
      <c r="E10" s="766">
        <f>+E11+E18</f>
        <v>48117.27</v>
      </c>
      <c r="F10" s="754">
        <f>+F11+F18</f>
        <v>0</v>
      </c>
      <c r="G10" s="755"/>
      <c r="H10" s="754">
        <f>+H11+H18</f>
        <v>52500</v>
      </c>
      <c r="I10" s="754">
        <f>+I11+I18</f>
        <v>0</v>
      </c>
      <c r="J10" s="755"/>
      <c r="K10" s="756">
        <f>+K11+K18</f>
        <v>61000</v>
      </c>
      <c r="L10" s="754">
        <f>+L11+L18</f>
        <v>0</v>
      </c>
      <c r="M10" s="755"/>
    </row>
    <row r="11" spans="2:13" s="757" customFormat="1" ht="30" customHeight="1">
      <c r="B11" s="758"/>
      <c r="C11" s="767" t="s">
        <v>467</v>
      </c>
      <c r="D11" s="760" t="s">
        <v>468</v>
      </c>
      <c r="E11" s="761">
        <f>E12+E13+E14+E16+E17+E15</f>
        <v>48117.27</v>
      </c>
      <c r="F11" s="762">
        <f>+F14+F16+F17</f>
        <v>0</v>
      </c>
      <c r="G11" s="755"/>
      <c r="H11" s="762">
        <f>H12+H13+H14+H15+H16+H17</f>
        <v>52500</v>
      </c>
      <c r="I11" s="762">
        <f>+I14+I16+I17</f>
        <v>0</v>
      </c>
      <c r="J11" s="755"/>
      <c r="K11" s="763">
        <f>K12+K13+K14+K15+K16+K17</f>
        <v>61000</v>
      </c>
      <c r="L11" s="762">
        <f>+L14+L16+L17</f>
        <v>0</v>
      </c>
      <c r="M11" s="755"/>
    </row>
    <row r="12" spans="2:13" s="757" customFormat="1" ht="30" customHeight="1">
      <c r="B12" s="758"/>
      <c r="C12" s="768" t="s">
        <v>865</v>
      </c>
      <c r="D12" s="760"/>
      <c r="E12" s="761">
        <v>8469.6</v>
      </c>
      <c r="F12" s="762"/>
      <c r="G12" s="769"/>
      <c r="H12" s="762">
        <v>14000</v>
      </c>
      <c r="I12" s="762"/>
      <c r="J12" s="769"/>
      <c r="K12" s="763">
        <v>15000</v>
      </c>
      <c r="L12" s="762"/>
      <c r="M12" s="769"/>
    </row>
    <row r="13" spans="2:13" s="757" customFormat="1" ht="30" customHeight="1">
      <c r="B13" s="758"/>
      <c r="C13" s="767" t="s">
        <v>866</v>
      </c>
      <c r="D13" s="760"/>
      <c r="E13" s="761">
        <v>18326.07</v>
      </c>
      <c r="F13" s="762"/>
      <c r="G13" s="769"/>
      <c r="H13" s="762">
        <v>15000</v>
      </c>
      <c r="I13" s="762"/>
      <c r="J13" s="769"/>
      <c r="K13" s="763">
        <v>19000</v>
      </c>
      <c r="L13" s="762"/>
      <c r="M13" s="769"/>
    </row>
    <row r="14" spans="2:13" s="757" customFormat="1" ht="38.25">
      <c r="B14" s="758"/>
      <c r="C14" s="768" t="s">
        <v>867</v>
      </c>
      <c r="D14" s="760"/>
      <c r="E14" s="761">
        <v>6171</v>
      </c>
      <c r="F14" s="754"/>
      <c r="G14" s="769"/>
      <c r="H14" s="762">
        <v>6000</v>
      </c>
      <c r="I14" s="754"/>
      <c r="J14" s="769"/>
      <c r="K14" s="763">
        <v>7000</v>
      </c>
      <c r="L14" s="754"/>
      <c r="M14" s="769"/>
    </row>
    <row r="15" spans="2:13" s="757" customFormat="1" ht="25.5">
      <c r="B15" s="758"/>
      <c r="C15" s="768" t="s">
        <v>870</v>
      </c>
      <c r="D15" s="760"/>
      <c r="E15" s="761">
        <v>0</v>
      </c>
      <c r="F15" s="754"/>
      <c r="G15" s="769"/>
      <c r="H15" s="762">
        <v>1500</v>
      </c>
      <c r="I15" s="754"/>
      <c r="J15" s="769"/>
      <c r="K15" s="763">
        <v>4000</v>
      </c>
      <c r="L15" s="754"/>
      <c r="M15" s="769"/>
    </row>
    <row r="16" spans="2:13" s="757" customFormat="1" ht="25.5">
      <c r="B16" s="758"/>
      <c r="C16" s="768" t="s">
        <v>868</v>
      </c>
      <c r="D16" s="760"/>
      <c r="E16" s="761">
        <v>2496.6</v>
      </c>
      <c r="F16" s="754"/>
      <c r="G16" s="769"/>
      <c r="H16" s="762">
        <v>3000</v>
      </c>
      <c r="I16" s="754"/>
      <c r="J16" s="769"/>
      <c r="K16" s="763">
        <v>3000</v>
      </c>
      <c r="L16" s="754"/>
      <c r="M16" s="769"/>
    </row>
    <row r="17" spans="2:13" s="757" customFormat="1" ht="25.5">
      <c r="B17" s="758"/>
      <c r="C17" s="768" t="s">
        <v>869</v>
      </c>
      <c r="D17" s="760"/>
      <c r="E17" s="761">
        <v>12654</v>
      </c>
      <c r="F17" s="754"/>
      <c r="G17" s="769"/>
      <c r="H17" s="761">
        <v>13000</v>
      </c>
      <c r="I17" s="754"/>
      <c r="J17" s="769"/>
      <c r="K17" s="763">
        <v>13000</v>
      </c>
      <c r="L17" s="754"/>
      <c r="M17" s="769"/>
    </row>
    <row r="18" spans="2:13" s="757" customFormat="1" ht="26.25" customHeight="1">
      <c r="B18" s="758"/>
      <c r="C18" s="767" t="s">
        <v>467</v>
      </c>
      <c r="D18" s="760" t="s">
        <v>469</v>
      </c>
      <c r="E18" s="770">
        <f>+E19+E20+E21</f>
        <v>0</v>
      </c>
      <c r="F18" s="762">
        <f>+F19+F20+F21</f>
        <v>0</v>
      </c>
      <c r="G18" s="755"/>
      <c r="H18" s="762">
        <f>+H19+H20+H21</f>
        <v>0</v>
      </c>
      <c r="I18" s="762">
        <f>+I19+I20+I21</f>
        <v>0</v>
      </c>
      <c r="J18" s="755"/>
      <c r="K18" s="771">
        <f>+K19+K20+K21</f>
        <v>0</v>
      </c>
      <c r="L18" s="762">
        <f>+L19+L20+L21</f>
        <v>0</v>
      </c>
      <c r="M18" s="755"/>
    </row>
    <row r="19" spans="2:13" s="757" customFormat="1" ht="18" customHeight="1">
      <c r="B19" s="758"/>
      <c r="C19" s="768"/>
      <c r="D19" s="760"/>
      <c r="E19" s="764"/>
      <c r="F19" s="754"/>
      <c r="G19" s="755"/>
      <c r="H19" s="754"/>
      <c r="I19" s="754"/>
      <c r="J19" s="755"/>
      <c r="K19" s="765"/>
      <c r="L19" s="754"/>
      <c r="M19" s="755"/>
    </row>
    <row r="20" spans="2:13" s="757" customFormat="1" ht="18" customHeight="1">
      <c r="B20" s="758"/>
      <c r="C20" s="768"/>
      <c r="D20" s="760"/>
      <c r="E20" s="764"/>
      <c r="F20" s="754"/>
      <c r="G20" s="755"/>
      <c r="H20" s="754"/>
      <c r="I20" s="754"/>
      <c r="J20" s="755"/>
      <c r="K20" s="765"/>
      <c r="L20" s="754"/>
      <c r="M20" s="755"/>
    </row>
    <row r="21" spans="2:13" s="757" customFormat="1" ht="18" customHeight="1">
      <c r="B21" s="758"/>
      <c r="C21" s="759"/>
      <c r="D21" s="764"/>
      <c r="E21" s="764"/>
      <c r="F21" s="754"/>
      <c r="G21" s="755"/>
      <c r="H21" s="754"/>
      <c r="I21" s="754"/>
      <c r="J21" s="755"/>
      <c r="K21" s="765"/>
      <c r="L21" s="754"/>
      <c r="M21" s="755"/>
    </row>
    <row r="22" spans="2:13" s="757" customFormat="1" ht="18" customHeight="1">
      <c r="B22" s="750" t="s">
        <v>470</v>
      </c>
      <c r="C22" s="759"/>
      <c r="D22" s="764"/>
      <c r="E22" s="753">
        <f>+E23+E27+E31+E32</f>
        <v>7623910.78</v>
      </c>
      <c r="F22" s="754">
        <f>+F23+F27+F31+F32</f>
        <v>18059.25</v>
      </c>
      <c r="G22" s="755"/>
      <c r="H22" s="754">
        <f>+H23+H27+H31+H32</f>
        <v>7345614.52</v>
      </c>
      <c r="I22" s="754">
        <f>+I23+I27+I31+I32</f>
        <v>17853.78</v>
      </c>
      <c r="J22" s="755"/>
      <c r="K22" s="756">
        <f>+K23+K27+K31+K32</f>
        <v>8178146.54</v>
      </c>
      <c r="L22" s="754">
        <f>+L23+L27+L31+L32</f>
        <v>19102.72</v>
      </c>
      <c r="M22" s="755"/>
    </row>
    <row r="23" spans="2:13" s="757" customFormat="1" ht="20.25" customHeight="1">
      <c r="B23" s="750"/>
      <c r="C23" s="768" t="s">
        <v>471</v>
      </c>
      <c r="D23" s="760" t="s">
        <v>472</v>
      </c>
      <c r="E23" s="770">
        <f>+E24+E25+E26</f>
        <v>5533.92</v>
      </c>
      <c r="F23" s="762">
        <f>+F24+F25+F26</f>
        <v>0</v>
      </c>
      <c r="G23" s="755"/>
      <c r="H23" s="762">
        <f>+H24+H25+H26</f>
        <v>4834.6</v>
      </c>
      <c r="I23" s="762">
        <f>+I24+I25+I26</f>
        <v>0</v>
      </c>
      <c r="J23" s="755"/>
      <c r="K23" s="772">
        <f>+K24+K25+K26</f>
        <v>4834.6</v>
      </c>
      <c r="L23" s="762">
        <f>+L24+L25+L26</f>
        <v>0</v>
      </c>
      <c r="M23" s="755"/>
    </row>
    <row r="24" spans="2:13" s="757" customFormat="1" ht="18" customHeight="1">
      <c r="B24" s="750"/>
      <c r="C24" s="759"/>
      <c r="D24" s="764" t="s">
        <v>864</v>
      </c>
      <c r="E24" s="761">
        <v>5533.92</v>
      </c>
      <c r="F24" s="754"/>
      <c r="G24" s="755"/>
      <c r="H24" s="762">
        <v>4834.6</v>
      </c>
      <c r="I24" s="754"/>
      <c r="J24" s="769"/>
      <c r="K24" s="772">
        <v>4834.6</v>
      </c>
      <c r="L24" s="754"/>
      <c r="M24" s="755"/>
    </row>
    <row r="25" spans="2:13" s="757" customFormat="1" ht="18" customHeight="1">
      <c r="B25" s="750"/>
      <c r="C25" s="759"/>
      <c r="D25" s="764"/>
      <c r="E25" s="764"/>
      <c r="F25" s="754"/>
      <c r="G25" s="755"/>
      <c r="H25" s="762"/>
      <c r="I25" s="754"/>
      <c r="J25" s="755"/>
      <c r="K25" s="772"/>
      <c r="L25" s="754"/>
      <c r="M25" s="755"/>
    </row>
    <row r="26" spans="2:13" s="757" customFormat="1" ht="18" customHeight="1">
      <c r="B26" s="750"/>
      <c r="C26" s="759"/>
      <c r="D26" s="764"/>
      <c r="E26" s="764"/>
      <c r="F26" s="754"/>
      <c r="G26" s="755"/>
      <c r="H26" s="762"/>
      <c r="I26" s="754"/>
      <c r="J26" s="755"/>
      <c r="K26" s="772"/>
      <c r="L26" s="754"/>
      <c r="M26" s="755"/>
    </row>
    <row r="27" spans="2:13" s="757" customFormat="1" ht="25.5" customHeight="1">
      <c r="B27" s="750"/>
      <c r="C27" s="768" t="s">
        <v>471</v>
      </c>
      <c r="D27" s="760" t="s">
        <v>473</v>
      </c>
      <c r="E27" s="770">
        <f>+E28+E29+E30</f>
        <v>0</v>
      </c>
      <c r="F27" s="762">
        <f>+F28+F29+F30</f>
        <v>0</v>
      </c>
      <c r="G27" s="755"/>
      <c r="H27" s="762">
        <f>+H28+H29+H30</f>
        <v>0</v>
      </c>
      <c r="I27" s="762">
        <f>+I28+I29+I30</f>
        <v>0</v>
      </c>
      <c r="J27" s="755"/>
      <c r="K27" s="763">
        <f>+K28+K29+K30</f>
        <v>0</v>
      </c>
      <c r="L27" s="762">
        <f>+L28+L29+L30</f>
        <v>0</v>
      </c>
      <c r="M27" s="755"/>
    </row>
    <row r="28" spans="2:13" s="757" customFormat="1" ht="18" customHeight="1">
      <c r="B28" s="750"/>
      <c r="C28" s="759"/>
      <c r="D28" s="764"/>
      <c r="E28" s="764"/>
      <c r="F28" s="754"/>
      <c r="G28" s="755"/>
      <c r="H28" s="762"/>
      <c r="I28" s="754"/>
      <c r="J28" s="755"/>
      <c r="K28" s="773"/>
      <c r="L28" s="754"/>
      <c r="M28" s="755"/>
    </row>
    <row r="29" spans="2:13" s="757" customFormat="1" ht="18" customHeight="1">
      <c r="B29" s="750"/>
      <c r="C29" s="759"/>
      <c r="D29" s="764"/>
      <c r="E29" s="764"/>
      <c r="F29" s="754"/>
      <c r="G29" s="755"/>
      <c r="H29" s="762"/>
      <c r="I29" s="754"/>
      <c r="J29" s="755"/>
      <c r="K29" s="773"/>
      <c r="L29" s="754"/>
      <c r="M29" s="755"/>
    </row>
    <row r="30" spans="2:13" s="757" customFormat="1" ht="18" customHeight="1">
      <c r="B30" s="750"/>
      <c r="C30" s="759"/>
      <c r="D30" s="764"/>
      <c r="E30" s="764"/>
      <c r="F30" s="754"/>
      <c r="G30" s="755"/>
      <c r="H30" s="762"/>
      <c r="I30" s="754"/>
      <c r="J30" s="755"/>
      <c r="K30" s="773"/>
      <c r="L30" s="754"/>
      <c r="M30" s="755"/>
    </row>
    <row r="31" spans="2:13" s="757" customFormat="1" ht="18" customHeight="1">
      <c r="B31" s="750"/>
      <c r="C31" s="768" t="s">
        <v>474</v>
      </c>
      <c r="D31" s="760" t="s">
        <v>475</v>
      </c>
      <c r="E31" s="753">
        <f>7245258.84-5533.92-63742.8</f>
        <v>7175982.12</v>
      </c>
      <c r="F31" s="754"/>
      <c r="G31" s="755"/>
      <c r="H31" s="754">
        <f>6967608.21-18000-14000-15000-6000-1500-3000-13000-4834.6</f>
        <v>6892273.61</v>
      </c>
      <c r="I31" s="754"/>
      <c r="J31" s="755"/>
      <c r="K31" s="756">
        <f>7867250.55-16000-61000-4834.6</f>
        <v>7785415.95</v>
      </c>
      <c r="L31" s="754"/>
      <c r="M31" s="755"/>
    </row>
    <row r="32" spans="2:13" s="757" customFormat="1" ht="28.5" customHeight="1">
      <c r="B32" s="750"/>
      <c r="C32" s="768"/>
      <c r="D32" s="760" t="s">
        <v>476</v>
      </c>
      <c r="E32" s="753">
        <f>442394.74</f>
        <v>442394.74</v>
      </c>
      <c r="F32" s="754">
        <f>ROUND(((E32-184405.46)*0.07),2)</f>
        <v>18059.25</v>
      </c>
      <c r="G32" s="755"/>
      <c r="H32" s="754">
        <v>448506.31</v>
      </c>
      <c r="I32" s="754">
        <f>ROUND(((H32-193452.37)*0.07),2)</f>
        <v>17853.78</v>
      </c>
      <c r="J32" s="755"/>
      <c r="K32" s="756">
        <v>387895.99</v>
      </c>
      <c r="L32" s="754">
        <f>ROUND(((K32-115000)*0.07),2)</f>
        <v>19102.72</v>
      </c>
      <c r="M32" s="755"/>
    </row>
    <row r="33" spans="2:16" s="779" customFormat="1" ht="22.5" customHeight="1" thickBot="1">
      <c r="B33" s="1279" t="s">
        <v>477</v>
      </c>
      <c r="C33" s="1280"/>
      <c r="D33" s="1280"/>
      <c r="E33" s="774">
        <f>+E22+E10+E7</f>
        <v>7687653.58</v>
      </c>
      <c r="F33" s="774">
        <f>+F22+F10+F7</f>
        <v>18059.25</v>
      </c>
      <c r="G33" s="775"/>
      <c r="H33" s="776">
        <f>+H22+H10+H7</f>
        <v>7416114.52</v>
      </c>
      <c r="I33" s="776">
        <f>+I22+I10+I7</f>
        <v>17853.78</v>
      </c>
      <c r="J33" s="775"/>
      <c r="K33" s="777">
        <f>+K22+K10+K7</f>
        <v>8255146.54</v>
      </c>
      <c r="L33" s="776">
        <f>+L22+L10+L7</f>
        <v>19102.72</v>
      </c>
      <c r="M33" s="778"/>
      <c r="O33" s="780">
        <f>+I33-CPYG!D7</f>
        <v>-7398260.739999999</v>
      </c>
      <c r="P33" s="780">
        <f>+L33-CPYG!E7</f>
        <v>-8236043.82</v>
      </c>
    </row>
    <row r="34" spans="2:12" s="757" customFormat="1" ht="9" customHeight="1"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</row>
    <row r="35" spans="2:13" s="757" customFormat="1" ht="33" customHeight="1" thickBot="1">
      <c r="B35" s="1243" t="s">
        <v>478</v>
      </c>
      <c r="C35" s="1244"/>
      <c r="D35" s="1244"/>
      <c r="E35" s="1244"/>
      <c r="F35" s="1245"/>
      <c r="G35" s="781" t="s">
        <v>494</v>
      </c>
      <c r="H35" s="781" t="s">
        <v>459</v>
      </c>
      <c r="I35" s="782" t="s">
        <v>460</v>
      </c>
      <c r="J35" s="1300" t="s">
        <v>584</v>
      </c>
      <c r="K35" s="1301"/>
      <c r="L35" s="1301"/>
      <c r="M35" s="1302"/>
    </row>
    <row r="36" spans="2:13" s="757" customFormat="1" ht="15" customHeight="1">
      <c r="B36" s="1281" t="s">
        <v>487</v>
      </c>
      <c r="C36" s="1282"/>
      <c r="D36" s="1282"/>
      <c r="E36" s="1282"/>
      <c r="F36" s="1283"/>
      <c r="G36" s="783">
        <f>SUM(G37:G39)</f>
        <v>2883609.76</v>
      </c>
      <c r="H36" s="783">
        <f>SUM(H37:H39)</f>
        <v>1200</v>
      </c>
      <c r="I36" s="783">
        <f>SUM(I37:I39)</f>
        <v>0</v>
      </c>
      <c r="J36" s="1303"/>
      <c r="K36" s="1304"/>
      <c r="L36" s="1304"/>
      <c r="M36" s="1305"/>
    </row>
    <row r="37" spans="2:13" s="757" customFormat="1" ht="15" customHeight="1">
      <c r="B37" s="1272" t="s">
        <v>872</v>
      </c>
      <c r="C37" s="1273"/>
      <c r="D37" s="1273"/>
      <c r="E37" s="1273"/>
      <c r="F37" s="1274"/>
      <c r="G37" s="784">
        <v>2883609.76</v>
      </c>
      <c r="H37" s="785">
        <v>0</v>
      </c>
      <c r="I37" s="785">
        <v>0</v>
      </c>
      <c r="J37" s="1297"/>
      <c r="K37" s="1298"/>
      <c r="L37" s="1298"/>
      <c r="M37" s="1299"/>
    </row>
    <row r="38" spans="2:13" s="757" customFormat="1" ht="15" customHeight="1">
      <c r="B38" s="1260" t="s">
        <v>606</v>
      </c>
      <c r="C38" s="1261"/>
      <c r="D38" s="1261"/>
      <c r="E38" s="1261"/>
      <c r="F38" s="1262"/>
      <c r="G38" s="786">
        <v>0</v>
      </c>
      <c r="H38" s="787">
        <v>1200</v>
      </c>
      <c r="I38" s="787">
        <v>0</v>
      </c>
      <c r="J38" s="1275"/>
      <c r="K38" s="1276"/>
      <c r="L38" s="1276"/>
      <c r="M38" s="1277"/>
    </row>
    <row r="39" spans="2:13" s="757" customFormat="1" ht="15" customHeight="1">
      <c r="B39" s="1263"/>
      <c r="C39" s="1264"/>
      <c r="D39" s="1264"/>
      <c r="E39" s="1264"/>
      <c r="F39" s="1265"/>
      <c r="G39" s="791"/>
      <c r="H39" s="792"/>
      <c r="I39" s="792"/>
      <c r="J39" s="1257"/>
      <c r="K39" s="1258"/>
      <c r="L39" s="1258"/>
      <c r="M39" s="1259"/>
    </row>
    <row r="40" spans="2:13" s="757" customFormat="1" ht="15" customHeight="1">
      <c r="B40" s="1306" t="s">
        <v>488</v>
      </c>
      <c r="C40" s="1307"/>
      <c r="D40" s="1307"/>
      <c r="E40" s="1307"/>
      <c r="F40" s="1308"/>
      <c r="G40" s="783">
        <f>SUM(G41:G50)</f>
        <v>-2974956.3999999994</v>
      </c>
      <c r="H40" s="783">
        <f>SUM(H41:H50)</f>
        <v>-600</v>
      </c>
      <c r="I40" s="783">
        <f>SUM(I41:I50)</f>
        <v>0</v>
      </c>
      <c r="J40" s="1303"/>
      <c r="K40" s="1304"/>
      <c r="L40" s="1304"/>
      <c r="M40" s="1305"/>
    </row>
    <row r="41" spans="2:13" s="757" customFormat="1" ht="15" customHeight="1">
      <c r="B41" s="1272" t="s">
        <v>873</v>
      </c>
      <c r="C41" s="1273"/>
      <c r="D41" s="1273"/>
      <c r="E41" s="1273"/>
      <c r="F41" s="1274"/>
      <c r="G41" s="784">
        <v>-2883609.76</v>
      </c>
      <c r="H41" s="785">
        <v>0</v>
      </c>
      <c r="I41" s="785">
        <v>0</v>
      </c>
      <c r="J41" s="1297"/>
      <c r="K41" s="1298"/>
      <c r="L41" s="1298"/>
      <c r="M41" s="1299"/>
    </row>
    <row r="42" spans="2:13" s="757" customFormat="1" ht="15" customHeight="1">
      <c r="B42" s="1260" t="s">
        <v>874</v>
      </c>
      <c r="C42" s="1261"/>
      <c r="D42" s="1261"/>
      <c r="E42" s="1261"/>
      <c r="F42" s="1262"/>
      <c r="G42" s="786">
        <v>-3192.82</v>
      </c>
      <c r="H42" s="787">
        <v>0</v>
      </c>
      <c r="I42" s="787">
        <v>0</v>
      </c>
      <c r="J42" s="788"/>
      <c r="K42" s="789"/>
      <c r="L42" s="789"/>
      <c r="M42" s="790"/>
    </row>
    <row r="43" spans="2:13" s="757" customFormat="1" ht="15" customHeight="1">
      <c r="B43" s="1260" t="s">
        <v>875</v>
      </c>
      <c r="C43" s="1261"/>
      <c r="D43" s="1261"/>
      <c r="E43" s="1261"/>
      <c r="F43" s="1262"/>
      <c r="G43" s="786">
        <v>-47040.88</v>
      </c>
      <c r="H43" s="787">
        <v>0</v>
      </c>
      <c r="I43" s="787">
        <v>0</v>
      </c>
      <c r="J43" s="788"/>
      <c r="K43" s="789"/>
      <c r="L43" s="789"/>
      <c r="M43" s="790"/>
    </row>
    <row r="44" spans="2:13" s="757" customFormat="1" ht="15" customHeight="1">
      <c r="B44" s="1260" t="s">
        <v>876</v>
      </c>
      <c r="C44" s="1261"/>
      <c r="D44" s="1261"/>
      <c r="E44" s="1261"/>
      <c r="F44" s="1262"/>
      <c r="G44" s="786">
        <v>-16733.01</v>
      </c>
      <c r="H44" s="787">
        <v>0</v>
      </c>
      <c r="I44" s="787">
        <v>0</v>
      </c>
      <c r="J44" s="788"/>
      <c r="K44" s="789"/>
      <c r="L44" s="789"/>
      <c r="M44" s="790"/>
    </row>
    <row r="45" spans="2:13" s="757" customFormat="1" ht="15" customHeight="1">
      <c r="B45" s="1260" t="s">
        <v>877</v>
      </c>
      <c r="C45" s="1261"/>
      <c r="D45" s="1261"/>
      <c r="E45" s="1261"/>
      <c r="F45" s="1262"/>
      <c r="G45" s="786">
        <v>-12000</v>
      </c>
      <c r="H45" s="787">
        <v>0</v>
      </c>
      <c r="I45" s="787">
        <v>0</v>
      </c>
      <c r="J45" s="788"/>
      <c r="K45" s="789"/>
      <c r="L45" s="789"/>
      <c r="M45" s="790"/>
    </row>
    <row r="46" spans="2:13" s="757" customFormat="1" ht="15" customHeight="1">
      <c r="B46" s="1260" t="s">
        <v>878</v>
      </c>
      <c r="C46" s="1261"/>
      <c r="D46" s="1261"/>
      <c r="E46" s="1261"/>
      <c r="F46" s="1262"/>
      <c r="G46" s="786">
        <v>-7049.18</v>
      </c>
      <c r="H46" s="787">
        <v>0</v>
      </c>
      <c r="I46" s="787">
        <v>0</v>
      </c>
      <c r="J46" s="788"/>
      <c r="K46" s="789"/>
      <c r="L46" s="789"/>
      <c r="M46" s="790"/>
    </row>
    <row r="47" spans="2:13" s="757" customFormat="1" ht="15" customHeight="1">
      <c r="B47" s="1260" t="s">
        <v>879</v>
      </c>
      <c r="C47" s="1261"/>
      <c r="D47" s="1261"/>
      <c r="E47" s="1261"/>
      <c r="F47" s="1262"/>
      <c r="G47" s="786">
        <v>-3192.1</v>
      </c>
      <c r="H47" s="787">
        <v>0</v>
      </c>
      <c r="I47" s="787">
        <v>0</v>
      </c>
      <c r="J47" s="788"/>
      <c r="K47" s="789"/>
      <c r="L47" s="789"/>
      <c r="M47" s="790"/>
    </row>
    <row r="48" spans="2:13" s="757" customFormat="1" ht="15" customHeight="1">
      <c r="B48" s="1260" t="s">
        <v>880</v>
      </c>
      <c r="C48" s="1261"/>
      <c r="D48" s="1261"/>
      <c r="E48" s="1261"/>
      <c r="F48" s="1262"/>
      <c r="G48" s="786">
        <v>-2138.65</v>
      </c>
      <c r="H48" s="787">
        <v>0</v>
      </c>
      <c r="I48" s="787">
        <v>0</v>
      </c>
      <c r="J48" s="788"/>
      <c r="K48" s="789"/>
      <c r="L48" s="789"/>
      <c r="M48" s="790"/>
    </row>
    <row r="49" spans="2:13" s="757" customFormat="1" ht="15" customHeight="1">
      <c r="B49" s="1260" t="s">
        <v>606</v>
      </c>
      <c r="C49" s="1261"/>
      <c r="D49" s="1261"/>
      <c r="E49" s="1261"/>
      <c r="F49" s="1262"/>
      <c r="G49" s="786">
        <v>0</v>
      </c>
      <c r="H49" s="787">
        <v>-600</v>
      </c>
      <c r="I49" s="787">
        <v>0</v>
      </c>
      <c r="J49" s="1275"/>
      <c r="K49" s="1276"/>
      <c r="L49" s="1276"/>
      <c r="M49" s="1277"/>
    </row>
    <row r="50" spans="2:13" s="757" customFormat="1" ht="15" customHeight="1">
      <c r="B50" s="1263"/>
      <c r="C50" s="1264"/>
      <c r="D50" s="1264"/>
      <c r="E50" s="1264"/>
      <c r="F50" s="1265"/>
      <c r="G50" s="791"/>
      <c r="H50" s="792"/>
      <c r="I50" s="792"/>
      <c r="J50" s="1257"/>
      <c r="K50" s="1258"/>
      <c r="L50" s="1258"/>
      <c r="M50" s="1259"/>
    </row>
    <row r="51" spans="2:10" s="757" customFormat="1" ht="6" customHeight="1">
      <c r="B51" s="793"/>
      <c r="C51" s="793"/>
      <c r="D51" s="793"/>
      <c r="E51" s="793"/>
      <c r="F51" s="793"/>
      <c r="G51" s="794"/>
      <c r="H51" s="794"/>
      <c r="I51" s="794"/>
      <c r="J51" s="795"/>
    </row>
    <row r="52" spans="2:13" s="757" customFormat="1" ht="26.25" customHeight="1" thickBot="1">
      <c r="B52" s="1243" t="s">
        <v>479</v>
      </c>
      <c r="C52" s="1244"/>
      <c r="D52" s="1244"/>
      <c r="E52" s="1244"/>
      <c r="F52" s="1245"/>
      <c r="G52" s="781" t="s">
        <v>494</v>
      </c>
      <c r="H52" s="781" t="s">
        <v>459</v>
      </c>
      <c r="I52" s="782" t="s">
        <v>460</v>
      </c>
      <c r="J52" s="1249" t="s">
        <v>584</v>
      </c>
      <c r="K52" s="1250"/>
      <c r="L52" s="1250"/>
      <c r="M52" s="1251"/>
    </row>
    <row r="53" spans="2:13" s="757" customFormat="1" ht="15" customHeight="1">
      <c r="B53" s="1246" t="s">
        <v>480</v>
      </c>
      <c r="C53" s="1247"/>
      <c r="D53" s="1247"/>
      <c r="E53" s="1247"/>
      <c r="F53" s="1248"/>
      <c r="G53" s="796">
        <v>122.11</v>
      </c>
      <c r="H53" s="796">
        <v>61</v>
      </c>
      <c r="I53" s="796">
        <v>0</v>
      </c>
      <c r="J53" s="1252"/>
      <c r="K53" s="1253"/>
      <c r="L53" s="1253"/>
      <c r="M53" s="1254"/>
    </row>
    <row r="54" spans="2:13" s="757" customFormat="1" ht="15" customHeight="1">
      <c r="B54" s="1266" t="s">
        <v>481</v>
      </c>
      <c r="C54" s="1267"/>
      <c r="D54" s="1267"/>
      <c r="E54" s="1267"/>
      <c r="F54" s="1268"/>
      <c r="G54" s="797">
        <v>-77.2</v>
      </c>
      <c r="H54" s="797">
        <v>-122.11</v>
      </c>
      <c r="I54" s="797">
        <v>-61</v>
      </c>
      <c r="J54" s="1269"/>
      <c r="K54" s="1270"/>
      <c r="L54" s="1270"/>
      <c r="M54" s="1271"/>
    </row>
    <row r="58" spans="2:3" ht="12.75">
      <c r="B58" s="682" t="s">
        <v>482</v>
      </c>
      <c r="C58" s="683" t="s">
        <v>483</v>
      </c>
    </row>
    <row r="59" spans="2:13" ht="27.75" customHeight="1">
      <c r="B59" s="682" t="s">
        <v>484</v>
      </c>
      <c r="C59" s="1242" t="s">
        <v>489</v>
      </c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</row>
    <row r="60" spans="2:13" s="684" customFormat="1" ht="24" customHeight="1">
      <c r="B60" s="682" t="s">
        <v>485</v>
      </c>
      <c r="C60" s="1242" t="s">
        <v>490</v>
      </c>
      <c r="D60" s="1242"/>
      <c r="E60" s="1242"/>
      <c r="F60" s="1242"/>
      <c r="G60" s="1242"/>
      <c r="H60" s="1242"/>
      <c r="I60" s="1242"/>
      <c r="J60" s="1242"/>
      <c r="K60" s="1242"/>
      <c r="L60" s="1242"/>
      <c r="M60" s="1242"/>
    </row>
    <row r="65" spans="4:11" ht="12.75" hidden="1">
      <c r="D65" s="749" t="s">
        <v>871</v>
      </c>
      <c r="E65" s="748">
        <f>E33-CPYG!C7</f>
        <v>0</v>
      </c>
      <c r="F65" s="748"/>
      <c r="G65" s="748"/>
      <c r="H65" s="748">
        <f>H33-CPYG!D7</f>
        <v>0</v>
      </c>
      <c r="I65" s="748"/>
      <c r="J65" s="748"/>
      <c r="K65" s="748">
        <f>K33-CPYG!E7</f>
        <v>0</v>
      </c>
    </row>
    <row r="66" spans="4:11" ht="12.75" hidden="1">
      <c r="D66" s="749" t="s">
        <v>881</v>
      </c>
      <c r="E66" s="748"/>
      <c r="F66" s="748"/>
      <c r="G66" s="748">
        <f>G36-CPYG!C64</f>
        <v>0</v>
      </c>
      <c r="H66" s="748">
        <f>H36-CPYG!D64</f>
        <v>0</v>
      </c>
      <c r="I66" s="748">
        <f>I36-CPYG!E64</f>
        <v>0</v>
      </c>
      <c r="J66" s="748"/>
      <c r="K66" s="748"/>
    </row>
    <row r="67" spans="4:11" ht="12.75" hidden="1">
      <c r="D67" s="749" t="s">
        <v>882</v>
      </c>
      <c r="E67" s="748"/>
      <c r="F67" s="748"/>
      <c r="G67" s="748">
        <f>G40-CPYG!C63</f>
        <v>0</v>
      </c>
      <c r="H67" s="748">
        <f>H40-CPYG!D63</f>
        <v>0</v>
      </c>
      <c r="I67" s="748">
        <f>I40-CPYG!E63</f>
        <v>0</v>
      </c>
      <c r="J67" s="748"/>
      <c r="K67" s="748"/>
    </row>
    <row r="68" ht="12.75" hidden="1"/>
  </sheetData>
  <sheetProtection/>
  <mergeCells count="42">
    <mergeCell ref="B43:F43"/>
    <mergeCell ref="B44:F44"/>
    <mergeCell ref="B45:F45"/>
    <mergeCell ref="B46:F46"/>
    <mergeCell ref="B47:F47"/>
    <mergeCell ref="B48:F48"/>
    <mergeCell ref="B41:F41"/>
    <mergeCell ref="J41:M41"/>
    <mergeCell ref="J35:M35"/>
    <mergeCell ref="J36:M36"/>
    <mergeCell ref="B42:F42"/>
    <mergeCell ref="J37:M37"/>
    <mergeCell ref="J38:M38"/>
    <mergeCell ref="J39:M39"/>
    <mergeCell ref="J40:M40"/>
    <mergeCell ref="B40:F40"/>
    <mergeCell ref="B34:L34"/>
    <mergeCell ref="B33:D33"/>
    <mergeCell ref="B35:F35"/>
    <mergeCell ref="B36:F36"/>
    <mergeCell ref="B2:L2"/>
    <mergeCell ref="B4:M4"/>
    <mergeCell ref="B3:L3"/>
    <mergeCell ref="B5:D6"/>
    <mergeCell ref="H5:J5"/>
    <mergeCell ref="K5:M5"/>
    <mergeCell ref="E5:G5"/>
    <mergeCell ref="J50:M50"/>
    <mergeCell ref="B49:F49"/>
    <mergeCell ref="B50:F50"/>
    <mergeCell ref="B54:F54"/>
    <mergeCell ref="J54:M54"/>
    <mergeCell ref="B37:F37"/>
    <mergeCell ref="B38:F38"/>
    <mergeCell ref="B39:F39"/>
    <mergeCell ref="J49:M49"/>
    <mergeCell ref="C60:M60"/>
    <mergeCell ref="C59:M59"/>
    <mergeCell ref="B52:F52"/>
    <mergeCell ref="B53:F53"/>
    <mergeCell ref="J52:M52"/>
    <mergeCell ref="J53:M5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2016-11-20T12:51:21Z</cp:lastPrinted>
  <dcterms:created xsi:type="dcterms:W3CDTF">2004-09-28T16:33:32Z</dcterms:created>
  <dcterms:modified xsi:type="dcterms:W3CDTF">2017-02-08T08:00:20Z</dcterms:modified>
  <cp:category/>
  <cp:version/>
  <cp:contentType/>
  <cp:contentStatus/>
</cp:coreProperties>
</file>