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2000" windowHeight="6735" tabRatio="789" firstSheet="21" activeTab="27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Estado de Flujos" sheetId="8" r:id="rId8"/>
    <sheet name="INF. ADIC. CPYG " sheetId="9" r:id="rId9"/>
    <sheet name="Inversiones reales" sheetId="10" r:id="rId10"/>
    <sheet name="Inv. NO FIN" sheetId="11" r:id="rId11"/>
    <sheet name="Inv. FIN" sheetId="12" r:id="rId12"/>
    <sheet name="No rellenar EP-5 " sheetId="13" state="hidden" r:id="rId13"/>
    <sheet name="Transf. y subv." sheetId="14" r:id="rId14"/>
    <sheet name="Anexo Transf.y subv." sheetId="15" r:id="rId15"/>
    <sheet name="Deuda Viva y Prev. Vtos. Deuda" sheetId="16" r:id="rId16"/>
    <sheet name="Perfil Vtos Deuda 10 años" sheetId="17" r:id="rId17"/>
    <sheet name="Deuda L.P." sheetId="18" r:id="rId18"/>
    <sheet name="EP7 A" sheetId="19" state="hidden" r:id="rId19"/>
    <sheet name="Deuda C.P." sheetId="20" r:id="rId20"/>
    <sheet name="Personal" sheetId="21" r:id="rId21"/>
    <sheet name="PD 2017 (Personal)" sheetId="22" r:id="rId22"/>
    <sheet name="LF 2017 (Personal)" sheetId="23" r:id="rId23"/>
    <sheet name="LT 2017 (Personal)" sheetId="24" r:id="rId24"/>
    <sheet name="PRESTACIONES Y GASTOS SOCIALES" sheetId="25" r:id="rId25"/>
    <sheet name="COMPARATIVA 2016-2017 (2)" sheetId="26" r:id="rId26"/>
    <sheet name="Operaciones Internas" sheetId="27" r:id="rId27"/>
    <sheet name="Encomiendas" sheetId="28" r:id="rId28"/>
    <sheet name="Estab. Presup. " sheetId="29" state="hidden" r:id="rId29"/>
    <sheet name="COMPARATIVA 2016-2017" sheetId="30" state="hidden" r:id="rId30"/>
    <sheet name="FINANCIACION" sheetId="31" state="hidden" r:id="rId31"/>
    <sheet name="PRESUPUESTO" sheetId="32" state="hidden" r:id="rId32"/>
    <sheet name="PRESUPUESTO CPYG" sheetId="33" state="hidden" r:id="rId33"/>
  </sheets>
  <externalReferences>
    <externalReference r:id="rId36"/>
    <externalReference r:id="rId37"/>
    <externalReference r:id="rId38"/>
    <externalReference r:id="rId39"/>
  </externalReferences>
  <definedNames>
    <definedName name="_xlnm.Print_Area" localSheetId="2">'ACCIONISTAS'!$B$3:$J$47</definedName>
    <definedName name="_xlnm.Print_Area" localSheetId="5">'ACTIVO'!$B$2:$E$43</definedName>
    <definedName name="_xlnm.Print_Area" localSheetId="14">'Anexo Transf.y subv.'!$C$4:$F$80</definedName>
    <definedName name="_xlnm.Print_Area" localSheetId="29">'COMPARATIVA 2016-2017'!$B$3:$F$19</definedName>
    <definedName name="_xlnm.Print_Area" localSheetId="25">'COMPARATIVA 2016-2017 (2)'!$B$3:$F$14</definedName>
    <definedName name="_xlnm.Print_Area" localSheetId="3">'COMPROBACION'!$B$2:$D$67</definedName>
    <definedName name="_xlnm.Print_Area" localSheetId="4">'CPYG'!$B$2:$E$94</definedName>
    <definedName name="_xlnm.Print_Area" localSheetId="19">'Deuda C.P.'!$A$2:$O$24</definedName>
    <definedName name="_xlnm.Print_Area" localSheetId="17">'Deuda L.P.'!$B$2:$P$29</definedName>
    <definedName name="_xlnm.Print_Area" localSheetId="15">'Deuda Viva y Prev. Vtos. Deuda'!$B$3:$L$29</definedName>
    <definedName name="_xlnm.Print_Area" localSheetId="27">'Encomiendas'!$B$2:$F$22</definedName>
    <definedName name="_xlnm.Print_Area" localSheetId="18">'EP7 A'!$A$1:$H$25</definedName>
    <definedName name="_xlnm.Print_Area" localSheetId="28">'Estab. Presup. '!$B$2:$F$29</definedName>
    <definedName name="_xlnm.Print_Area" localSheetId="7">'Estado de Flujos'!$B$4:$E$83</definedName>
    <definedName name="_xlnm.Print_Area" localSheetId="30">'FINANCIACION'!$B$2:$I$25</definedName>
    <definedName name="_xlnm.Print_Area" localSheetId="8">'INF. ADIC. CPYG '!$A$2:$L$50</definedName>
    <definedName name="_xlnm.Print_Area" localSheetId="11">'Inv. FIN'!$B$2:$M$53</definedName>
    <definedName name="_xlnm.Print_Area" localSheetId="10">'Inv. NO FIN'!$B$1:$L$34</definedName>
    <definedName name="_xlnm.Print_Area" localSheetId="9">'Inversiones reales'!$B$2:$Q$33</definedName>
    <definedName name="_xlnm.Print_Area" localSheetId="22">'LF 2017 (Personal)'!$B$2:$Q$49</definedName>
    <definedName name="_xlnm.Print_Area" localSheetId="23">'LT 2017 (Personal)'!$B$2:$P$35</definedName>
    <definedName name="_xlnm.Print_Area" localSheetId="0">'No rellenar Consolidación'!$A$1:$D$99</definedName>
    <definedName name="_xlnm.Print_Area" localSheetId="12">'No rellenar EP-5 '!$A$1:$D$81</definedName>
    <definedName name="_xlnm.Print_Area" localSheetId="26">'Operaciones Internas'!$B$2:$E$59</definedName>
    <definedName name="_xlnm.Print_Area" localSheetId="1">'ORGANOS DE GOBIERNO'!$B$3:$I$15</definedName>
    <definedName name="_xlnm.Print_Area" localSheetId="6">'PASIVO'!$B$2:$E$60</definedName>
    <definedName name="_xlnm.Print_Area" localSheetId="21">'PD 2017 (Personal)'!$B$2:$O$21</definedName>
    <definedName name="_xlnm.Print_Area" localSheetId="16">'Perfil Vtos Deuda 10 años'!$B$2:$L$13</definedName>
    <definedName name="_xlnm.Print_Area" localSheetId="20">'Personal'!$B$2:$I$55</definedName>
    <definedName name="_xlnm.Print_Area" localSheetId="24">'PRESTACIONES Y GASTOS SOCIALES'!$B$2:$D$17</definedName>
    <definedName name="_xlnm.Print_Area" localSheetId="31">'PRESUPUESTO'!$B$2:$D$61</definedName>
    <definedName name="_xlnm.Print_Area" localSheetId="32">'PRESUPUESTO CPYG'!$B$2:$D$72</definedName>
    <definedName name="_xlnm.Print_Area" localSheetId="13">'Transf. y subv.'!$B$2:$I$56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comments23.xml><?xml version="1.0" encoding="utf-8"?>
<comments xmlns="http://schemas.openxmlformats.org/spreadsheetml/2006/main">
  <authors>
    <author>Josu? Gil Curbelo</author>
  </authors>
  <commentList>
    <comment ref="I9" authorId="0">
      <text>
        <r>
          <rPr>
            <b/>
            <sz val="9"/>
            <rFont val="Tahoma"/>
            <family val="2"/>
          </rPr>
          <t>Josué Gil Curbelo:</t>
        </r>
        <r>
          <rPr>
            <sz val="9"/>
            <rFont val="Tahoma"/>
            <family val="2"/>
          </rPr>
          <t xml:space="preserve">
incluye el 1%</t>
        </r>
      </text>
    </comment>
    <comment ref="B20" authorId="0">
      <text>
        <r>
          <rPr>
            <b/>
            <sz val="9"/>
            <rFont val="Tahoma"/>
            <family val="2"/>
          </rPr>
          <t>Josué Gil Curbelo:</t>
        </r>
        <r>
          <rPr>
            <sz val="9"/>
            <rFont val="Tahoma"/>
            <family val="2"/>
          </rPr>
          <t xml:space="preserve">
6 son excedentes con reserva de puesto
</t>
        </r>
      </text>
    </comment>
    <comment ref="B24" authorId="0">
      <text>
        <r>
          <rPr>
            <b/>
            <sz val="9"/>
            <rFont val="Tahoma"/>
            <family val="2"/>
          </rPr>
          <t>Josué Gil Curbelo:</t>
        </r>
        <r>
          <rPr>
            <sz val="9"/>
            <rFont val="Tahoma"/>
            <family val="2"/>
          </rPr>
          <t xml:space="preserve">
3 son vacantes pendientes de procesos de selección
</t>
        </r>
      </text>
    </comment>
    <comment ref="B49" authorId="0">
      <text>
        <r>
          <rPr>
            <b/>
            <sz val="9"/>
            <rFont val="Tahoma"/>
            <family val="2"/>
          </rPr>
          <t>Josué Gil Curbelo:</t>
        </r>
        <r>
          <rPr>
            <sz val="9"/>
            <rFont val="Tahoma"/>
            <family val="2"/>
          </rPr>
          <t xml:space="preserve">
5 son vacantes pendientes de procesos de selección
</t>
        </r>
      </text>
    </comment>
  </commentList>
</comments>
</file>

<file path=xl/sharedStrings.xml><?xml version="1.0" encoding="utf-8"?>
<sst xmlns="http://schemas.openxmlformats.org/spreadsheetml/2006/main" count="1637" uniqueCount="1072">
  <si>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</si>
  <si>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</si>
  <si>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</si>
  <si>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</si>
  <si>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</si>
  <si>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</si>
  <si>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</si>
  <si>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</si>
  <si>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</si>
  <si>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</si>
  <si>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</si>
  <si>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</si>
  <si>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</si>
  <si>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</si>
  <si>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</si>
  <si>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</si>
  <si>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</si>
  <si>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</si>
  <si>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</si>
  <si>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</si>
  <si>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</si>
  <si>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</si>
  <si>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</si>
  <si>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</si>
  <si>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</si>
  <si>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</si>
  <si>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</si>
  <si>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</si>
  <si>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</si>
  <si>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</si>
  <si>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</si>
  <si>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</si>
  <si>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</si>
  <si>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</si>
  <si>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</si>
  <si>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</si>
  <si>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</si>
  <si>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</si>
  <si>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</si>
  <si>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</si>
  <si>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</si>
  <si>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</si>
  <si>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</si>
  <si>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</si>
  <si>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</si>
  <si>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</si>
  <si>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</si>
  <si>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</si>
  <si>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</si>
  <si>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</si>
  <si>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</si>
  <si>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</si>
  <si>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</si>
  <si>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</si>
  <si>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</si>
  <si>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ESTADO DE FLUJOS DE EFECTIVO                                                                                                                                     (Sólo para sociedades sujetas al P.G. de Contabilidad de Empresas Modelo Ordinario)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</si>
  <si>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</si>
  <si>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</si>
  <si>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</si>
  <si>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</si>
  <si>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PRESUPUESTO GENERAL DEL CABILDO INSULAR DE TENERIFE                  </t>
  </si>
  <si>
    <t>Variaciones producidas en el útlimo ejercicio</t>
  </si>
  <si>
    <t>Nº acciones</t>
  </si>
  <si>
    <t>Valor Nominal</t>
  </si>
  <si>
    <t>Incremento en la participación</t>
  </si>
  <si>
    <t>Incremento en el nº de acciones</t>
  </si>
  <si>
    <t>Reducciones en la participación</t>
  </si>
  <si>
    <t>Reducciones en el nº de acciones</t>
  </si>
  <si>
    <t>Desembolsos
pendientes</t>
  </si>
  <si>
    <r>
      <t xml:space="preserve">Valor Teórico
</t>
    </r>
    <r>
      <rPr>
        <b/>
        <sz val="8"/>
        <rFont val="Tahoma"/>
        <family val="2"/>
      </rPr>
      <t>(F.Propios)</t>
    </r>
  </si>
  <si>
    <t>INFORMACIÓN ADICIONAL RELATIVA A LA CUENTA DE PÉRDIDAS Y GANANCIAS</t>
  </si>
  <si>
    <t>Estimación 2016</t>
  </si>
  <si>
    <t>Previsión 2017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</si>
  <si>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</si>
  <si>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</si>
  <si>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</si>
  <si>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</si>
  <si>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</si>
  <si>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</si>
  <si>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Denominación de la Entidad</t>
  </si>
  <si>
    <t>B.1.- Ventas:</t>
  </si>
  <si>
    <t>B..2.- Prestaciones de servicios:</t>
  </si>
  <si>
    <t>C.- Resto de Ventas y Prestaciones de servicios:</t>
  </si>
  <si>
    <t>C.1.- A otras AA PP</t>
  </si>
  <si>
    <t>C.1.1.- Ventas:</t>
  </si>
  <si>
    <t>C.1.2.- Prestaciones de servicios: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</si>
  <si>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</si>
  <si>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</si>
  <si>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</si>
  <si>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</si>
  <si>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</si>
  <si>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</si>
  <si>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</si>
  <si>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</si>
  <si>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(1).</t>
  </si>
  <si>
    <t>Ventas y Prestaciones de Servicios:</t>
  </si>
  <si>
    <t>(2).</t>
  </si>
  <si>
    <t>(3).</t>
  </si>
  <si>
    <r>
      <t>VENTAS Y PRESTACIONES DE SERVICIOS</t>
    </r>
    <r>
      <rPr>
        <b/>
        <vertAlign val="superscript"/>
        <sz val="8"/>
        <rFont val="Tahoma"/>
        <family val="2"/>
      </rPr>
      <t xml:space="preserve"> (1)</t>
    </r>
  </si>
  <si>
    <r>
      <t>DETALLE DE INGRESOS (Cta 778)</t>
    </r>
    <r>
      <rPr>
        <vertAlign val="superscript"/>
        <sz val="8"/>
        <rFont val="Tahoma"/>
        <family val="2"/>
      </rPr>
      <t xml:space="preserve"> (2)</t>
    </r>
    <r>
      <rPr>
        <b/>
        <sz val="10"/>
        <rFont val="Tahoma"/>
        <family val="2"/>
      </rPr>
      <t>:</t>
    </r>
  </si>
  <si>
    <r>
      <t xml:space="preserve">DETALLE DE GASTOS (Cta 678) </t>
    </r>
    <r>
      <rPr>
        <vertAlign val="superscript"/>
        <sz val="8"/>
        <rFont val="Tahoma"/>
        <family val="2"/>
      </rPr>
      <t>(3)</t>
    </r>
    <r>
      <rPr>
        <b/>
        <sz val="10"/>
        <rFont val="Tahoma"/>
        <family val="2"/>
      </rPr>
      <t>:</t>
    </r>
  </si>
  <si>
    <r>
      <rPr>
        <b/>
        <i/>
        <sz val="8"/>
        <rFont val="Tahoma"/>
        <family val="2"/>
      </rPr>
      <t>778. Gastos Excepcionales:</t>
    </r>
    <r>
      <rPr>
        <i/>
        <sz val="8"/>
        <rFont val="Tahoma"/>
        <family val="2"/>
      </rPr>
      <t xml:space="preserve">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  </r>
  </si>
  <si>
    <r>
      <rPr>
        <b/>
        <i/>
        <sz val="8"/>
        <rFont val="Tahoma"/>
        <family val="2"/>
      </rPr>
      <t>678. Gastos Excepcionales:</t>
    </r>
    <r>
      <rPr>
        <i/>
        <sz val="8"/>
        <rFont val="Tahoma"/>
        <family val="2"/>
      </rPr>
      <t xml:space="preserve"> Pérdidas y gastos de carácter excepcional y cuantía significativa que, atendiendo a su naturaleza, no deban contabilizarse en otras cuentas del grupo 6. A título indicativo se señalan los siguientes: los producidos por inundaciones, sanciones y multas, incendios...etc.</t>
    </r>
  </si>
  <si>
    <t>PREVISIÓN
2017</t>
  </si>
  <si>
    <t>ESTIMACION 2016</t>
  </si>
  <si>
    <t>REAL 2015</t>
  </si>
  <si>
    <t>Real 2015</t>
  </si>
  <si>
    <t>2017             (previsión)</t>
  </si>
  <si>
    <t>2016        (estimado)</t>
  </si>
  <si>
    <t>Ejecución prevista hasta 31/12/2016</t>
  </si>
  <si>
    <t>ESTRUCTURA PRESUPUESTARIA: PRESUPUESTOS 2017</t>
  </si>
  <si>
    <t>ESTIMACIÓN 2016</t>
  </si>
  <si>
    <t>PREVISIÓN 2017</t>
  </si>
  <si>
    <t>ESTIMACION
2016</t>
  </si>
  <si>
    <t>Previsión de importes comprometidos a 31/12/2016</t>
  </si>
  <si>
    <t>SALDO INICIAL 01/01/2016 (1)</t>
  </si>
  <si>
    <t>SALDO INICIAL  01/01/2017 (1)</t>
  </si>
  <si>
    <t>SALDO FINAL 31/12/17 (9)</t>
  </si>
  <si>
    <t>Entidad beneficiaria (2)</t>
  </si>
  <si>
    <t>Saldo Inicial 2017</t>
  </si>
  <si>
    <t>Saldo final 2017</t>
  </si>
  <si>
    <t>% participación 31/12/17 (2)</t>
  </si>
  <si>
    <t>Dividendo a obtener 2017</t>
  </si>
  <si>
    <t>Adquisiciones (3)</t>
  </si>
  <si>
    <t>% participación 31/12/17(7)</t>
  </si>
  <si>
    <t>Deuda Viva y Previsión de Vencimientos de Deuda</t>
  </si>
  <si>
    <t>CONCEPTO</t>
  </si>
  <si>
    <t>Deuda Viva a 31/12/2017</t>
  </si>
  <si>
    <t>Vencimientos previstos</t>
  </si>
  <si>
    <t>Deuda a Corto Plazo (Operaciones de Tesorería)</t>
  </si>
  <si>
    <t>Deuda a Largo Plazo</t>
  </si>
  <si>
    <t>Emisiones de deuda</t>
  </si>
  <si>
    <t>Operaciones con entidades de crédito</t>
  </si>
  <si>
    <t>Factoring sin recursos</t>
  </si>
  <si>
    <t>Avales ejecutados durante el ejercicio</t>
  </si>
  <si>
    <t>Entidades dependientes del la corporación local (clasificadas con AA PP)</t>
  </si>
  <si>
    <t>Restos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</si>
  <si>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</si>
  <si>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</si>
  <si>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>Deuda con Administraciones Públicas (FFPP)</t>
    </r>
    <r>
      <rPr>
        <sz val="8"/>
        <rFont val="Tahoma"/>
        <family val="2"/>
      </rPr>
      <t xml:space="preserve"> </t>
    </r>
    <r>
      <rPr>
        <vertAlign val="superscript"/>
        <sz val="8"/>
        <rFont val="Tahoma"/>
        <family val="2"/>
      </rPr>
      <t>(1)</t>
    </r>
  </si>
  <si>
    <t>Operaciones con Entidades de Crédito</t>
  </si>
  <si>
    <t>Total Vencimientos:</t>
  </si>
  <si>
    <r>
      <t xml:space="preserve">Perfil de Vencimiento de la deuda en los próximos 10 años                                      </t>
    </r>
    <r>
      <rPr>
        <b/>
        <sz val="8"/>
        <rFont val="Tahoma"/>
        <family val="2"/>
      </rPr>
      <t>(Operaciones contratadas y/o previsto realizar hasta 31/12/2017)</t>
    </r>
  </si>
  <si>
    <r>
      <t>Vencimientos previstos en el Ejercicio</t>
    </r>
    <r>
      <rPr>
        <b/>
        <sz val="8"/>
        <rFont val="Tahoma"/>
        <family val="2"/>
      </rPr>
      <t xml:space="preserve"> (incluyendo las operaciones previsto realizar hasta 31/12/2017)</t>
    </r>
  </si>
  <si>
    <r>
      <t xml:space="preserve">Deuda con Administraciones Públicas </t>
    </r>
    <r>
      <rPr>
        <vertAlign val="superscript"/>
        <sz val="10"/>
        <rFont val="Tahoma"/>
        <family val="2"/>
      </rPr>
      <t>(1)</t>
    </r>
  </si>
  <si>
    <t>Estimación importe dispuesto a 31/12/16</t>
  </si>
  <si>
    <t>Previsión importes dispuesto a 31/12/17</t>
  </si>
  <si>
    <t>Concedidos antes de 2017</t>
  </si>
  <si>
    <t xml:space="preserve">Pdte. Amortiz. (2017 y siguientes) </t>
  </si>
  <si>
    <t>Pendiente de amortizar a  31/12/2016</t>
  </si>
  <si>
    <t>Importe concedido en 2017</t>
  </si>
  <si>
    <t>Cuota Amortización 2017(3)</t>
  </si>
  <si>
    <t>Cuota Intereses 2017</t>
  </si>
  <si>
    <t>Pendiente a  31/12/2017</t>
  </si>
  <si>
    <t>Concedidos en 2016</t>
  </si>
  <si>
    <t>Previsión ejercicio 2017</t>
  </si>
  <si>
    <t>Pendiente a  31/12/2016= Cuota Amortización 2017 (3)</t>
  </si>
  <si>
    <t>Importe concedido 2017</t>
  </si>
  <si>
    <t>Cuota Amortización 2017 (3)</t>
  </si>
  <si>
    <t>Importe de la anualidad 2017</t>
  </si>
  <si>
    <t>CAPACIDAD/NECESIDAD FINANCIACIÓN</t>
  </si>
  <si>
    <t>Importe contemplado en Informe Evaluación 2017 (+/-)</t>
  </si>
  <si>
    <t>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</si>
  <si>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</si>
  <si>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</si>
  <si>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</si>
  <si>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</si>
  <si>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</si>
  <si>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</si>
  <si>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Aportaciones patrimoniales</t>
  </si>
  <si>
    <t>Subvenciones de capital previsto recibir</t>
  </si>
  <si>
    <t>Gastos a efectos de Contabilidad Nacional</t>
  </si>
  <si>
    <t>Aprovisionamientos</t>
  </si>
  <si>
    <t>Gtos. de Personal</t>
  </si>
  <si>
    <t>Otros gastos de explotación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</si>
  <si>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</si>
  <si>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</si>
  <si>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</si>
  <si>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</si>
  <si>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</si>
  <si>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Aplicación de Provisiones</t>
  </si>
  <si>
    <t>Inversiones efectuadas por cuenta de Administraciones y Entidades Públicas</t>
  </si>
  <si>
    <t>Ayudas, transferencias y subvenciones concedidas</t>
  </si>
  <si>
    <t>Capacidad/Necesidad Financiación de la Entidad (Sistema Europeo de cuentas)</t>
  </si>
  <si>
    <r>
      <t xml:space="preserve">Variación de existencias de productos terminados y en curso de fabricación de la cuenta de PyG </t>
    </r>
    <r>
      <rPr>
        <vertAlign val="superscript"/>
        <sz val="10"/>
        <rFont val="Tahoma"/>
        <family val="2"/>
      </rPr>
      <t>(1)</t>
    </r>
  </si>
  <si>
    <t>PRESUPUESTO GENERAL DEL CABILDO INSULAR DE TENERIFE                                                                                                                                                              PROGRAMA ANUAL DE ACTUACIÓN, INVERSIONES Y FINANCIACIÓN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</si>
  <si>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</si>
  <si>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</si>
  <si>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</si>
  <si>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</si>
  <si>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</si>
  <si>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</si>
  <si>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</si>
  <si>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</si>
  <si>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</si>
  <si>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</si>
  <si>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</si>
  <si>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</si>
  <si>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</si>
  <si>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</si>
  <si>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</si>
  <si>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MAS EFECTO IMPOSITIVO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</si>
  <si>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</si>
  <si>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</si>
  <si>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</si>
  <si>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</si>
  <si>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</si>
  <si>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</si>
  <si>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</si>
  <si>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</si>
  <si>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</si>
  <si>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</si>
  <si>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</si>
  <si>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</si>
  <si>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</si>
  <si>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</si>
  <si>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</si>
  <si>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</si>
  <si>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</si>
  <si>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</si>
  <si>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</si>
  <si>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</si>
  <si>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</si>
  <si>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</si>
  <si>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</si>
  <si>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</si>
  <si>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</si>
  <si>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</si>
  <si>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</si>
  <si>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</si>
  <si>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</si>
  <si>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</si>
  <si>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</si>
  <si>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</si>
  <si>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</si>
  <si>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</si>
  <si>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</si>
  <si>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</si>
  <si>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</si>
  <si>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</si>
  <si>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</si>
  <si>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</si>
  <si>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</si>
  <si>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</si>
  <si>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</si>
  <si>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</si>
  <si>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</si>
  <si>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</si>
  <si>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</si>
  <si>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</si>
  <si>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r>
      <t xml:space="preserve">PRESUPUESTO GENERAL DEL CABILDO INSULAR DE TENERIFE
</t>
    </r>
    <r>
      <rPr>
        <b/>
        <sz val="12"/>
        <rFont val="Arial"/>
        <family val="2"/>
      </rPr>
      <t>PROGRAMA DE ACTUACIÓN, INVERSIONES Y FINANCIACIÓN</t>
    </r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</si>
  <si>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</si>
  <si>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</si>
  <si>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</si>
  <si>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</si>
  <si>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</si>
  <si>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</si>
  <si>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</si>
  <si>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</si>
  <si>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</si>
  <si>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</si>
  <si>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</si>
  <si>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</si>
  <si>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</si>
  <si>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</si>
  <si>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</si>
  <si>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</si>
  <si>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</si>
  <si>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</si>
  <si>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</si>
  <si>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</si>
  <si>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</si>
  <si>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</si>
  <si>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PARTICIPACIONES EN OTRAS ENTIDADES</t>
  </si>
  <si>
    <t>Nombre Entidad y C.I.F.</t>
  </si>
  <si>
    <t>ADMINISTRADORES</t>
  </si>
  <si>
    <t>Nombre</t>
  </si>
  <si>
    <t>Cargo</t>
  </si>
  <si>
    <t>Fecha
Nombramiento</t>
  </si>
  <si>
    <t>Presidente</t>
  </si>
  <si>
    <t>Vicepresidente</t>
  </si>
  <si>
    <t>Secretario</t>
  </si>
  <si>
    <t>Vocal</t>
  </si>
  <si>
    <t>Gerente</t>
  </si>
  <si>
    <t>AUDITORES DE CUENTAS</t>
  </si>
  <si>
    <t>ESTRUCTURA PRESUPUESTARIA: PRESUPUESTOS 2016</t>
  </si>
  <si>
    <t>SALDO FINAL 31/12/16 (9)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</si>
  <si>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</si>
  <si>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</si>
  <si>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</si>
  <si>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</si>
  <si>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</si>
  <si>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</si>
  <si>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</si>
  <si>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</si>
  <si>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</si>
  <si>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</si>
  <si>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</si>
  <si>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</si>
  <si>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</si>
  <si>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</si>
  <si>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</si>
  <si>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</si>
  <si>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</si>
  <si>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</si>
  <si>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</si>
  <si>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</si>
  <si>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</si>
  <si>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</si>
  <si>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</si>
  <si>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</si>
  <si>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</si>
  <si>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</si>
  <si>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</si>
  <si>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</si>
  <si>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</si>
  <si>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</si>
  <si>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</si>
  <si>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</si>
  <si>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</si>
  <si>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</si>
  <si>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</si>
  <si>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</si>
  <si>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</si>
  <si>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</si>
  <si>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</si>
  <si>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</si>
  <si>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</si>
  <si>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</si>
  <si>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</si>
  <si>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</si>
  <si>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</si>
  <si>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</si>
  <si>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</si>
  <si>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</si>
  <si>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</si>
  <si>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</si>
  <si>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</si>
  <si>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</si>
  <si>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</si>
  <si>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</si>
  <si>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</si>
  <si>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</si>
  <si>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</si>
  <si>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</si>
  <si>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</si>
  <si>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</si>
  <si>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</si>
  <si>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</si>
  <si>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</si>
  <si>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</si>
  <si>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</si>
  <si>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</si>
  <si>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</si>
  <si>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</si>
  <si>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</si>
  <si>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</si>
  <si>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</si>
  <si>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</si>
  <si>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</si>
  <si>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</si>
  <si>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</si>
  <si>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</si>
  <si>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</si>
  <si>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</si>
  <si>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</si>
  <si>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</si>
  <si>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</si>
  <si>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</si>
  <si>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</si>
  <si>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</si>
  <si>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</si>
  <si>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</si>
  <si>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</si>
  <si>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</si>
  <si>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</si>
  <si>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</si>
  <si>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</si>
  <si>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</si>
  <si>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</si>
  <si>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</si>
  <si>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</si>
  <si>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</si>
  <si>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</si>
  <si>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</si>
  <si>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</si>
  <si>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</si>
  <si>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</si>
  <si>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</si>
  <si>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</si>
  <si>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</si>
  <si>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</si>
  <si>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</si>
  <si>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</si>
  <si>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</si>
  <si>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</si>
  <si>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</si>
  <si>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</si>
  <si>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</si>
  <si>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</si>
  <si>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</si>
  <si>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</si>
  <si>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</si>
  <si>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</si>
  <si>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</si>
  <si>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</si>
  <si>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</si>
  <si>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</si>
  <si>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</si>
  <si>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</si>
  <si>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</si>
  <si>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</si>
  <si>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</si>
  <si>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</si>
  <si>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</si>
  <si>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</si>
  <si>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</si>
  <si>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</si>
  <si>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</si>
  <si>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</si>
  <si>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</si>
  <si>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</si>
  <si>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</si>
  <si>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</si>
  <si>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</si>
  <si>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</si>
  <si>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GASTOS DE PERSONAL PRESUPUESTO 2017.</t>
  </si>
  <si>
    <t xml:space="preserve">ENTE: </t>
  </si>
  <si>
    <t>PERSONAL DIRECTIVO.</t>
  </si>
  <si>
    <t>ANTIGÜEDAD</t>
  </si>
  <si>
    <r>
      <t xml:space="preserve">OTRAS RETRIBUCIONES </t>
    </r>
    <r>
      <rPr>
        <b/>
        <i/>
        <sz val="8"/>
        <color indexed="8"/>
        <rFont val="Arial"/>
        <family val="2"/>
      </rPr>
      <t>(Especificar, añadiendo tantas columnas como sea necesario)</t>
    </r>
  </si>
  <si>
    <t>Nº</t>
  </si>
  <si>
    <t>PUESTO</t>
  </si>
  <si>
    <t>GRUPO</t>
  </si>
  <si>
    <t xml:space="preserve">SUELDO </t>
  </si>
  <si>
    <t>PAGAS EXTRAORDINARIAS</t>
  </si>
  <si>
    <t>PRODUCTIVIDAD</t>
  </si>
  <si>
    <t>SEGURIDAD SOCIAL</t>
  </si>
  <si>
    <t xml:space="preserve"> OBSERVACIONES</t>
  </si>
  <si>
    <t>PERSONAL LABORAL FIJO.</t>
  </si>
  <si>
    <t xml:space="preserve">Nº </t>
  </si>
  <si>
    <t>PERSONAL LABORAL TEMPORAL.</t>
  </si>
  <si>
    <t>MOTIVO DE LA TEMPORALIDAD</t>
  </si>
  <si>
    <t>PRESUPUESTO 2017.</t>
  </si>
  <si>
    <t>PRESTACIONES SOCIALES</t>
  </si>
  <si>
    <t>Indemnizaciones personal laboral jubilaciones anticipadas</t>
  </si>
  <si>
    <t>GASTOS SOCIALES DEL PERSONAL</t>
  </si>
  <si>
    <t>Formación y perfeccionamiento del personal</t>
  </si>
  <si>
    <t>Acción social</t>
  </si>
  <si>
    <r>
      <t xml:space="preserve">Seguros </t>
    </r>
    <r>
      <rPr>
        <i/>
        <sz val="11"/>
        <color indexed="8"/>
        <rFont val="Calibri"/>
        <family val="2"/>
      </rPr>
      <t>(de vida, póliza sanitaria)</t>
    </r>
  </si>
  <si>
    <t>Ayuda de estudios</t>
  </si>
  <si>
    <r>
      <t>Otros gastos sociales (</t>
    </r>
    <r>
      <rPr>
        <i/>
        <sz val="11"/>
        <color indexed="8"/>
        <rFont val="Calibri"/>
        <family val="2"/>
      </rPr>
      <t>especificar en tantas filas como proceda)</t>
    </r>
  </si>
  <si>
    <t>COMPARACIÓN CAPÍTULO DE GASTOS DE PERSONAL EJERCICIOS 2017-2016</t>
  </si>
  <si>
    <t>RETRIBUCIONES</t>
  </si>
  <si>
    <t>ACCIÓN SOCIAL</t>
  </si>
  <si>
    <t xml:space="preserve">SEGURIDAD SOCIAL </t>
  </si>
  <si>
    <t>GESTIÓN INSULAR DE AGUAS DE TENERIFE, S.A. (GESTA)</t>
  </si>
  <si>
    <t>CANALINK AFRICA, S.L.</t>
  </si>
  <si>
    <t>CANALINK BAHARICOM, S.L.</t>
  </si>
  <si>
    <t>FUNDACIÓN CANARIAS FACTORÍA DE LA INNOVACIÓN TURÍSTICA</t>
  </si>
  <si>
    <t>A.M.C. POLÍGONO INDUSTRIAL DE GÜIMAR</t>
  </si>
  <si>
    <t>POLÍGONO INDUSTRIAL DE GRANADILLA-PARQUE TECNOLÓGICO DE TENERIFE, S.A.</t>
  </si>
  <si>
    <t>BODEGAS INSULARES DE TENERIFE, S.A.</t>
  </si>
  <si>
    <t>PARQUES EÓLICOS DE GRANADILLA, A.I.E.</t>
  </si>
  <si>
    <t>EÓLICAS DE TENERIFE, A.I.E.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</si>
  <si>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</si>
  <si>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</si>
  <si>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</si>
  <si>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</si>
  <si>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Caixa</t>
  </si>
  <si>
    <t>Deudas con Entidades de Crédito L/P</t>
  </si>
  <si>
    <t>ÁREA DE MOVILIDAD</t>
  </si>
  <si>
    <t>INDEFINIDA</t>
  </si>
  <si>
    <t>GESTIÓN DE LA ESTACIÓN DE GUAGUAS DE GUÍA DE ISORA</t>
  </si>
  <si>
    <t>GESTIÓN DE LA ESTACIÓN DE GUAGUAS DE PADRE ANCHIETA</t>
  </si>
  <si>
    <t>10 AÑOS</t>
  </si>
  <si>
    <t>UTE City Sightseeing Santa Cruz de Tenerife- U7653120</t>
  </si>
  <si>
    <t>UTE City Expert Santa Cruz de Tenerife - U76614023</t>
  </si>
  <si>
    <t>D. Miguel Becerra Domínguez</t>
  </si>
  <si>
    <t>D. Manuel Víctor Ortega Santaella</t>
  </si>
  <si>
    <t>D. Dámaso Arteaga Suárez</t>
  </si>
  <si>
    <t>D. José Jonathan Domínguez Roger</t>
  </si>
  <si>
    <t>D. Manuel Fernández Vega</t>
  </si>
  <si>
    <t>D. Manuel Fernando Martínez Álvarez</t>
  </si>
  <si>
    <t>D. Alberto Bernabé Teja</t>
  </si>
  <si>
    <t>D. Fernando Sabaté Bel</t>
  </si>
  <si>
    <t>D. José Antonio Valbuena</t>
  </si>
  <si>
    <t>D. Jacobo Kalitovics Nóbrega</t>
  </si>
  <si>
    <t>ERNST &amp; YOUNG, S.L.</t>
  </si>
  <si>
    <t>Talleres</t>
  </si>
  <si>
    <t>Matenimiento</t>
  </si>
  <si>
    <t>260 - Fianzas constituidas L/P</t>
  </si>
  <si>
    <t>265 - Depósitos constituidos L/P</t>
  </si>
  <si>
    <t>566 - Depósitos constituidos C/P</t>
  </si>
  <si>
    <t>Compra terreno Santa Cruz</t>
  </si>
  <si>
    <t>Compra terreno La Orotava</t>
  </si>
  <si>
    <t>Aplicaciones Informáticas</t>
  </si>
  <si>
    <t>BBVA</t>
  </si>
  <si>
    <t>Deudas a C/P con entidades de crédito</t>
  </si>
  <si>
    <t xml:space="preserve">D. PEDRO LUIS CAMPOS ALBARRÁN </t>
  </si>
  <si>
    <t>Arrendamientos, Ingresos recaudación, parking, publicidad, etc.</t>
  </si>
  <si>
    <t>GESTIÓN ESTACIÓN DE GUAGUAS DE ICOD DE LOS VINOS</t>
  </si>
  <si>
    <t>CANON MÍNIMO (60 €) + 4% BENEFICIO OBTENIDO RESPECTO AL CANON MÍNIMO</t>
  </si>
  <si>
    <t xml:space="preserve">ENCOMIENDA DE GESTIÓN DE LA PRESTACIÓN DEL SERVICIO DE AMPLIACIÓN DE LAS LÍNEAS IU DE TRANSPORTE DE VIAJEROS EN EL MUNICIPIO DE LA OROTAVA </t>
  </si>
  <si>
    <t>HASTA 31/12/2016</t>
  </si>
  <si>
    <t xml:space="preserve">ENCOMIENDA DE GESTIÓN DE LA PRESTACIÓN DEL SERVICIO URBANO DE TRANSPORTE PÚBLICO COLECTIVO DEL MUNICIPIO DE SANTA CRUZ DE TENERIFE </t>
  </si>
  <si>
    <t>HASTA 01/01/2017</t>
  </si>
  <si>
    <t>ANEXO A TRANSFERENCIAS Y SUBVENCIONES</t>
  </si>
  <si>
    <t>DE EXPLOTACION E INVERSIÓN:</t>
  </si>
  <si>
    <t>ENTE</t>
  </si>
  <si>
    <t>Cabildo:</t>
  </si>
  <si>
    <t>Cabildo</t>
  </si>
  <si>
    <t>POLITICA DE TRANSPORTE 2013</t>
  </si>
  <si>
    <t>INVERSIÓN 2015</t>
  </si>
  <si>
    <t>OBRA INTERCAMBIADOR SC</t>
  </si>
  <si>
    <t>DÉFICIT 2015</t>
  </si>
  <si>
    <t>RECARROZADO Y REMOTORIZADO</t>
  </si>
  <si>
    <t>POLÍTICA DE TPTE. 2015</t>
  </si>
  <si>
    <t>IGIC POLÍTICA DE TPTE. 2015</t>
  </si>
  <si>
    <t>CIRCULANTE 2015</t>
  </si>
  <si>
    <t>ASISTENCIA TÉCNICA IMPLANTACIÓN SIS.BILLÉTICA 2015</t>
  </si>
  <si>
    <t>ASISTENCIA TÉCNICA IMPLANTACIÓN SIS.BILLÉTICA 2016-2017</t>
  </si>
  <si>
    <t>DÉFICIT 2016</t>
  </si>
  <si>
    <t>INVERSIÓN 2016</t>
  </si>
  <si>
    <t>COMPRA TERRENO LA OROTAVA</t>
  </si>
  <si>
    <t>COMPRA TERRENO SANTA CRUZ</t>
  </si>
  <si>
    <t>DÉFICIT 2017</t>
  </si>
  <si>
    <t>RENTING FLOTA 1 (34 VEH.IU)</t>
  </si>
  <si>
    <t>RENTING FLOTA 2  (6M) 48 VEH.</t>
  </si>
  <si>
    <t>RENTING FLOTA 3 (3M)  49 VEH.</t>
  </si>
  <si>
    <t>RENTING FLOTA 4 (6M)  10 VEH (articulado).</t>
  </si>
  <si>
    <t>RENTING FLOTA 4 (RESTO)</t>
  </si>
  <si>
    <t>EQUIPOS BILLÉTICA SIN CONTACTO Y SAE</t>
  </si>
  <si>
    <t>CONVENIOS 2014</t>
  </si>
  <si>
    <t>CONVENIOS 2015</t>
  </si>
  <si>
    <t>CONVENIOS 2016</t>
  </si>
  <si>
    <t>CONVENIOS 2017</t>
  </si>
  <si>
    <t>CAMPAÑA PROMOCIONAL NUEVOS ABONOS- MES</t>
  </si>
  <si>
    <t>OFICINA TÉCNICA MOVILIDAD</t>
  </si>
  <si>
    <t>PUNTOS DE RECARGA VEHÍCULOS ELÉCTRICOS INTERCAMBIADORES</t>
  </si>
  <si>
    <t>MANTENIMIENTO AVISADORES DE PARADAS</t>
  </si>
  <si>
    <t>LANZAMIENTO TARJETA SIN CONTACTO</t>
  </si>
  <si>
    <t>SERVICIO DE OPERACIÓN NEVADA AL TEIDE</t>
  </si>
  <si>
    <t>CONV. TAXIS LOS REALEJOS</t>
  </si>
  <si>
    <t>Ayuntamiento de Santa Cruz:</t>
  </si>
  <si>
    <t>DEUDA ANTERIOR 2013</t>
  </si>
  <si>
    <t>GASTOS FINANCIEROS 2014</t>
  </si>
  <si>
    <t>LIQUIDACIÓN 2014</t>
  </si>
  <si>
    <t>LIQUIDACIÓN 2016</t>
  </si>
  <si>
    <t>LIQUIDACIÓN 2017</t>
  </si>
  <si>
    <t>Ayuntamiento de La Laguna:</t>
  </si>
  <si>
    <t>DÉFICIT 2014</t>
  </si>
  <si>
    <t>Ver anexo transferencias y subvenciones</t>
  </si>
  <si>
    <t>Acreedores por arrendamiento financiero</t>
  </si>
  <si>
    <t>Arrendamiento Financiero</t>
  </si>
  <si>
    <t>Obra Intercambiador SC</t>
  </si>
  <si>
    <t>POLÍTICA DE TPTE. 2016</t>
  </si>
  <si>
    <t>POLÍTICA DE TRANSPORTE 2011-2012</t>
  </si>
  <si>
    <t>Jubilados parciales</t>
  </si>
  <si>
    <t>Total gastos</t>
  </si>
  <si>
    <t>Los gastos del personal exclusivo de Titsa</t>
  </si>
  <si>
    <t>Los gastos de personal de las Utes de las cuales Titsa participa en 46%</t>
  </si>
  <si>
    <t>TOTAL EMPRESA GASTOS DE PERSONAL PÉRDIDAS Y GANANCIAS</t>
  </si>
  <si>
    <t>ENTIDAD: TRANSPORTES INTERURBANOS DE TENERIFE, S.A.</t>
  </si>
  <si>
    <t>TRANSPORTES INTERURBANOS DE TENERIFE SAU</t>
  </si>
  <si>
    <t>VARIABLE</t>
  </si>
  <si>
    <t>DIRECTOR GERENTE</t>
  </si>
  <si>
    <t>DIRECTORA PERSONAS Y SSJJ</t>
  </si>
  <si>
    <t>DIRECTORA ECON-FINANCIERA</t>
  </si>
  <si>
    <t>DIRECTOR INFORMATICA YNT</t>
  </si>
  <si>
    <t>DIRECTOR DE PRODUCCIÓN</t>
  </si>
  <si>
    <t>JORNADA PARTIDA</t>
  </si>
  <si>
    <t>HORAS EXTRAS</t>
  </si>
  <si>
    <t>NOCTURNIDAD</t>
  </si>
  <si>
    <t>DIFERENCIA CONVENIO URBANO</t>
  </si>
  <si>
    <t>OTROS VARIABLES</t>
  </si>
  <si>
    <t>AUXILIAR ADMINISTRATIVO</t>
  </si>
  <si>
    <t>1 trabajador a tiempo parcial</t>
  </si>
  <si>
    <t>EXPENDEDOR TALLER</t>
  </si>
  <si>
    <t>OFICIAL 3ª TALLER</t>
  </si>
  <si>
    <t xml:space="preserve">FACTOR COBRADOR </t>
  </si>
  <si>
    <t>FACTOR ENCARGADO</t>
  </si>
  <si>
    <t>OFICIAL 2ª ADMINISTRATIVO</t>
  </si>
  <si>
    <t>OFICIAL 2ª TALLER</t>
  </si>
  <si>
    <t>CAPATAZ TALLER</t>
  </si>
  <si>
    <t>CONDUCTOR</t>
  </si>
  <si>
    <t>CONDUCTOR MECÁNICO TALLER</t>
  </si>
  <si>
    <t>CONDUCTOR/A-PERCEPTOR/A</t>
  </si>
  <si>
    <t xml:space="preserve">ENCARGADO DE ALMACEN </t>
  </si>
  <si>
    <t>INFORMADOR-RECEPCIONISTA</t>
  </si>
  <si>
    <t>JEFE DE TRAFICO Y ESTACION DE 2ª</t>
  </si>
  <si>
    <t xml:space="preserve">OFICIAL 1ª ADMINISTRATIVO </t>
  </si>
  <si>
    <t>OFICIAL 1ª MANT. TALLER</t>
  </si>
  <si>
    <t>OFICIAL 1ª TALLER</t>
  </si>
  <si>
    <t>OFICIAL DE ALMACEN TALLER</t>
  </si>
  <si>
    <t>OFICIAL DE RECAUDACION</t>
  </si>
  <si>
    <t>ANALISTA-PROGRAMADOR</t>
  </si>
  <si>
    <t>ENCARGADO DE LIMPIEZA</t>
  </si>
  <si>
    <t>ENCARGADO/A DE MTO. E INFO. DE PARADA</t>
  </si>
  <si>
    <t>INSPECTOR</t>
  </si>
  <si>
    <t>INSTRUCTOR</t>
  </si>
  <si>
    <t>JEFE DE EQUIPO TALLER</t>
  </si>
  <si>
    <t>JEFE DE GRUPO</t>
  </si>
  <si>
    <t>JEFE DE NEGOCIADO</t>
  </si>
  <si>
    <t>JEFE DE TRÁFICO E INSPECTOR</t>
  </si>
  <si>
    <t>JEFE DE TRAFICO Y ESTACION DE 1ª</t>
  </si>
  <si>
    <t>OPERADOR SAE</t>
  </si>
  <si>
    <t>RELACIONES PUBLICAS</t>
  </si>
  <si>
    <t>TECNICO COMERCIAL</t>
  </si>
  <si>
    <t>CONTRAMAESTRE TALLER</t>
  </si>
  <si>
    <t>COORDINADOR</t>
  </si>
  <si>
    <t>JEFE DE SECCION</t>
  </si>
  <si>
    <t>JEFE DE TRAFICO Y ESTACION PRINCIPAL</t>
  </si>
  <si>
    <t>TÉCNICO DE SISTEMA INFORMÁTICO</t>
  </si>
  <si>
    <t>TIT. GRADO MEDIO</t>
  </si>
  <si>
    <t>JEFE DE SERVICIO</t>
  </si>
  <si>
    <t>TIT. SUPERIOR</t>
  </si>
  <si>
    <t>120211 - OFICIAL 3ª TALLER</t>
  </si>
  <si>
    <t>10  RELEVISTAS - 3INTERINOS</t>
  </si>
  <si>
    <t>140411 - CONDUCTOR/A-PERCEPTOR/A</t>
  </si>
  <si>
    <t>23 RELEVISTAS - 33INTERINOS</t>
  </si>
  <si>
    <t>141111 - OFICIAL 1ª ADMINISTRATIVO</t>
  </si>
  <si>
    <t>EN PRÁCTICAS</t>
  </si>
  <si>
    <t>170111 - JEFE DE SERVICIO</t>
  </si>
  <si>
    <t>RELEVISTA</t>
  </si>
  <si>
    <t>170211 - TIT. SUPERIOR</t>
  </si>
  <si>
    <t xml:space="preserve"> EN PRÁCTICAS</t>
  </si>
  <si>
    <t>120111 - EXPENDEDOR TALLER</t>
  </si>
  <si>
    <t>JUBILADOS PARCIALES</t>
  </si>
  <si>
    <t>130311 - OFICIAL 2ª TALLER</t>
  </si>
  <si>
    <t>140111 - CAPATAZ TALLER</t>
  </si>
  <si>
    <t>140211 - CONDUCTOR/A</t>
  </si>
  <si>
    <t>140311 - CONDUCTOR MECÁNICO TALLER</t>
  </si>
  <si>
    <t>140511 - OFICIAL DE RECAUDACION</t>
  </si>
  <si>
    <t>140711 - FACTOR ENCARGADO</t>
  </si>
  <si>
    <t>141211 - OFICIAL 1ª TALLER</t>
  </si>
  <si>
    <t>141311 - OFICIAL 1ª MANT. TALLER</t>
  </si>
  <si>
    <t>150111 - ANALISTA-PROGRAMADOR</t>
  </si>
  <si>
    <t>150711 - JEFE DE EQUIPO TALLER</t>
  </si>
  <si>
    <t>150811 - JEFE DE NEGOCIADO</t>
  </si>
  <si>
    <t>150911 - JEFE DE TRAFICO Y ESTACION DE 1ª</t>
  </si>
  <si>
    <t>160111 - CONTRAMAESTRE TALLER</t>
  </si>
  <si>
    <t>230611 - CONDUCTOR</t>
  </si>
  <si>
    <t>240111 - CONDUCTOR/A-PERCEPTOR/A</t>
  </si>
  <si>
    <t>240311 - OFICIAL 1ª TALLER</t>
  </si>
  <si>
    <t>250311 - JEFE DE GRUPO</t>
  </si>
  <si>
    <t>Indemnizaciones personal laboral</t>
  </si>
  <si>
    <t>incremento 1% LPGE 2016</t>
  </si>
  <si>
    <t>UTES</t>
  </si>
  <si>
    <t>TOTAL TITSA</t>
  </si>
  <si>
    <t>DEUDA ANTERIOR A 2015</t>
  </si>
  <si>
    <t>DÉFICIT 2012 (CIRCULANTE)</t>
  </si>
  <si>
    <t>DEUDA 2015</t>
  </si>
  <si>
    <t>DEUDA 2016</t>
  </si>
  <si>
    <t>DEUDA 2017</t>
  </si>
  <si>
    <t>DEUDA 2016 Y 2017</t>
  </si>
  <si>
    <t>Nuevo Sistema de SAE y Monética</t>
  </si>
  <si>
    <t>Arrendamiento Financiero (SAE y Monética)</t>
  </si>
  <si>
    <t>INVERSIÓN 2017</t>
  </si>
  <si>
    <t>Gastos de personal y seg.social de las Utes de las cuales Titsa participa en el 46%</t>
  </si>
  <si>
    <t>*</t>
  </si>
  <si>
    <t>* Pendiente de firma con entidad financiera</t>
  </si>
  <si>
    <t>CAMPAÑA PROMOCIONAL BONIFICACIÓN TARIFA TF5</t>
  </si>
  <si>
    <t>Sueldos</t>
  </si>
  <si>
    <t>Idemnizaciones</t>
  </si>
  <si>
    <t>Seg.Soc.</t>
  </si>
  <si>
    <t>Gastos Sociales</t>
  </si>
  <si>
    <t>CAMPAÑA PROMOCIONAL IMPLANTACIÓN TARJETA SIN CONTACTO</t>
  </si>
  <si>
    <t>LINEA DE TENO</t>
  </si>
  <si>
    <t>A4-TITSA-RENOV.FLOTA CONTRATO2 (P.MODER.</t>
  </si>
  <si>
    <t>A4-TITSA- REN.FLOTA CONTRATO3 (P.MODER.2</t>
  </si>
  <si>
    <t>Cambiar</t>
  </si>
  <si>
    <t>inversión</t>
  </si>
  <si>
    <t>% Incremento 2016-2017</t>
  </si>
  <si>
    <t>CUADRADO CON HOJAS</t>
  </si>
  <si>
    <t>PD 2017 (personal)</t>
  </si>
  <si>
    <t>LF 2017 (personal)</t>
  </si>
  <si>
    <t>LT 2017 (personal)</t>
  </si>
  <si>
    <t>CUADRADO CON PYG</t>
  </si>
  <si>
    <t>UTES (retribuciones)</t>
  </si>
  <si>
    <t>UTES (seg.social)</t>
  </si>
  <si>
    <t>Nº años</t>
  </si>
  <si>
    <t>1.  IMPORTE NETO DE LA CIFRA DE NEGOCIOS.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</si>
  <si>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</si>
  <si>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</si>
  <si>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</si>
  <si>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</si>
  <si>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</si>
  <si>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</si>
  <si>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</si>
  <si>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</si>
  <si>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</si>
  <si>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</si>
  <si>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</si>
  <si>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</si>
  <si>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</si>
  <si>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</si>
  <si>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</si>
  <si>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</si>
  <si>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</si>
  <si>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</si>
  <si>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</si>
  <si>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</si>
  <si>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</si>
  <si>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</si>
  <si>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</si>
  <si>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</si>
  <si>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</si>
  <si>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</si>
  <si>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</si>
  <si>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</si>
  <si>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</si>
  <si>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</si>
  <si>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</si>
  <si>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</si>
  <si>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</si>
  <si>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</si>
  <si>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</si>
  <si>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</si>
  <si>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</si>
  <si>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</si>
  <si>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</si>
  <si>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</si>
  <si>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</si>
  <si>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</si>
  <si>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</si>
  <si>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</si>
  <si>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</si>
  <si>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</si>
  <si>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</si>
  <si>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</si>
  <si>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</si>
  <si>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</si>
  <si>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</si>
  <si>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</si>
  <si>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</si>
  <si>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</si>
  <si>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</si>
  <si>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</si>
  <si>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</si>
  <si>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</si>
  <si>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</si>
  <si>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</si>
  <si>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</si>
  <si>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</si>
  <si>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</si>
  <si>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</si>
  <si>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</si>
  <si>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</si>
  <si>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</si>
  <si>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</si>
  <si>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</si>
  <si>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</si>
  <si>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</si>
  <si>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</si>
  <si>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</si>
  <si>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</si>
  <si>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</si>
  <si>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</si>
  <si>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</si>
  <si>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</si>
  <si>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</si>
  <si>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</si>
  <si>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</si>
  <si>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</si>
  <si>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</si>
  <si>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</si>
  <si>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</si>
  <si>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</si>
  <si>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</si>
  <si>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</si>
  <si>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</si>
  <si>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</si>
  <si>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</si>
  <si>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</si>
  <si>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</si>
  <si>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</si>
  <si>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</si>
  <si>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</si>
  <si>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</si>
  <si>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</si>
  <si>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</si>
  <si>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</si>
  <si>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</si>
  <si>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</si>
  <si>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</si>
  <si>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</si>
  <si>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</si>
  <si>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</si>
  <si>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</si>
  <si>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</si>
  <si>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</si>
  <si>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</si>
  <si>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</si>
  <si>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</si>
  <si>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</si>
  <si>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</si>
  <si>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</si>
  <si>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</si>
  <si>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</si>
  <si>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</si>
  <si>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</si>
  <si>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</si>
  <si>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</si>
  <si>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</si>
  <si>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</si>
  <si>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</si>
  <si>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</si>
  <si>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</si>
  <si>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</si>
  <si>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</si>
  <si>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</si>
  <si>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</si>
  <si>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</si>
  <si>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</si>
  <si>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</si>
  <si>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</si>
  <si>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</si>
  <si>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</si>
  <si>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</si>
  <si>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</si>
  <si>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</si>
  <si>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</si>
  <si>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</si>
  <si>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</si>
  <si>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</si>
  <si>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</si>
  <si>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</si>
  <si>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</si>
  <si>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</si>
  <si>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</si>
  <si>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</si>
  <si>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</si>
  <si>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</si>
  <si>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</si>
  <si>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</si>
  <si>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</si>
  <si>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</si>
  <si>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</si>
  <si>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</si>
  <si>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</si>
  <si>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</si>
  <si>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</si>
  <si>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</si>
  <si>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</si>
  <si>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</si>
  <si>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</si>
  <si>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</si>
  <si>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</si>
  <si>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</si>
  <si>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</si>
  <si>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</si>
  <si>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</si>
  <si>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</si>
  <si>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</si>
  <si>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</si>
  <si>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</si>
  <si>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</si>
  <si>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</si>
  <si>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</si>
  <si>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</si>
  <si>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</si>
  <si>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</si>
  <si>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</si>
  <si>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</si>
  <si>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</si>
  <si>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</si>
  <si>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</si>
  <si>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</si>
  <si>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</si>
  <si>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</si>
  <si>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</si>
  <si>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</si>
  <si>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</si>
  <si>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</si>
  <si>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</si>
  <si>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</si>
  <si>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</si>
  <si>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</si>
  <si>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</si>
  <si>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</si>
  <si>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</si>
  <si>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</si>
  <si>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</si>
  <si>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</si>
  <si>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</si>
  <si>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</si>
  <si>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</si>
  <si>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</si>
  <si>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</si>
  <si>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</si>
  <si>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</si>
  <si>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</si>
  <si>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</si>
  <si>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</si>
  <si>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 xml:space="preserve">ESTADO DE PREVISION DE INGRESOS Y GASTOS - BALANCE DE SITUACIÓN </t>
  </si>
  <si>
    <t xml:space="preserve">ESTADO DE PREVISION DE INGRESOS Y GASTOS - CUENTA DE PERDIDAS Y GANANCIAS 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</si>
  <si>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</si>
  <si>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</si>
  <si>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</si>
  <si>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</si>
  <si>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</si>
  <si>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</si>
  <si>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</si>
  <si>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</si>
  <si>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</si>
  <si>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</si>
  <si>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</si>
  <si>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</si>
  <si>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</si>
  <si>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</si>
  <si>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</si>
  <si>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</si>
  <si>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</si>
  <si>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</si>
  <si>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</si>
  <si>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</si>
  <si>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</si>
  <si>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</si>
  <si>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</si>
  <si>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</si>
  <si>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</si>
  <si>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 xml:space="preserve">Estado de flujo de efectivo </t>
  </si>
  <si>
    <t>A) FLUJOS DE EFECTIVO DE LAS ACTIVIDADES DE EXPLOTACION</t>
  </si>
  <si>
    <t xml:space="preserve">   1. Resultado del ejercicio antes de impuestos</t>
  </si>
  <si>
    <t xml:space="preserve">   2. Ajustes del resultado</t>
  </si>
  <si>
    <t xml:space="preserve">      a) Amortización del inmovilizado (+)</t>
  </si>
  <si>
    <t xml:space="preserve">      b) Correcciones valorativas por deterioro(+/-)</t>
  </si>
  <si>
    <t xml:space="preserve">      c) Variación de provisiones (+/-)</t>
  </si>
  <si>
    <t xml:space="preserve">      d) Imputación de subvenciones (-)</t>
  </si>
  <si>
    <t xml:space="preserve">      e) Resultados por bajas y enajenaciones del inmovilizado (+/-)</t>
  </si>
  <si>
    <t xml:space="preserve">      f) Resultados por bajas y enajenaciones del instrumentos finanieros (+/-)</t>
  </si>
  <si>
    <t xml:space="preserve">      g) Ingresos Financieros (-)</t>
  </si>
  <si>
    <t xml:space="preserve">      h) Gastos Financieros (+)</t>
  </si>
  <si>
    <t xml:space="preserve">      i) Diferencias de cambio (+/-)</t>
  </si>
  <si>
    <t xml:space="preserve">      j) Valoración del valor razonable en instrumentos financieros</t>
  </si>
  <si>
    <t xml:space="preserve">      k) Otros ingresos y gastos (-/+)</t>
  </si>
  <si>
    <t xml:space="preserve">   3. Cambios de Capital Corriente</t>
  </si>
  <si>
    <t xml:space="preserve">      a) Existencias (+/-)</t>
  </si>
  <si>
    <t xml:space="preserve">      b) Deudores y otras cuentas a cobrar (+/-)</t>
  </si>
  <si>
    <t xml:space="preserve">      c) Otros activos corrientes (+/-)</t>
  </si>
  <si>
    <t xml:space="preserve">      d) Acreedores y otras cuentas a pagar(+/-)</t>
  </si>
  <si>
    <t xml:space="preserve">      e) Otros pasivos corrientes (+/-)</t>
  </si>
  <si>
    <t xml:space="preserve">      f) Otros activos y pasivos no corrientes (+/-)</t>
  </si>
  <si>
    <t>Ojo. Apto VI NO está considerado en los Ajustes de Variaciones de Balance</t>
  </si>
  <si>
    <t>Ojo. Apto VII NO está considerado en los Ajustes de Variaciones de Balance</t>
  </si>
  <si>
    <t xml:space="preserve">   4. Otros flujos de efectivo de las actividades de explotación</t>
  </si>
  <si>
    <t xml:space="preserve">      a) Pagos de intereses (-)</t>
  </si>
  <si>
    <t xml:space="preserve">      b) Cobros de dividendos (+)</t>
  </si>
  <si>
    <t xml:space="preserve">      c) Cobros de Intereses (+)</t>
  </si>
  <si>
    <t xml:space="preserve">      d) Cobros (pagos) por impuesto sobre beneficios(+/-)</t>
  </si>
  <si>
    <t xml:space="preserve">      e) Otros pagos (cobros) (-/+)</t>
  </si>
  <si>
    <t xml:space="preserve">   5. Flujos de efectivo de las actividades de explotación (1+2+3+4)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</si>
  <si>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</si>
  <si>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</si>
  <si>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</si>
  <si>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</si>
  <si>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</si>
  <si>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</si>
  <si>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</si>
  <si>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B) FLUJOS DE EFECTIVO DE LAS ACTIVIDADES DE INVERSIÓN</t>
  </si>
  <si>
    <t xml:space="preserve">   6. Pagos por inversiones (-)</t>
  </si>
  <si>
    <t xml:space="preserve">      a) Empresas del grupo y asociadas</t>
  </si>
  <si>
    <t xml:space="preserve">      b) Inmovilizado intangible</t>
  </si>
  <si>
    <t xml:space="preserve">      c) Inmovilizado material</t>
  </si>
  <si>
    <t xml:space="preserve">      d) Inversiones inmobiliarias</t>
  </si>
  <si>
    <t xml:space="preserve">      e) Otros activos financieros</t>
  </si>
  <si>
    <t xml:space="preserve">      f) Activos no corrientes mantenidos para venta</t>
  </si>
  <si>
    <t xml:space="preserve">      g) Unidad de negocio</t>
  </si>
  <si>
    <t xml:space="preserve">      h) Otros activos</t>
  </si>
  <si>
    <t xml:space="preserve">   7. Cobros por desinversiones (+)</t>
  </si>
  <si>
    <t xml:space="preserve">      a) Empresas del Grupo y Asociadas</t>
  </si>
  <si>
    <t xml:space="preserve">   8. Flujos de efectivo de las actividades de Inversión (6+7)</t>
  </si>
  <si>
    <t>C) FLUJOS DE EFECTIVO DE LAS ACTIVIDADES DE FINANCIACIÓN</t>
  </si>
  <si>
    <t xml:space="preserve">   9. Cobros y Pagos por instrumentos de patrimonio</t>
  </si>
  <si>
    <t xml:space="preserve">      a) Emisión de instrumentos de patrimonio (+)</t>
  </si>
  <si>
    <t xml:space="preserve">      b) Amortización de instrumentos de patrimonio (-)</t>
  </si>
  <si>
    <t xml:space="preserve">      c) Adquisición de instrumentos de patrimonio propio (-)</t>
  </si>
  <si>
    <t xml:space="preserve">      d) Enajenación de instrumentos de patrimonio propio (+)</t>
  </si>
  <si>
    <t xml:space="preserve">      e) Subvenciones, donaciones y legados recibidos (+)</t>
  </si>
  <si>
    <t xml:space="preserve">   10. Cobros y Pagos por instrumentos de pasivo financiero</t>
  </si>
  <si>
    <t xml:space="preserve">      a) Emisión </t>
  </si>
  <si>
    <t xml:space="preserve">          1. Obligaciones y otros valores negociables (+) </t>
  </si>
  <si>
    <t xml:space="preserve">          2. Deudas con entidades de crédito (+)</t>
  </si>
  <si>
    <t xml:space="preserve">          3. Deudas con empresas del grupo y asociadas (+)</t>
  </si>
  <si>
    <t xml:space="preserve">          4. Deudas con características especiales (+)</t>
  </si>
  <si>
    <t xml:space="preserve">          5. Otras deudas (+)</t>
  </si>
  <si>
    <t xml:space="preserve">      b) Devolución y amortización de </t>
  </si>
  <si>
    <t xml:space="preserve">          1. Obligaciones y otros valores negociables (-) </t>
  </si>
  <si>
    <t xml:space="preserve">          2. Deudas con entidades de crédito (-)</t>
  </si>
  <si>
    <t xml:space="preserve">          3. Deudas con empresas del grupo y asociadas (-)</t>
  </si>
  <si>
    <t xml:space="preserve">          4. Deudas con características especiales (-)</t>
  </si>
  <si>
    <t xml:space="preserve">          5. Otras deudas (-)</t>
  </si>
  <si>
    <t xml:space="preserve">   11. Pagos por dividendos y remuneraciones de otros instrumentos de patrimonio</t>
  </si>
  <si>
    <t xml:space="preserve">      a) Dividendos (-)</t>
  </si>
  <si>
    <t xml:space="preserve">      b) Remuneración de otros instrumentos de patrimonio (-)</t>
  </si>
  <si>
    <t xml:space="preserve">   12. Flujos de efectivo de las actividades de financiación (9+10+11)</t>
  </si>
  <si>
    <t>D) Efecto de las variaciones de los tipos de cambio (+/-)</t>
  </si>
  <si>
    <t>E) AUMENTO/DISMINUCIÓN NETA DEL EFECTIVO O EQUIVALENTES (5+8+12+D)</t>
  </si>
  <si>
    <t xml:space="preserve">    Efectivo o equivalentes al comienzo del ejercicio</t>
  </si>
  <si>
    <t xml:space="preserve">    Efectivo o equivalentes al final del ejercicio</t>
  </si>
  <si>
    <t>PRESUPUESTO GENERAL DEL CABILDO INSULAR DE TENERIFE</t>
  </si>
  <si>
    <t>Anexo Inversiones reales</t>
  </si>
  <si>
    <t>Proyecto de Inversión</t>
  </si>
  <si>
    <t>Programación plurianual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</si>
  <si>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</si>
  <si>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</si>
  <si>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</si>
  <si>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</si>
  <si>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</si>
  <si>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</si>
  <si>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</si>
  <si>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</si>
  <si>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</si>
  <si>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 xml:space="preserve">SUBVENCIONES PARA FINANCIAR ACTIVIDADES ESPECÍFICAS </t>
  </si>
  <si>
    <t>Factoring sin recurso</t>
  </si>
  <si>
    <t>Otras operaciones de crédito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</si>
  <si>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</si>
  <si>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</si>
  <si>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</si>
  <si>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</si>
  <si>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</si>
  <si>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</si>
  <si>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</si>
  <si>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</si>
  <si>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</si>
  <si>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</si>
  <si>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</si>
  <si>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</si>
  <si>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</si>
  <si>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</si>
  <si>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</si>
  <si>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</si>
  <si>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</si>
  <si>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</si>
  <si>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</si>
  <si>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</si>
  <si>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</si>
  <si>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</si>
  <si>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</si>
  <si>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</si>
  <si>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</si>
  <si>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</si>
  <si>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</si>
  <si>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</si>
  <si>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</si>
  <si>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</si>
  <si>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</si>
  <si>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</si>
  <si>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</si>
  <si>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</si>
  <si>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</si>
  <si>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</si>
  <si>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</si>
  <si>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</si>
  <si>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</si>
  <si>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</si>
  <si>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</si>
  <si>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</si>
  <si>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</si>
  <si>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</si>
  <si>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</si>
  <si>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</si>
  <si>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</si>
  <si>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</si>
  <si>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</si>
  <si>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x</t>
  </si>
  <si>
    <t>Accion social-Otros gastos sociales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</si>
  <si>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</si>
  <si>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</si>
  <si>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</si>
  <si>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TITSA,S.A.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</si>
</sst>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_-* #,##0.00\ [$€]_-;\-* #,##0.00\ [$€]_-;_-* &quot;-&quot;??\ [$€]_-;_-@_-"/>
    <numFmt numFmtId="170" formatCode="#,##0_ ;\-#,##0\ "/>
    <numFmt numFmtId="171" formatCode="#,##0.00\ &quot;€&quot;"/>
    <numFmt numFmtId="172" formatCode="_-* #,##0.00\ [$€-C0A]_-;\-* #,##0.00\ [$€-C0A]_-;_-* &quot;-&quot;??\ [$€-C0A]_-;_-@_-"/>
    <numFmt numFmtId="173" formatCode="_-* #,##0.00\ [$€-42D]_-;\-* #,##0.00\ [$€-42D]_-;_-* &quot;-&quot;??\ [$€-42D]_-;_-@_-"/>
    <numFmt numFmtId="174" formatCode="_(* #,##0\ &quot;pta&quot;_);_(* \(#,##0\ &quot;pta&quot;\);_(* &quot;-&quot;??\ &quot;pta&quot;_);_(@_)"/>
    <numFmt numFmtId="175" formatCode="0.0%"/>
    <numFmt numFmtId="176" formatCode="#,##0.0"/>
    <numFmt numFmtId="177" formatCode="#,##0.00;\(#,##0.00\)"/>
    <numFmt numFmtId="178" formatCode="\ #,##0.00;\(\ #,##0.00\)"/>
    <numFmt numFmtId="179" formatCode="#,##0.00_ ;\-#,##0.00\ 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26"/>
      <name val="Arial"/>
      <family val="2"/>
    </font>
    <font>
      <sz val="26"/>
      <name val="Tahoma"/>
      <family val="2"/>
    </font>
    <font>
      <b/>
      <sz val="12"/>
      <color indexed="12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0"/>
      <color indexed="22"/>
      <name val="Tahoma"/>
      <family val="2"/>
    </font>
    <font>
      <sz val="11"/>
      <color indexed="22"/>
      <name val="Calibri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41"/>
      </left>
      <right style="medium"/>
      <top style="double"/>
      <bottom>
        <color indexed="63"/>
      </bottom>
    </border>
    <border>
      <left style="thin">
        <color indexed="41"/>
      </left>
      <right style="medium"/>
      <top>
        <color indexed="63"/>
      </top>
      <bottom style="double"/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>
        <color indexed="63"/>
      </bottom>
    </border>
    <border>
      <left style="thin"/>
      <right style="medium"/>
      <top style="thin">
        <color indexed="41"/>
      </top>
      <bottom style="medium"/>
    </border>
    <border>
      <left>
        <color indexed="63"/>
      </left>
      <right style="medium"/>
      <top style="medium"/>
      <bottom style="thin">
        <color indexed="41"/>
      </bottom>
    </border>
    <border>
      <left>
        <color indexed="63"/>
      </left>
      <right style="medium"/>
      <top style="thin">
        <color indexed="41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/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7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174" fontId="0" fillId="0" borderId="0" applyFont="0" applyFill="0" applyBorder="0" applyAlignment="0" applyProtection="0"/>
  </cellStyleXfs>
  <cellXfs count="1568">
    <xf numFmtId="0" fontId="0" fillId="0" borderId="0" xfId="0" applyAlignment="1">
      <alignment/>
    </xf>
    <xf numFmtId="3" fontId="0" fillId="0" borderId="0" xfId="69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9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10" xfId="69" applyNumberFormat="1" applyFont="1" applyBorder="1" applyAlignment="1">
      <alignment vertical="center"/>
      <protection/>
    </xf>
    <xf numFmtId="3" fontId="0" fillId="0" borderId="0" xfId="69" applyNumberFormat="1" applyFont="1" applyFill="1" applyBorder="1">
      <alignment/>
      <protection/>
    </xf>
    <xf numFmtId="3" fontId="1" fillId="0" borderId="0" xfId="69" applyNumberFormat="1" applyFont="1" applyFill="1" applyBorder="1">
      <alignment/>
      <protection/>
    </xf>
    <xf numFmtId="3" fontId="1" fillId="0" borderId="0" xfId="69" applyNumberFormat="1" applyFont="1" applyBorder="1">
      <alignment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0" fillId="0" borderId="10" xfId="69" applyNumberFormat="1" applyFont="1" applyBorder="1" applyAlignment="1">
      <alignment vertical="center"/>
      <protection/>
    </xf>
    <xf numFmtId="3" fontId="1" fillId="0" borderId="10" xfId="69" applyNumberFormat="1" applyFont="1" applyBorder="1" applyAlignment="1">
      <alignment horizontal="left" vertical="center" wrapText="1"/>
      <protection/>
    </xf>
    <xf numFmtId="3" fontId="0" fillId="0" borderId="10" xfId="69" applyNumberFormat="1" applyFont="1" applyBorder="1" applyAlignment="1">
      <alignment horizontal="left" vertical="center" wrapText="1"/>
      <protection/>
    </xf>
    <xf numFmtId="3" fontId="29" fillId="8" borderId="12" xfId="59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" fontId="29" fillId="8" borderId="13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 wrapText="1"/>
      <protection/>
    </xf>
    <xf numFmtId="3" fontId="1" fillId="0" borderId="14" xfId="59" applyNumberFormat="1" applyFont="1" applyFill="1" applyBorder="1" applyAlignment="1">
      <alignment horizontal="center" vertical="center" wrapText="1"/>
      <protection/>
    </xf>
    <xf numFmtId="3" fontId="1" fillId="0" borderId="15" xfId="69" applyNumberFormat="1" applyFont="1" applyBorder="1" applyAlignment="1">
      <alignment horizontal="centerContinuous" vertical="center"/>
      <protection/>
    </xf>
    <xf numFmtId="3" fontId="1" fillId="0" borderId="16" xfId="69" applyNumberFormat="1" applyFont="1" applyBorder="1" applyAlignment="1">
      <alignment vertical="center"/>
      <protection/>
    </xf>
    <xf numFmtId="177" fontId="1" fillId="0" borderId="17" xfId="69" applyNumberFormat="1" applyFont="1" applyBorder="1" applyAlignment="1">
      <alignment horizontal="right" vertical="center"/>
      <protection/>
    </xf>
    <xf numFmtId="177" fontId="1" fillId="0" borderId="12" xfId="69" applyNumberFormat="1" applyFont="1" applyBorder="1" applyAlignment="1">
      <alignment horizontal="right" vertical="center"/>
      <protection/>
    </xf>
    <xf numFmtId="177" fontId="1" fillId="0" borderId="17" xfId="69" applyNumberFormat="1" applyFont="1" applyBorder="1" applyAlignment="1" applyProtection="1">
      <alignment horizontal="right" vertical="center"/>
      <protection locked="0"/>
    </xf>
    <xf numFmtId="177" fontId="1" fillId="0" borderId="12" xfId="69" applyNumberFormat="1" applyFont="1" applyBorder="1" applyAlignment="1" applyProtection="1">
      <alignment horizontal="right" vertical="center"/>
      <protection locked="0"/>
    </xf>
    <xf numFmtId="177" fontId="0" fillId="0" borderId="17" xfId="69" applyNumberFormat="1" applyFont="1" applyBorder="1" applyAlignment="1" applyProtection="1">
      <alignment horizontal="right" vertical="center"/>
      <protection locked="0"/>
    </xf>
    <xf numFmtId="177" fontId="0" fillId="0" borderId="12" xfId="69" applyNumberFormat="1" applyFont="1" applyBorder="1" applyAlignment="1" applyProtection="1">
      <alignment horizontal="right" vertical="center"/>
      <protection locked="0"/>
    </xf>
    <xf numFmtId="177" fontId="0" fillId="0" borderId="18" xfId="69" applyNumberFormat="1" applyFont="1" applyBorder="1" applyAlignment="1" applyProtection="1">
      <alignment horizontal="right" vertical="center"/>
      <protection locked="0"/>
    </xf>
    <xf numFmtId="177" fontId="0" fillId="0" borderId="12" xfId="69" applyNumberFormat="1" applyFont="1" applyFill="1" applyBorder="1" applyAlignment="1" applyProtection="1">
      <alignment horizontal="right" vertical="center"/>
      <protection locked="0"/>
    </xf>
    <xf numFmtId="177" fontId="0" fillId="0" borderId="17" xfId="69" applyNumberFormat="1" applyFont="1" applyBorder="1" applyAlignment="1">
      <alignment horizontal="right" vertical="center"/>
      <protection/>
    </xf>
    <xf numFmtId="177" fontId="0" fillId="0" borderId="12" xfId="69" applyNumberFormat="1" applyFont="1" applyBorder="1" applyAlignment="1">
      <alignment horizontal="right" vertical="center"/>
      <protection/>
    </xf>
    <xf numFmtId="177" fontId="1" fillId="0" borderId="19" xfId="69" applyNumberFormat="1" applyFont="1" applyBorder="1" applyAlignment="1">
      <alignment horizontal="right" vertical="center"/>
      <protection/>
    </xf>
    <xf numFmtId="177" fontId="1" fillId="0" borderId="20" xfId="69" applyNumberFormat="1" applyFont="1" applyBorder="1" applyAlignment="1">
      <alignment horizontal="right" vertical="center"/>
      <protection/>
    </xf>
    <xf numFmtId="177" fontId="0" fillId="0" borderId="0" xfId="69" applyNumberFormat="1" applyFont="1" applyBorder="1">
      <alignment/>
      <protection/>
    </xf>
    <xf numFmtId="177" fontId="0" fillId="0" borderId="0" xfId="69" applyNumberFormat="1" applyFont="1" applyBorder="1" applyAlignment="1">
      <alignment horizontal="center"/>
      <protection/>
    </xf>
    <xf numFmtId="177" fontId="0" fillId="0" borderId="0" xfId="69" applyNumberFormat="1" applyFont="1" applyFill="1" applyBorder="1" applyAlignment="1">
      <alignment horizontal="center"/>
      <protection/>
    </xf>
    <xf numFmtId="0" fontId="1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7" fontId="1" fillId="0" borderId="17" xfId="69" applyNumberFormat="1" applyFont="1" applyFill="1" applyBorder="1" applyAlignment="1" applyProtection="1">
      <alignment horizontal="right" vertical="center"/>
      <protection locked="0"/>
    </xf>
    <xf numFmtId="10" fontId="0" fillId="0" borderId="0" xfId="72" applyNumberFormat="1" applyFont="1" applyBorder="1" applyAlignment="1">
      <alignment vertical="center"/>
    </xf>
    <xf numFmtId="3" fontId="1" fillId="0" borderId="0" xfId="69" applyNumberFormat="1" applyFont="1" applyBorder="1" applyAlignment="1">
      <alignment vertical="center"/>
      <protection/>
    </xf>
    <xf numFmtId="3" fontId="0" fillId="0" borderId="0" xfId="68" applyNumberFormat="1" applyFont="1" applyBorder="1">
      <alignment/>
      <protection/>
    </xf>
    <xf numFmtId="0" fontId="0" fillId="0" borderId="0" xfId="58" applyFont="1" applyAlignment="1">
      <alignment vertical="center"/>
      <protection/>
    </xf>
    <xf numFmtId="4" fontId="1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22" xfId="0" applyNumberFormat="1" applyFont="1" applyBorder="1" applyAlignment="1">
      <alignment/>
    </xf>
    <xf numFmtId="0" fontId="0" fillId="0" borderId="0" xfId="58" applyFont="1">
      <alignment/>
      <protection/>
    </xf>
    <xf numFmtId="0" fontId="1" fillId="0" borderId="0" xfId="58" applyFont="1">
      <alignment/>
      <protection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7" fontId="0" fillId="0" borderId="27" xfId="51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7" fontId="0" fillId="0" borderId="27" xfId="51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177" fontId="0" fillId="0" borderId="14" xfId="51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3" fontId="1" fillId="8" borderId="15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>
      <alignment vertical="center"/>
    </xf>
    <xf numFmtId="177" fontId="1" fillId="8" borderId="27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 applyProtection="1">
      <alignment vertical="center"/>
      <protection/>
    </xf>
    <xf numFmtId="177" fontId="1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1" fillId="8" borderId="34" xfId="0" applyNumberFormat="1" applyFont="1" applyFill="1" applyBorder="1" applyAlignment="1">
      <alignment vertical="center"/>
    </xf>
    <xf numFmtId="177" fontId="1" fillId="8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8" borderId="37" xfId="0" applyNumberFormat="1" applyFont="1" applyFill="1" applyBorder="1" applyAlignment="1">
      <alignment vertical="center"/>
    </xf>
    <xf numFmtId="177" fontId="1" fillId="8" borderId="38" xfId="0" applyNumberFormat="1" applyFont="1" applyFill="1" applyBorder="1" applyAlignment="1">
      <alignment vertical="center"/>
    </xf>
    <xf numFmtId="3" fontId="0" fillId="0" borderId="26" xfId="64" applyNumberFormat="1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>
      <alignment vertical="center"/>
    </xf>
    <xf numFmtId="3" fontId="1" fillId="0" borderId="33" xfId="0" applyNumberFormat="1" applyFont="1" applyBorder="1" applyAlignment="1" applyProtection="1">
      <alignment vertical="center"/>
      <protection/>
    </xf>
    <xf numFmtId="3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 applyProtection="1">
      <alignment vertical="center"/>
      <protection/>
    </xf>
    <xf numFmtId="3" fontId="1" fillId="0" borderId="15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177" fontId="1" fillId="0" borderId="2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" fontId="1" fillId="24" borderId="15" xfId="0" applyNumberFormat="1" applyFont="1" applyFill="1" applyBorder="1" applyAlignment="1" applyProtection="1">
      <alignment vertical="center"/>
      <protection/>
    </xf>
    <xf numFmtId="3" fontId="1" fillId="24" borderId="26" xfId="0" applyNumberFormat="1" applyFont="1" applyFill="1" applyBorder="1" applyAlignment="1">
      <alignment vertical="center"/>
    </xf>
    <xf numFmtId="177" fontId="1" fillId="24" borderId="27" xfId="51" applyNumberFormat="1" applyFont="1" applyFill="1" applyBorder="1" applyAlignment="1" applyProtection="1">
      <alignment vertical="center"/>
      <protection/>
    </xf>
    <xf numFmtId="177" fontId="1" fillId="24" borderId="27" xfId="0" applyNumberFormat="1" applyFont="1" applyFill="1" applyBorder="1" applyAlignment="1" applyProtection="1">
      <alignment vertical="center"/>
      <protection/>
    </xf>
    <xf numFmtId="0" fontId="10" fillId="3" borderId="0" xfId="58" applyFont="1" applyFill="1">
      <alignment/>
      <protection/>
    </xf>
    <xf numFmtId="3" fontId="0" fillId="3" borderId="0" xfId="68" applyNumberFormat="1" applyFont="1" applyFill="1" applyBorder="1">
      <alignment/>
      <protection/>
    </xf>
    <xf numFmtId="3" fontId="1" fillId="8" borderId="39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1" fillId="8" borderId="40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1" fillId="8" borderId="42" xfId="0" applyNumberFormat="1" applyFont="1" applyFill="1" applyBorder="1" applyAlignment="1">
      <alignment vertical="center"/>
    </xf>
    <xf numFmtId="3" fontId="1" fillId="8" borderId="43" xfId="0" applyNumberFormat="1" applyFont="1" applyFill="1" applyBorder="1" applyAlignment="1">
      <alignment vertical="center"/>
    </xf>
    <xf numFmtId="3" fontId="1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 vertical="justify" wrapText="1"/>
    </xf>
    <xf numFmtId="0" fontId="8" fillId="25" borderId="13" xfId="60" applyFont="1" applyFill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0" fillId="0" borderId="0" xfId="57" applyFill="1">
      <alignment/>
      <protection/>
    </xf>
    <xf numFmtId="0" fontId="32" fillId="0" borderId="17" xfId="57" applyFont="1" applyBorder="1" applyAlignment="1">
      <alignment horizontal="center" vertical="center" wrapText="1"/>
      <protection/>
    </xf>
    <xf numFmtId="0" fontId="33" fillId="0" borderId="17" xfId="57" applyFont="1" applyBorder="1" applyAlignment="1">
      <alignment horizontal="center" vertical="center" wrapText="1"/>
      <protection/>
    </xf>
    <xf numFmtId="0" fontId="0" fillId="0" borderId="17" xfId="57" applyBorder="1">
      <alignment/>
      <protection/>
    </xf>
    <xf numFmtId="0" fontId="34" fillId="0" borderId="17" xfId="57" applyFont="1" applyBorder="1" applyAlignment="1">
      <alignment horizontal="left" wrapText="1"/>
      <protection/>
    </xf>
    <xf numFmtId="0" fontId="0" fillId="0" borderId="45" xfId="57" applyBorder="1">
      <alignment/>
      <protection/>
    </xf>
    <xf numFmtId="0" fontId="36" fillId="0" borderId="46" xfId="57" applyFont="1" applyBorder="1" applyAlignment="1">
      <alignment wrapText="1"/>
      <protection/>
    </xf>
    <xf numFmtId="172" fontId="35" fillId="0" borderId="46" xfId="57" applyNumberFormat="1" applyFont="1" applyBorder="1" applyAlignment="1">
      <alignment wrapText="1"/>
      <protection/>
    </xf>
    <xf numFmtId="172" fontId="37" fillId="0" borderId="46" xfId="57" applyNumberFormat="1" applyFont="1" applyBorder="1">
      <alignment/>
      <protection/>
    </xf>
    <xf numFmtId="172" fontId="37" fillId="0" borderId="47" xfId="57" applyNumberFormat="1" applyFont="1" applyBorder="1">
      <alignment/>
      <protection/>
    </xf>
    <xf numFmtId="2" fontId="8" fillId="8" borderId="25" xfId="60" applyNumberFormat="1" applyFont="1" applyFill="1" applyBorder="1" applyAlignment="1">
      <alignment horizontal="center" vertical="center" wrapText="1"/>
      <protection/>
    </xf>
    <xf numFmtId="0" fontId="0" fillId="0" borderId="46" xfId="57" applyFont="1" applyBorder="1">
      <alignment/>
      <protection/>
    </xf>
    <xf numFmtId="0" fontId="0" fillId="0" borderId="47" xfId="57" applyFont="1" applyBorder="1">
      <alignment/>
      <protection/>
    </xf>
    <xf numFmtId="0" fontId="0" fillId="0" borderId="0" xfId="57" applyFont="1">
      <alignment/>
      <protection/>
    </xf>
    <xf numFmtId="172" fontId="38" fillId="0" borderId="17" xfId="57" applyNumberFormat="1" applyFont="1" applyBorder="1" applyAlignment="1">
      <alignment horizontal="center" vertical="center" wrapText="1"/>
      <protection/>
    </xf>
    <xf numFmtId="172" fontId="39" fillId="0" borderId="17" xfId="57" applyNumberFormat="1" applyFont="1" applyBorder="1" applyAlignment="1">
      <alignment horizontal="center" wrapText="1"/>
      <protection/>
    </xf>
    <xf numFmtId="172" fontId="39" fillId="0" borderId="17" xfId="57" applyNumberFormat="1" applyFont="1" applyBorder="1" applyAlignment="1">
      <alignment horizontal="center" vertical="center" wrapText="1"/>
      <protection/>
    </xf>
    <xf numFmtId="172" fontId="38" fillId="0" borderId="48" xfId="57" applyNumberFormat="1" applyFont="1" applyBorder="1" applyAlignment="1">
      <alignment horizontal="center" wrapText="1"/>
      <protection/>
    </xf>
    <xf numFmtId="169" fontId="39" fillId="0" borderId="17" xfId="45" applyFont="1" applyBorder="1" applyAlignment="1">
      <alignment horizontal="center" wrapText="1"/>
    </xf>
    <xf numFmtId="169" fontId="39" fillId="0" borderId="17" xfId="45" applyFont="1" applyBorder="1" applyAlignment="1">
      <alignment horizontal="right" vertical="center" wrapText="1"/>
    </xf>
    <xf numFmtId="169" fontId="39" fillId="0" borderId="17" xfId="45" applyFont="1" applyBorder="1" applyAlignment="1">
      <alignment horizontal="right" wrapText="1"/>
    </xf>
    <xf numFmtId="169" fontId="38" fillId="0" borderId="48" xfId="45" applyFont="1" applyBorder="1" applyAlignment="1">
      <alignment horizont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7" fontId="43" fillId="0" borderId="0" xfId="0" applyNumberFormat="1" applyFont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177" fontId="42" fillId="0" borderId="25" xfId="0" applyNumberFormat="1" applyFont="1" applyBorder="1" applyAlignment="1">
      <alignment vertical="center"/>
    </xf>
    <xf numFmtId="3" fontId="43" fillId="0" borderId="15" xfId="0" applyNumberFormat="1" applyFont="1" applyBorder="1" applyAlignment="1" applyProtection="1">
      <alignment horizontal="right" vertical="center"/>
      <protection/>
    </xf>
    <xf numFmtId="3" fontId="43" fillId="0" borderId="26" xfId="0" applyNumberFormat="1" applyFont="1" applyBorder="1" applyAlignment="1" applyProtection="1">
      <alignment vertical="center"/>
      <protection/>
    </xf>
    <xf numFmtId="177" fontId="43" fillId="0" borderId="27" xfId="51" applyNumberFormat="1" applyFont="1" applyBorder="1" applyAlignment="1" applyProtection="1">
      <alignment vertical="center"/>
      <protection/>
    </xf>
    <xf numFmtId="3" fontId="43" fillId="0" borderId="15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77" fontId="43" fillId="0" borderId="27" xfId="51" applyNumberFormat="1" applyFont="1" applyBorder="1" applyAlignment="1">
      <alignment vertical="center"/>
    </xf>
    <xf numFmtId="3" fontId="42" fillId="24" borderId="15" xfId="0" applyNumberFormat="1" applyFont="1" applyFill="1" applyBorder="1" applyAlignment="1" applyProtection="1">
      <alignment vertical="center"/>
      <protection/>
    </xf>
    <xf numFmtId="3" fontId="42" fillId="24" borderId="26" xfId="0" applyNumberFormat="1" applyFont="1" applyFill="1" applyBorder="1" applyAlignment="1">
      <alignment vertical="center"/>
    </xf>
    <xf numFmtId="177" fontId="42" fillId="24" borderId="27" xfId="51" applyNumberFormat="1" applyFont="1" applyFill="1" applyBorder="1" applyAlignment="1" applyProtection="1">
      <alignment vertical="center"/>
      <protection/>
    </xf>
    <xf numFmtId="3" fontId="42" fillId="0" borderId="28" xfId="0" applyNumberFormat="1" applyFont="1" applyBorder="1" applyAlignment="1">
      <alignment vertical="center"/>
    </xf>
    <xf numFmtId="3" fontId="42" fillId="0" borderId="29" xfId="0" applyNumberFormat="1" applyFont="1" applyBorder="1" applyAlignment="1">
      <alignment vertical="center"/>
    </xf>
    <xf numFmtId="177" fontId="43" fillId="0" borderId="14" xfId="51" applyNumberFormat="1" applyFont="1" applyBorder="1" applyAlignment="1">
      <alignment vertical="center"/>
    </xf>
    <xf numFmtId="177" fontId="42" fillId="24" borderId="27" xfId="0" applyNumberFormat="1" applyFont="1" applyFill="1" applyBorder="1" applyAlignment="1" applyProtection="1">
      <alignment vertical="center"/>
      <protection/>
    </xf>
    <xf numFmtId="3" fontId="42" fillId="0" borderId="15" xfId="0" applyNumberFormat="1" applyFont="1" applyBorder="1" applyAlignment="1">
      <alignment vertical="center"/>
    </xf>
    <xf numFmtId="3" fontId="42" fillId="0" borderId="26" xfId="0" applyNumberFormat="1" applyFont="1" applyBorder="1" applyAlignment="1">
      <alignment vertical="center"/>
    </xf>
    <xf numFmtId="177" fontId="43" fillId="0" borderId="27" xfId="0" applyNumberFormat="1" applyFont="1" applyBorder="1" applyAlignment="1">
      <alignment vertical="center"/>
    </xf>
    <xf numFmtId="3" fontId="42" fillId="8" borderId="15" xfId="0" applyNumberFormat="1" applyFont="1" applyFill="1" applyBorder="1" applyAlignment="1">
      <alignment vertical="center"/>
    </xf>
    <xf numFmtId="177" fontId="42" fillId="8" borderId="27" xfId="0" applyNumberFormat="1" applyFont="1" applyFill="1" applyBorder="1" applyAlignment="1">
      <alignment vertical="center"/>
    </xf>
    <xf numFmtId="3" fontId="42" fillId="8" borderId="26" xfId="0" applyNumberFormat="1" applyFont="1" applyFill="1" applyBorder="1" applyAlignment="1" applyProtection="1">
      <alignment vertical="center"/>
      <protection/>
    </xf>
    <xf numFmtId="177" fontId="42" fillId="8" borderId="27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3" fontId="42" fillId="8" borderId="43" xfId="0" applyNumberFormat="1" applyFont="1" applyFill="1" applyBorder="1" applyAlignment="1">
      <alignment vertical="center"/>
    </xf>
    <xf numFmtId="3" fontId="42" fillId="8" borderId="44" xfId="0" applyNumberFormat="1" applyFont="1" applyFill="1" applyBorder="1" applyAlignment="1">
      <alignment vertical="center"/>
    </xf>
    <xf numFmtId="177" fontId="42" fillId="8" borderId="49" xfId="0" applyNumberFormat="1" applyFont="1" applyFill="1" applyBorder="1" applyAlignment="1">
      <alignment vertical="center"/>
    </xf>
    <xf numFmtId="3" fontId="43" fillId="8" borderId="41" xfId="0" applyNumberFormat="1" applyFont="1" applyFill="1" applyBorder="1" applyAlignment="1">
      <alignment vertical="center"/>
    </xf>
    <xf numFmtId="3" fontId="42" fillId="8" borderId="42" xfId="0" applyNumberFormat="1" applyFont="1" applyFill="1" applyBorder="1" applyAlignment="1">
      <alignment vertical="center"/>
    </xf>
    <xf numFmtId="177" fontId="42" fillId="8" borderId="38" xfId="0" applyNumberFormat="1" applyFont="1" applyFill="1" applyBorder="1" applyAlignment="1">
      <alignment vertical="center"/>
    </xf>
    <xf numFmtId="3" fontId="43" fillId="0" borderId="26" xfId="64" applyNumberFormat="1" applyFont="1" applyBorder="1" applyAlignment="1" applyProtection="1">
      <alignment vertical="center"/>
      <protection/>
    </xf>
    <xf numFmtId="177" fontId="43" fillId="0" borderId="27" xfId="0" applyNumberFormat="1" applyFont="1" applyBorder="1" applyAlignment="1" applyProtection="1">
      <alignment vertical="center"/>
      <protection/>
    </xf>
    <xf numFmtId="4" fontId="43" fillId="0" borderId="0" xfId="0" applyNumberFormat="1" applyFont="1" applyAlignment="1">
      <alignment vertical="center"/>
    </xf>
    <xf numFmtId="177" fontId="43" fillId="0" borderId="14" xfId="0" applyNumberFormat="1" applyFont="1" applyBorder="1" applyAlignment="1">
      <alignment vertical="center"/>
    </xf>
    <xf numFmtId="3" fontId="42" fillId="0" borderId="33" xfId="0" applyNumberFormat="1" applyFont="1" applyBorder="1" applyAlignment="1" applyProtection="1">
      <alignment vertical="center"/>
      <protection/>
    </xf>
    <xf numFmtId="3" fontId="42" fillId="0" borderId="34" xfId="0" applyNumberFormat="1" applyFont="1" applyBorder="1" applyAlignment="1">
      <alignment vertical="center"/>
    </xf>
    <xf numFmtId="177" fontId="42" fillId="0" borderId="35" xfId="0" applyNumberFormat="1" applyFont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0" fontId="43" fillId="3" borderId="0" xfId="0" applyFont="1" applyFill="1" applyAlignment="1">
      <alignment vertical="center"/>
    </xf>
    <xf numFmtId="0" fontId="46" fillId="3" borderId="0" xfId="58" applyFont="1" applyFill="1" applyAlignment="1">
      <alignment vertical="center"/>
      <protection/>
    </xf>
    <xf numFmtId="3" fontId="43" fillId="3" borderId="0" xfId="68" applyNumberFormat="1" applyFont="1" applyFill="1" applyBorder="1" applyAlignment="1">
      <alignment vertical="center"/>
      <protection/>
    </xf>
    <xf numFmtId="0" fontId="43" fillId="0" borderId="0" xfId="58" applyFont="1" applyAlignment="1">
      <alignment vertical="center"/>
      <protection/>
    </xf>
    <xf numFmtId="3" fontId="43" fillId="0" borderId="0" xfId="68" applyNumberFormat="1" applyFont="1" applyBorder="1" applyAlignment="1">
      <alignment vertical="center"/>
      <protection/>
    </xf>
    <xf numFmtId="0" fontId="42" fillId="0" borderId="0" xfId="58" applyFont="1" applyAlignment="1">
      <alignment vertical="center" wrapText="1"/>
      <protection/>
    </xf>
    <xf numFmtId="0" fontId="42" fillId="0" borderId="0" xfId="58" applyFont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177" fontId="45" fillId="0" borderId="17" xfId="0" applyNumberFormat="1" applyFont="1" applyBorder="1" applyAlignment="1" applyProtection="1">
      <alignment vertical="center"/>
      <protection/>
    </xf>
    <xf numFmtId="177" fontId="43" fillId="0" borderId="17" xfId="0" applyNumberFormat="1" applyFont="1" applyBorder="1" applyAlignment="1">
      <alignment vertical="center"/>
    </xf>
    <xf numFmtId="3" fontId="42" fillId="8" borderId="24" xfId="0" applyNumberFormat="1" applyFont="1" applyFill="1" applyBorder="1" applyAlignment="1">
      <alignment vertical="center"/>
    </xf>
    <xf numFmtId="3" fontId="43" fillId="8" borderId="1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>
      <alignment vertical="center"/>
    </xf>
    <xf numFmtId="177" fontId="43" fillId="0" borderId="0" xfId="0" applyNumberFormat="1" applyFont="1" applyBorder="1" applyAlignment="1">
      <alignment vertical="center"/>
    </xf>
    <xf numFmtId="0" fontId="43" fillId="0" borderId="50" xfId="0" applyFont="1" applyBorder="1" applyAlignment="1">
      <alignment vertical="center"/>
    </xf>
    <xf numFmtId="177" fontId="43" fillId="0" borderId="50" xfId="0" applyNumberFormat="1" applyFont="1" applyBorder="1" applyAlignment="1">
      <alignment vertical="center"/>
    </xf>
    <xf numFmtId="0" fontId="43" fillId="0" borderId="50" xfId="0" applyFont="1" applyBorder="1" applyAlignment="1">
      <alignment vertical="center" wrapText="1"/>
    </xf>
    <xf numFmtId="0" fontId="45" fillId="0" borderId="50" xfId="0" applyFont="1" applyBorder="1" applyAlignment="1">
      <alignment vertical="center"/>
    </xf>
    <xf numFmtId="177" fontId="45" fillId="0" borderId="50" xfId="0" applyNumberFormat="1" applyFont="1" applyBorder="1" applyAlignment="1" applyProtection="1">
      <alignment vertical="center"/>
      <protection/>
    </xf>
    <xf numFmtId="3" fontId="42" fillId="0" borderId="51" xfId="0" applyNumberFormat="1" applyFont="1" applyFill="1" applyBorder="1" applyAlignment="1">
      <alignment vertical="center"/>
    </xf>
    <xf numFmtId="3" fontId="42" fillId="0" borderId="52" xfId="0" applyNumberFormat="1" applyFont="1" applyFill="1" applyBorder="1" applyAlignment="1">
      <alignment vertical="center"/>
    </xf>
    <xf numFmtId="177" fontId="42" fillId="0" borderId="53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3" fontId="42" fillId="8" borderId="54" xfId="0" applyNumberFormat="1" applyFont="1" applyFill="1" applyBorder="1" applyAlignment="1">
      <alignment vertical="center"/>
    </xf>
    <xf numFmtId="3" fontId="42" fillId="8" borderId="5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 applyProtection="1">
      <alignment vertical="center"/>
      <protection/>
    </xf>
    <xf numFmtId="0" fontId="43" fillId="0" borderId="43" xfId="0" applyFont="1" applyBorder="1" applyAlignment="1">
      <alignment vertical="center"/>
    </xf>
    <xf numFmtId="3" fontId="42" fillId="0" borderId="43" xfId="0" applyNumberFormat="1" applyFont="1" applyFill="1" applyBorder="1" applyAlignment="1" quotePrefix="1">
      <alignment vertical="center"/>
    </xf>
    <xf numFmtId="3" fontId="42" fillId="0" borderId="41" xfId="0" applyNumberFormat="1" applyFont="1" applyFill="1" applyBorder="1" applyAlignment="1">
      <alignment vertical="center"/>
    </xf>
    <xf numFmtId="3" fontId="42" fillId="24" borderId="41" xfId="0" applyNumberFormat="1" applyFont="1" applyFill="1" applyBorder="1" applyAlignment="1" applyProtection="1">
      <alignment vertical="center"/>
      <protection/>
    </xf>
    <xf numFmtId="3" fontId="43" fillId="0" borderId="0" xfId="64" applyNumberFormat="1" applyFont="1" applyBorder="1" applyAlignment="1" applyProtection="1">
      <alignment vertical="center"/>
      <protection/>
    </xf>
    <xf numFmtId="3" fontId="42" fillId="24" borderId="0" xfId="0" applyNumberFormat="1" applyFont="1" applyFill="1" applyBorder="1" applyAlignment="1">
      <alignment vertical="center"/>
    </xf>
    <xf numFmtId="3" fontId="42" fillId="0" borderId="56" xfId="0" applyNumberFormat="1" applyFont="1" applyBorder="1" applyAlignment="1">
      <alignment vertical="center"/>
    </xf>
    <xf numFmtId="3" fontId="42" fillId="0" borderId="39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57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0" xfId="55" applyFont="1" applyAlignment="1">
      <alignment horizontal="left" vertical="center" wrapText="1"/>
      <protection/>
    </xf>
    <xf numFmtId="0" fontId="43" fillId="0" borderId="0" xfId="55" applyFont="1" applyAlignment="1">
      <alignment vertical="center"/>
      <protection/>
    </xf>
    <xf numFmtId="0" fontId="43" fillId="0" borderId="0" xfId="55" applyFont="1" applyFill="1" applyAlignment="1">
      <alignment vertical="center"/>
      <protection/>
    </xf>
    <xf numFmtId="0" fontId="42" fillId="0" borderId="0" xfId="55" applyFont="1" applyAlignment="1">
      <alignment vertical="center"/>
      <protection/>
    </xf>
    <xf numFmtId="2" fontId="43" fillId="0" borderId="0" xfId="55" applyNumberFormat="1" applyFont="1" applyAlignment="1">
      <alignment vertical="center"/>
      <protection/>
    </xf>
    <xf numFmtId="4" fontId="43" fillId="0" borderId="0" xfId="55" applyNumberFormat="1" applyFont="1" applyAlignment="1">
      <alignment vertical="center"/>
      <protection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169" fontId="43" fillId="0" borderId="0" xfId="0" applyNumberFormat="1" applyFont="1" applyAlignment="1">
      <alignment vertical="center"/>
    </xf>
    <xf numFmtId="0" fontId="43" fillId="0" borderId="0" xfId="0" applyFont="1" applyAlignment="1">
      <alignment horizontal="right" vertical="center"/>
    </xf>
    <xf numFmtId="173" fontId="43" fillId="22" borderId="0" xfId="0" applyNumberFormat="1" applyFont="1" applyFill="1" applyAlignment="1">
      <alignment vertical="center"/>
    </xf>
    <xf numFmtId="1" fontId="47" fillId="8" borderId="13" xfId="59" applyNumberFormat="1" applyFont="1" applyFill="1" applyBorder="1" applyAlignment="1">
      <alignment horizontal="center" vertical="center"/>
      <protection/>
    </xf>
    <xf numFmtId="2" fontId="47" fillId="8" borderId="12" xfId="59" applyNumberFormat="1" applyFont="1" applyFill="1" applyBorder="1" applyAlignment="1">
      <alignment horizontal="center" vertical="center"/>
      <protection/>
    </xf>
    <xf numFmtId="0" fontId="43" fillId="0" borderId="0" xfId="65" applyFont="1" applyAlignment="1">
      <alignment vertical="center"/>
      <protection/>
    </xf>
    <xf numFmtId="4" fontId="43" fillId="0" borderId="0" xfId="65" applyNumberFormat="1" applyFont="1" applyAlignment="1">
      <alignment vertical="center"/>
      <protection/>
    </xf>
    <xf numFmtId="3" fontId="43" fillId="0" borderId="0" xfId="65" applyNumberFormat="1" applyFont="1" applyAlignment="1">
      <alignment vertical="center"/>
      <protection/>
    </xf>
    <xf numFmtId="4" fontId="43" fillId="26" borderId="11" xfId="65" applyNumberFormat="1" applyFont="1" applyFill="1" applyBorder="1" applyAlignment="1" applyProtection="1">
      <alignment horizontal="center" vertical="center"/>
      <protection locked="0"/>
    </xf>
    <xf numFmtId="177" fontId="43" fillId="0" borderId="11" xfId="52" applyNumberFormat="1" applyFont="1" applyBorder="1" applyAlignment="1" applyProtection="1">
      <alignment horizontal="right" vertical="center"/>
      <protection locked="0"/>
    </xf>
    <xf numFmtId="177" fontId="43" fillId="0" borderId="17" xfId="52" applyNumberFormat="1" applyFont="1" applyBorder="1" applyAlignment="1" applyProtection="1">
      <alignment horizontal="right" vertical="center"/>
      <protection locked="0"/>
    </xf>
    <xf numFmtId="49" fontId="43" fillId="0" borderId="60" xfId="65" applyNumberFormat="1" applyFont="1" applyFill="1" applyBorder="1" applyAlignment="1" applyProtection="1">
      <alignment horizontal="center" vertical="center"/>
      <protection locked="0"/>
    </xf>
    <xf numFmtId="49" fontId="43" fillId="0" borderId="25" xfId="65" applyNumberFormat="1" applyFont="1" applyFill="1" applyBorder="1" applyAlignment="1" applyProtection="1">
      <alignment horizontal="center" vertical="center"/>
      <protection locked="0"/>
    </xf>
    <xf numFmtId="0" fontId="43" fillId="0" borderId="60" xfId="65" applyNumberFormat="1" applyFont="1" applyFill="1" applyBorder="1" applyAlignment="1" applyProtection="1">
      <alignment vertical="center"/>
      <protection locked="0"/>
    </xf>
    <xf numFmtId="0" fontId="43" fillId="0" borderId="25" xfId="65" applyNumberFormat="1" applyFont="1" applyFill="1" applyBorder="1" applyAlignment="1" applyProtection="1">
      <alignment vertical="center"/>
      <protection locked="0"/>
    </xf>
    <xf numFmtId="4" fontId="43" fillId="26" borderId="57" xfId="65" applyNumberFormat="1" applyFont="1" applyFill="1" applyBorder="1" applyAlignment="1" applyProtection="1">
      <alignment horizontal="center" vertical="center"/>
      <protection locked="0"/>
    </xf>
    <xf numFmtId="177" fontId="43" fillId="0" borderId="48" xfId="52" applyNumberFormat="1" applyFont="1" applyBorder="1" applyAlignment="1" applyProtection="1">
      <alignment horizontal="right" vertical="center"/>
      <protection locked="0"/>
    </xf>
    <xf numFmtId="0" fontId="43" fillId="0" borderId="61" xfId="65" applyNumberFormat="1" applyFont="1" applyFill="1" applyBorder="1" applyAlignment="1" applyProtection="1">
      <alignment vertical="center"/>
      <protection locked="0"/>
    </xf>
    <xf numFmtId="0" fontId="43" fillId="0" borderId="20" xfId="65" applyNumberFormat="1" applyFont="1" applyFill="1" applyBorder="1" applyAlignment="1" applyProtection="1">
      <alignment vertical="center"/>
      <protection locked="0"/>
    </xf>
    <xf numFmtId="4" fontId="43" fillId="0" borderId="17" xfId="65" applyNumberFormat="1" applyFont="1" applyBorder="1" applyAlignment="1" applyProtection="1">
      <alignment horizontal="center" vertical="center"/>
      <protection locked="0"/>
    </xf>
    <xf numFmtId="177" fontId="43" fillId="0" borderId="17" xfId="65" applyNumberFormat="1" applyFont="1" applyBorder="1" applyAlignment="1" applyProtection="1">
      <alignment horizontal="right" vertical="center"/>
      <protection locked="0"/>
    </xf>
    <xf numFmtId="4" fontId="43" fillId="0" borderId="48" xfId="65" applyNumberFormat="1" applyFont="1" applyBorder="1" applyAlignment="1" applyProtection="1">
      <alignment horizontal="center" vertical="center"/>
      <protection locked="0"/>
    </xf>
    <xf numFmtId="177" fontId="43" fillId="0" borderId="48" xfId="65" applyNumberFormat="1" applyFont="1" applyBorder="1" applyAlignment="1" applyProtection="1">
      <alignment horizontal="right" vertical="center"/>
      <protection locked="0"/>
    </xf>
    <xf numFmtId="0" fontId="42" fillId="0" borderId="0" xfId="65" applyFont="1" applyBorder="1" applyAlignment="1">
      <alignment horizontal="center" vertical="center"/>
      <protection/>
    </xf>
    <xf numFmtId="0" fontId="43" fillId="0" borderId="0" xfId="65" applyFont="1" applyBorder="1" applyAlignment="1">
      <alignment vertical="center"/>
      <protection/>
    </xf>
    <xf numFmtId="177" fontId="42" fillId="0" borderId="0" xfId="65" applyNumberFormat="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center" vertical="center" wrapText="1"/>
    </xf>
    <xf numFmtId="0" fontId="43" fillId="0" borderId="0" xfId="66" applyFont="1" applyAlignment="1">
      <alignment vertical="center"/>
      <protection/>
    </xf>
    <xf numFmtId="4" fontId="43" fillId="0" borderId="0" xfId="66" applyNumberFormat="1" applyFont="1" applyAlignment="1">
      <alignment vertical="center"/>
      <protection/>
    </xf>
    <xf numFmtId="0" fontId="42" fillId="0" borderId="18" xfId="66" applyFont="1" applyFill="1" applyBorder="1" applyAlignment="1">
      <alignment horizontal="center" vertical="center" wrapText="1"/>
      <protection/>
    </xf>
    <xf numFmtId="0" fontId="42" fillId="0" borderId="17" xfId="66" applyFont="1" applyFill="1" applyBorder="1" applyAlignment="1">
      <alignment horizontal="center" vertical="center" wrapText="1"/>
      <protection/>
    </xf>
    <xf numFmtId="0" fontId="42" fillId="0" borderId="62" xfId="66" applyFont="1" applyFill="1" applyBorder="1" applyAlignment="1">
      <alignment vertical="center" wrapText="1"/>
      <protection/>
    </xf>
    <xf numFmtId="4" fontId="43" fillId="0" borderId="63" xfId="66" applyNumberFormat="1" applyFont="1" applyBorder="1" applyAlignment="1">
      <alignment vertical="center"/>
      <protection/>
    </xf>
    <xf numFmtId="4" fontId="43" fillId="0" borderId="17" xfId="66" applyNumberFormat="1" applyFont="1" applyFill="1" applyBorder="1" applyAlignment="1">
      <alignment horizontal="center" vertical="center" wrapText="1"/>
      <protection/>
    </xf>
    <xf numFmtId="4" fontId="43" fillId="0" borderId="63" xfId="66" applyNumberFormat="1" applyFont="1" applyFill="1" applyBorder="1" applyAlignment="1">
      <alignment vertical="center" wrapText="1"/>
      <protection/>
    </xf>
    <xf numFmtId="0" fontId="42" fillId="0" borderId="48" xfId="66" applyFont="1" applyFill="1" applyBorder="1" applyAlignment="1">
      <alignment horizontal="center" vertical="center" wrapText="1"/>
      <protection/>
    </xf>
    <xf numFmtId="4" fontId="42" fillId="0" borderId="12" xfId="66" applyNumberFormat="1" applyFont="1" applyFill="1" applyBorder="1" applyAlignment="1">
      <alignment horizontal="center" vertical="center" wrapText="1"/>
      <protection/>
    </xf>
    <xf numFmtId="4" fontId="54" fillId="0" borderId="0" xfId="66" applyNumberFormat="1" applyFont="1" applyAlignment="1">
      <alignment vertical="center"/>
      <protection/>
    </xf>
    <xf numFmtId="0" fontId="43" fillId="0" borderId="17" xfId="66" applyFont="1" applyFill="1" applyBorder="1" applyAlignment="1">
      <alignment horizontal="center" vertical="center"/>
      <protection/>
    </xf>
    <xf numFmtId="177" fontId="43" fillId="0" borderId="17" xfId="66" applyNumberFormat="1" applyFont="1" applyFill="1" applyBorder="1" applyAlignment="1">
      <alignment horizontal="center" vertical="center" wrapText="1"/>
      <protection/>
    </xf>
    <xf numFmtId="177" fontId="43" fillId="0" borderId="17" xfId="66" applyNumberFormat="1" applyFont="1" applyFill="1" applyBorder="1" applyAlignment="1">
      <alignment horizontal="right" vertical="center" wrapText="1"/>
      <protection/>
    </xf>
    <xf numFmtId="177" fontId="43" fillId="0" borderId="17" xfId="66" applyNumberFormat="1" applyFont="1" applyBorder="1" applyAlignment="1">
      <alignment horizontal="center" vertical="center"/>
      <protection/>
    </xf>
    <xf numFmtId="4" fontId="43" fillId="0" borderId="12" xfId="66" applyNumberFormat="1" applyFont="1" applyFill="1" applyBorder="1" applyAlignment="1">
      <alignment horizontal="center" vertical="center" wrapText="1"/>
      <protection/>
    </xf>
    <xf numFmtId="0" fontId="43" fillId="0" borderId="0" xfId="66" applyFont="1" applyAlignment="1">
      <alignment horizontal="center" vertical="center"/>
      <protection/>
    </xf>
    <xf numFmtId="4" fontId="54" fillId="0" borderId="0" xfId="66" applyNumberFormat="1" applyFont="1" applyAlignment="1">
      <alignment horizontal="center" vertical="center"/>
      <protection/>
    </xf>
    <xf numFmtId="4" fontId="43" fillId="0" borderId="0" xfId="66" applyNumberFormat="1" applyFont="1" applyAlignment="1">
      <alignment horizontal="center" vertical="center"/>
      <protection/>
    </xf>
    <xf numFmtId="4" fontId="43" fillId="0" borderId="64" xfId="66" applyNumberFormat="1" applyFont="1" applyFill="1" applyBorder="1" applyAlignment="1">
      <alignment horizontal="center" vertical="center" wrapText="1"/>
      <protection/>
    </xf>
    <xf numFmtId="171" fontId="43" fillId="0" borderId="17" xfId="66" applyNumberFormat="1" applyFont="1" applyFill="1" applyBorder="1" applyAlignment="1">
      <alignment horizontal="right" vertical="center" wrapText="1"/>
      <protection/>
    </xf>
    <xf numFmtId="0" fontId="43" fillId="0" borderId="17" xfId="66" applyNumberFormat="1" applyFont="1" applyBorder="1" applyAlignment="1">
      <alignment horizontal="center" vertical="center"/>
      <protection/>
    </xf>
    <xf numFmtId="4" fontId="43" fillId="0" borderId="65" xfId="66" applyNumberFormat="1" applyFont="1" applyFill="1" applyBorder="1" applyAlignment="1">
      <alignment horizontal="center" vertical="center" wrapText="1"/>
      <protection/>
    </xf>
    <xf numFmtId="0" fontId="43" fillId="0" borderId="48" xfId="66" applyFont="1" applyFill="1" applyBorder="1" applyAlignment="1">
      <alignment horizontal="center" vertical="center"/>
      <protection/>
    </xf>
    <xf numFmtId="4" fontId="43" fillId="0" borderId="48" xfId="66" applyNumberFormat="1" applyFont="1" applyFill="1" applyBorder="1" applyAlignment="1">
      <alignment horizontal="center" vertical="center" wrapText="1"/>
      <protection/>
    </xf>
    <xf numFmtId="171" fontId="43" fillId="0" borderId="48" xfId="66" applyNumberFormat="1" applyFont="1" applyFill="1" applyBorder="1" applyAlignment="1">
      <alignment horizontal="right" vertical="center" wrapText="1"/>
      <protection/>
    </xf>
    <xf numFmtId="0" fontId="43" fillId="0" borderId="48" xfId="66" applyNumberFormat="1" applyFont="1" applyBorder="1" applyAlignment="1">
      <alignment horizontal="center" vertical="center"/>
      <protection/>
    </xf>
    <xf numFmtId="4" fontId="43" fillId="0" borderId="25" xfId="66" applyNumberFormat="1" applyFont="1" applyFill="1" applyBorder="1" applyAlignment="1">
      <alignment horizontal="center" vertical="center" wrapText="1"/>
      <protection/>
    </xf>
    <xf numFmtId="49" fontId="43" fillId="0" borderId="50" xfId="66" applyNumberFormat="1" applyFont="1" applyBorder="1" applyAlignment="1">
      <alignment horizontal="center" vertical="center"/>
      <protection/>
    </xf>
    <xf numFmtId="0" fontId="43" fillId="0" borderId="66" xfId="66" applyFont="1" applyBorder="1" applyAlignment="1">
      <alignment horizontal="center" vertical="center"/>
      <protection/>
    </xf>
    <xf numFmtId="0" fontId="43" fillId="0" borderId="50" xfId="66" applyFont="1" applyBorder="1" applyAlignment="1">
      <alignment horizontal="center" vertical="center"/>
      <protection/>
    </xf>
    <xf numFmtId="0" fontId="43" fillId="0" borderId="50" xfId="66" applyNumberFormat="1" applyFont="1" applyBorder="1" applyAlignment="1" applyProtection="1">
      <alignment horizontal="center" vertical="center"/>
      <protection locked="0"/>
    </xf>
    <xf numFmtId="4" fontId="43" fillId="0" borderId="50" xfId="66" applyNumberFormat="1" applyFont="1" applyBorder="1" applyAlignment="1">
      <alignment horizontal="center" vertical="center"/>
      <protection/>
    </xf>
    <xf numFmtId="4" fontId="43" fillId="0" borderId="0" xfId="66" applyNumberFormat="1" applyFont="1" applyFill="1" applyBorder="1" applyAlignment="1">
      <alignment horizontal="center" vertical="center" wrapText="1"/>
      <protection/>
    </xf>
    <xf numFmtId="0" fontId="43" fillId="0" borderId="0" xfId="66" applyFont="1" applyFill="1" applyBorder="1" applyAlignment="1">
      <alignment horizontal="center" vertical="center"/>
      <protection/>
    </xf>
    <xf numFmtId="0" fontId="43" fillId="0" borderId="0" xfId="66" applyNumberFormat="1" applyFont="1" applyFill="1" applyBorder="1" applyAlignment="1">
      <alignment horizontal="center" vertical="center" wrapText="1"/>
      <protection/>
    </xf>
    <xf numFmtId="0" fontId="43" fillId="0" borderId="0" xfId="66" applyNumberFormat="1" applyFont="1" applyBorder="1" applyAlignment="1">
      <alignment horizontal="center" vertical="center"/>
      <protection/>
    </xf>
    <xf numFmtId="3" fontId="43" fillId="0" borderId="0" xfId="66" applyNumberFormat="1" applyFont="1" applyFill="1" applyBorder="1" applyAlignment="1">
      <alignment horizontal="center" vertical="center" wrapText="1"/>
      <protection/>
    </xf>
    <xf numFmtId="0" fontId="42" fillId="0" borderId="0" xfId="66" applyFont="1" applyAlignment="1">
      <alignment vertical="center"/>
      <protection/>
    </xf>
    <xf numFmtId="0" fontId="42" fillId="0" borderId="0" xfId="66" applyFont="1" applyAlignment="1">
      <alignment horizontal="center" vertical="center"/>
      <protection/>
    </xf>
    <xf numFmtId="0" fontId="32" fillId="8" borderId="67" xfId="0" applyFont="1" applyFill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4" fontId="42" fillId="0" borderId="19" xfId="0" applyNumberFormat="1" applyFont="1" applyBorder="1" applyAlignment="1">
      <alignment horizontal="right" vertical="center" wrapText="1"/>
    </xf>
    <xf numFmtId="4" fontId="42" fillId="0" borderId="20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/>
    </xf>
    <xf numFmtId="0" fontId="43" fillId="0" borderId="42" xfId="0" applyFont="1" applyBorder="1" applyAlignment="1">
      <alignment horizontal="right" vertical="center" wrapText="1"/>
    </xf>
    <xf numFmtId="0" fontId="43" fillId="0" borderId="42" xfId="0" applyFont="1" applyBorder="1" applyAlignment="1">
      <alignment vertical="center"/>
    </xf>
    <xf numFmtId="4" fontId="42" fillId="0" borderId="2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68" xfId="0" applyFont="1" applyBorder="1" applyAlignment="1">
      <alignment vertical="center"/>
    </xf>
    <xf numFmtId="0" fontId="42" fillId="0" borderId="63" xfId="0" applyFont="1" applyFill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4" fontId="43" fillId="0" borderId="17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right" vertical="center"/>
      <protection locked="0"/>
    </xf>
    <xf numFmtId="3" fontId="43" fillId="0" borderId="0" xfId="0" applyNumberFormat="1" applyFont="1" applyAlignment="1">
      <alignment/>
    </xf>
    <xf numFmtId="0" fontId="57" fillId="0" borderId="0" xfId="0" applyFont="1" applyAlignment="1">
      <alignment/>
    </xf>
    <xf numFmtId="2" fontId="47" fillId="8" borderId="12" xfId="59" applyNumberFormat="1" applyFont="1" applyFill="1" applyBorder="1" applyAlignment="1">
      <alignment horizontal="center" vertical="center" wrapText="1"/>
      <protection/>
    </xf>
    <xf numFmtId="0" fontId="42" fillId="0" borderId="64" xfId="0" applyFont="1" applyFill="1" applyBorder="1" applyAlignment="1" applyProtection="1">
      <alignment horizontal="center" vertical="center"/>
      <protection locked="0"/>
    </xf>
    <xf numFmtId="0" fontId="42" fillId="0" borderId="62" xfId="0" applyFont="1" applyFill="1" applyBorder="1" applyAlignment="1" applyProtection="1">
      <alignment horizontal="center" vertical="center"/>
      <protection locked="0"/>
    </xf>
    <xf numFmtId="0" fontId="43" fillId="0" borderId="64" xfId="0" applyFont="1" applyBorder="1" applyAlignment="1" applyProtection="1">
      <alignment horizontal="left" vertical="center"/>
      <protection locked="0"/>
    </xf>
    <xf numFmtId="4" fontId="43" fillId="0" borderId="63" xfId="0" applyNumberFormat="1" applyFont="1" applyBorder="1" applyAlignment="1" applyProtection="1">
      <alignment horizontal="left" vertical="center"/>
      <protection locked="0"/>
    </xf>
    <xf numFmtId="4" fontId="43" fillId="0" borderId="12" xfId="0" applyNumberFormat="1" applyFont="1" applyBorder="1" applyAlignment="1" applyProtection="1">
      <alignment horizontal="right" vertical="center"/>
      <protection locked="0"/>
    </xf>
    <xf numFmtId="4" fontId="43" fillId="0" borderId="18" xfId="0" applyNumberFormat="1" applyFont="1" applyBorder="1" applyAlignment="1" applyProtection="1">
      <alignment horizontal="right" vertical="center"/>
      <protection locked="0"/>
    </xf>
    <xf numFmtId="4" fontId="43" fillId="0" borderId="17" xfId="0" applyNumberFormat="1" applyFont="1" applyBorder="1" applyAlignment="1" applyProtection="1">
      <alignment horizontal="left" vertical="center"/>
      <protection locked="0"/>
    </xf>
    <xf numFmtId="0" fontId="42" fillId="0" borderId="58" xfId="0" applyFont="1" applyBorder="1" applyAlignment="1">
      <alignment horizontal="center" vertical="center"/>
    </xf>
    <xf numFmtId="4" fontId="42" fillId="0" borderId="19" xfId="0" applyNumberFormat="1" applyFont="1" applyBorder="1" applyAlignment="1" applyProtection="1">
      <alignment horizontal="right" vertical="center"/>
      <protection/>
    </xf>
    <xf numFmtId="3" fontId="42" fillId="8" borderId="23" xfId="0" applyNumberFormat="1" applyFont="1" applyFill="1" applyBorder="1" applyAlignment="1">
      <alignment vertical="center"/>
    </xf>
    <xf numFmtId="177" fontId="42" fillId="8" borderId="25" xfId="0" applyNumberFormat="1" applyFont="1" applyFill="1" applyBorder="1" applyAlignment="1">
      <alignment vertical="center"/>
    </xf>
    <xf numFmtId="4" fontId="43" fillId="26" borderId="59" xfId="65" applyNumberFormat="1" applyFont="1" applyFill="1" applyBorder="1" applyAlignment="1" applyProtection="1">
      <alignment horizontal="center" vertical="center"/>
      <protection locked="0"/>
    </xf>
    <xf numFmtId="177" fontId="43" fillId="0" borderId="19" xfId="52" applyNumberFormat="1" applyFont="1" applyBorder="1" applyAlignment="1" applyProtection="1">
      <alignment horizontal="right" vertical="center"/>
      <protection locked="0"/>
    </xf>
    <xf numFmtId="177" fontId="43" fillId="0" borderId="14" xfId="65" applyNumberFormat="1" applyFont="1" applyBorder="1" applyAlignment="1" applyProtection="1">
      <alignment horizontal="right" vertical="center"/>
      <protection locked="0"/>
    </xf>
    <xf numFmtId="177" fontId="43" fillId="0" borderId="12" xfId="65" applyNumberFormat="1" applyFont="1" applyBorder="1" applyAlignment="1" applyProtection="1">
      <alignment horizontal="right" vertical="center"/>
      <protection locked="0"/>
    </xf>
    <xf numFmtId="177" fontId="43" fillId="0" borderId="25" xfId="65" applyNumberFormat="1" applyFont="1" applyBorder="1" applyAlignment="1" applyProtection="1">
      <alignment horizontal="right" vertical="center"/>
      <protection locked="0"/>
    </xf>
    <xf numFmtId="3" fontId="43" fillId="0" borderId="0" xfId="67" applyNumberFormat="1" applyFont="1">
      <alignment/>
      <protection/>
    </xf>
    <xf numFmtId="3" fontId="43" fillId="0" borderId="0" xfId="67" applyNumberFormat="1" applyFont="1" applyBorder="1">
      <alignment/>
      <protection/>
    </xf>
    <xf numFmtId="4" fontId="43" fillId="0" borderId="0" xfId="67" applyNumberFormat="1" applyFont="1">
      <alignment/>
      <protection/>
    </xf>
    <xf numFmtId="1" fontId="47" fillId="8" borderId="69" xfId="61" applyNumberFormat="1" applyFont="1" applyFill="1" applyBorder="1" applyAlignment="1">
      <alignment horizontal="center" vertical="center"/>
      <protection/>
    </xf>
    <xf numFmtId="3" fontId="43" fillId="0" borderId="0" xfId="67" applyNumberFormat="1" applyFont="1" applyAlignment="1">
      <alignment horizontal="centerContinuous"/>
      <protection/>
    </xf>
    <xf numFmtId="4" fontId="43" fillId="0" borderId="0" xfId="67" applyNumberFormat="1" applyFont="1" applyAlignment="1">
      <alignment horizontal="centerContinuous"/>
      <protection/>
    </xf>
    <xf numFmtId="3" fontId="47" fillId="8" borderId="70" xfId="61" applyNumberFormat="1" applyFont="1" applyFill="1" applyBorder="1" applyAlignment="1">
      <alignment horizontal="center" vertical="center" wrapText="1"/>
      <protection/>
    </xf>
    <xf numFmtId="3" fontId="42" fillId="0" borderId="65" xfId="67" applyNumberFormat="1" applyFont="1" applyBorder="1" applyAlignment="1">
      <alignment vertical="center"/>
      <protection/>
    </xf>
    <xf numFmtId="3" fontId="43" fillId="0" borderId="48" xfId="67" applyNumberFormat="1" applyFont="1" applyBorder="1" applyAlignment="1">
      <alignment vertical="center"/>
      <protection/>
    </xf>
    <xf numFmtId="1" fontId="42" fillId="0" borderId="60" xfId="0" applyNumberFormat="1" applyFont="1" applyBorder="1" applyAlignment="1">
      <alignment horizontal="center" vertical="center" wrapText="1"/>
    </xf>
    <xf numFmtId="3" fontId="42" fillId="0" borderId="25" xfId="0" applyNumberFormat="1" applyFont="1" applyBorder="1" applyAlignment="1">
      <alignment horizontal="center" vertical="center" wrapText="1"/>
    </xf>
    <xf numFmtId="3" fontId="42" fillId="0" borderId="51" xfId="67" applyNumberFormat="1" applyFont="1" applyFill="1" applyBorder="1" applyAlignment="1">
      <alignment horizontal="left" vertical="center" wrapText="1"/>
      <protection/>
    </xf>
    <xf numFmtId="3" fontId="43" fillId="0" borderId="52" xfId="67" applyNumberFormat="1" applyFont="1" applyFill="1" applyBorder="1" applyAlignment="1">
      <alignment vertical="center"/>
      <protection/>
    </xf>
    <xf numFmtId="43" fontId="42" fillId="0" borderId="52" xfId="67" applyNumberFormat="1" applyFont="1" applyFill="1" applyBorder="1" applyAlignment="1">
      <alignment vertical="center"/>
      <protection/>
    </xf>
    <xf numFmtId="43" fontId="42" fillId="0" borderId="47" xfId="67" applyNumberFormat="1" applyFont="1" applyFill="1" applyBorder="1" applyAlignment="1">
      <alignment vertical="center"/>
      <protection/>
    </xf>
    <xf numFmtId="3" fontId="42" fillId="0" borderId="71" xfId="67" applyNumberFormat="1" applyFont="1" applyBorder="1" applyAlignment="1">
      <alignment horizontal="left" vertical="center" wrapText="1"/>
      <protection/>
    </xf>
    <xf numFmtId="3" fontId="43" fillId="0" borderId="72" xfId="67" applyNumberFormat="1" applyFont="1" applyBorder="1" applyAlignment="1">
      <alignment vertical="center"/>
      <protection/>
    </xf>
    <xf numFmtId="3" fontId="42" fillId="0" borderId="64" xfId="67" applyNumberFormat="1" applyFont="1" applyBorder="1" applyAlignment="1">
      <alignment horizontal="left" vertical="center" wrapText="1"/>
      <protection/>
    </xf>
    <xf numFmtId="3" fontId="43" fillId="0" borderId="17" xfId="67" applyNumberFormat="1" applyFont="1" applyBorder="1" applyAlignment="1">
      <alignment vertical="center"/>
      <protection/>
    </xf>
    <xf numFmtId="3" fontId="43" fillId="0" borderId="10" xfId="70" applyNumberFormat="1" applyFont="1" applyBorder="1" applyAlignment="1">
      <alignment vertical="center"/>
      <protection/>
    </xf>
    <xf numFmtId="0" fontId="43" fillId="0" borderId="10" xfId="70" applyNumberFormat="1" applyFont="1" applyBorder="1" applyAlignment="1">
      <alignment horizontal="left" vertical="center" wrapText="1"/>
      <protection/>
    </xf>
    <xf numFmtId="3" fontId="43" fillId="0" borderId="0" xfId="67" applyNumberFormat="1" applyFont="1" applyFill="1">
      <alignment/>
      <protection/>
    </xf>
    <xf numFmtId="3" fontId="43" fillId="0" borderId="73" xfId="67" applyNumberFormat="1" applyFont="1" applyBorder="1" applyAlignment="1">
      <alignment vertical="center"/>
      <protection/>
    </xf>
    <xf numFmtId="3" fontId="43" fillId="0" borderId="74" xfId="70" applyNumberFormat="1" applyFont="1" applyBorder="1" applyAlignment="1">
      <alignment vertical="center"/>
      <protection/>
    </xf>
    <xf numFmtId="3" fontId="43" fillId="0" borderId="63" xfId="70" applyNumberFormat="1" applyFont="1" applyBorder="1" applyAlignment="1">
      <alignment vertical="center"/>
      <protection/>
    </xf>
    <xf numFmtId="3" fontId="42" fillId="16" borderId="58" xfId="67" applyNumberFormat="1" applyFont="1" applyFill="1" applyBorder="1" applyAlignment="1">
      <alignment horizontal="left" vertical="center" wrapText="1"/>
      <protection/>
    </xf>
    <xf numFmtId="3" fontId="43" fillId="16" borderId="75" xfId="70" applyNumberFormat="1" applyFont="1" applyFill="1" applyBorder="1" applyAlignment="1">
      <alignment vertical="center"/>
      <protection/>
    </xf>
    <xf numFmtId="3" fontId="42" fillId="0" borderId="76" xfId="67" applyNumberFormat="1" applyFont="1" applyBorder="1" applyAlignment="1">
      <alignment horizontal="left" vertical="center" wrapText="1"/>
      <protection/>
    </xf>
    <xf numFmtId="3" fontId="43" fillId="0" borderId="29" xfId="70" applyNumberFormat="1" applyFont="1" applyBorder="1" applyAlignment="1">
      <alignment vertical="center"/>
      <protection/>
    </xf>
    <xf numFmtId="3" fontId="43" fillId="0" borderId="77" xfId="70" applyNumberFormat="1" applyFont="1" applyBorder="1" applyAlignment="1">
      <alignment vertical="center"/>
      <protection/>
    </xf>
    <xf numFmtId="3" fontId="42" fillId="26" borderId="51" xfId="67" applyNumberFormat="1" applyFont="1" applyFill="1" applyBorder="1" applyAlignment="1">
      <alignment horizontal="left" vertical="center" wrapText="1"/>
      <protection/>
    </xf>
    <xf numFmtId="3" fontId="43" fillId="26" borderId="52" xfId="67" applyNumberFormat="1" applyFont="1" applyFill="1" applyBorder="1" applyAlignment="1">
      <alignment vertical="center"/>
      <protection/>
    </xf>
    <xf numFmtId="3" fontId="42" fillId="16" borderId="78" xfId="67" applyNumberFormat="1" applyFont="1" applyFill="1" applyBorder="1" applyAlignment="1">
      <alignment horizontal="left" vertical="center" wrapText="1"/>
      <protection/>
    </xf>
    <xf numFmtId="3" fontId="43" fillId="16" borderId="79" xfId="67" applyNumberFormat="1" applyFont="1" applyFill="1" applyBorder="1" applyAlignment="1">
      <alignment vertical="center"/>
      <protection/>
    </xf>
    <xf numFmtId="3" fontId="43" fillId="0" borderId="71" xfId="70" applyNumberFormat="1" applyFont="1" applyBorder="1" applyAlignment="1">
      <alignment vertical="center"/>
      <protection/>
    </xf>
    <xf numFmtId="3" fontId="43" fillId="0" borderId="72" xfId="70" applyNumberFormat="1" applyFont="1" applyBorder="1" applyAlignment="1">
      <alignment vertical="center"/>
      <protection/>
    </xf>
    <xf numFmtId="3" fontId="43" fillId="0" borderId="58" xfId="70" applyNumberFormat="1" applyFont="1" applyBorder="1" applyAlignment="1">
      <alignment vertical="center"/>
      <protection/>
    </xf>
    <xf numFmtId="3" fontId="43" fillId="0" borderId="19" xfId="70" applyNumberFormat="1" applyFont="1" applyBorder="1" applyAlignment="1">
      <alignment vertical="center"/>
      <protection/>
    </xf>
    <xf numFmtId="177" fontId="43" fillId="0" borderId="0" xfId="67" applyNumberFormat="1" applyFont="1">
      <alignment/>
      <protection/>
    </xf>
    <xf numFmtId="0" fontId="58" fillId="8" borderId="17" xfId="60" applyNumberFormat="1" applyFont="1" applyFill="1" applyBorder="1" applyAlignment="1">
      <alignment horizontal="center" vertical="center"/>
      <protection/>
    </xf>
    <xf numFmtId="0" fontId="58" fillId="0" borderId="0" xfId="60" applyNumberFormat="1" applyFont="1" applyFill="1" applyBorder="1" applyAlignment="1">
      <alignment horizontal="center" vertical="center"/>
      <protection/>
    </xf>
    <xf numFmtId="0" fontId="41" fillId="0" borderId="0" xfId="60" applyNumberFormat="1" applyFont="1" applyFill="1" applyBorder="1" applyAlignment="1">
      <alignment horizontal="center" vertical="center"/>
      <protection/>
    </xf>
    <xf numFmtId="3" fontId="40" fillId="0" borderId="0" xfId="69" applyNumberFormat="1" applyFont="1" applyBorder="1">
      <alignment/>
      <protection/>
    </xf>
    <xf numFmtId="3" fontId="43" fillId="0" borderId="0" xfId="69" applyNumberFormat="1" applyFont="1" applyBorder="1">
      <alignment/>
      <protection/>
    </xf>
    <xf numFmtId="2" fontId="58" fillId="8" borderId="17" xfId="60" applyNumberFormat="1" applyFont="1" applyFill="1" applyBorder="1" applyAlignment="1">
      <alignment horizontal="center" vertical="center"/>
      <protection/>
    </xf>
    <xf numFmtId="2" fontId="58" fillId="0" borderId="0" xfId="60" applyNumberFormat="1" applyFont="1" applyFill="1" applyBorder="1" applyAlignment="1">
      <alignment horizontal="center" vertical="center"/>
      <protection/>
    </xf>
    <xf numFmtId="2" fontId="41" fillId="0" borderId="0" xfId="60" applyNumberFormat="1" applyFont="1" applyFill="1" applyBorder="1" applyAlignment="1">
      <alignment horizontal="center" vertical="center"/>
      <protection/>
    </xf>
    <xf numFmtId="2" fontId="60" fillId="0" borderId="0" xfId="60" applyNumberFormat="1" applyFont="1" applyFill="1" applyBorder="1" applyAlignment="1">
      <alignment horizontal="center" vertical="center"/>
      <protection/>
    </xf>
    <xf numFmtId="2" fontId="61" fillId="0" borderId="0" xfId="60" applyNumberFormat="1" applyFont="1" applyFill="1" applyBorder="1" applyAlignment="1">
      <alignment horizontal="center" vertical="center"/>
      <protection/>
    </xf>
    <xf numFmtId="3" fontId="44" fillId="0" borderId="60" xfId="69" applyNumberFormat="1" applyFont="1" applyFill="1" applyBorder="1" applyAlignment="1">
      <alignment horizontal="centerContinuous" vertical="center"/>
      <protection/>
    </xf>
    <xf numFmtId="0" fontId="42" fillId="0" borderId="17" xfId="0" applyFont="1" applyFill="1" applyBorder="1" applyAlignment="1">
      <alignment horizontal="center" vertical="center" wrapText="1"/>
    </xf>
    <xf numFmtId="2" fontId="42" fillId="0" borderId="4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1" fillId="0" borderId="0" xfId="69" applyNumberFormat="1" applyFont="1" applyBorder="1" applyAlignment="1">
      <alignment horizontal="center" vertical="center" wrapText="1"/>
      <protection/>
    </xf>
    <xf numFmtId="3" fontId="32" fillId="0" borderId="18" xfId="69" applyNumberFormat="1" applyFont="1" applyFill="1" applyBorder="1" applyAlignment="1">
      <alignment vertical="center"/>
      <protection/>
    </xf>
    <xf numFmtId="4" fontId="44" fillId="0" borderId="0" xfId="69" applyNumberFormat="1" applyFont="1" applyBorder="1" applyAlignment="1">
      <alignment horizontal="right" vertical="center"/>
      <protection/>
    </xf>
    <xf numFmtId="3" fontId="43" fillId="0" borderId="0" xfId="69" applyNumberFormat="1" applyFont="1" applyBorder="1" applyAlignment="1">
      <alignment vertical="center"/>
      <protection/>
    </xf>
    <xf numFmtId="3" fontId="42" fillId="0" borderId="17" xfId="69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horizontal="right" vertical="center"/>
      <protection locked="0"/>
    </xf>
    <xf numFmtId="179" fontId="41" fillId="0" borderId="0" xfId="50" applyNumberFormat="1" applyFont="1" applyBorder="1" applyAlignment="1" applyProtection="1">
      <alignment horizontal="right" vertical="center"/>
      <protection locked="0"/>
    </xf>
    <xf numFmtId="4" fontId="41" fillId="0" borderId="0" xfId="69" applyNumberFormat="1" applyFont="1" applyBorder="1" applyAlignment="1">
      <alignment vertical="center"/>
      <protection/>
    </xf>
    <xf numFmtId="3" fontId="43" fillId="0" borderId="17" xfId="69" applyNumberFormat="1" applyFont="1" applyFill="1" applyBorder="1" applyAlignment="1">
      <alignment vertical="center"/>
      <protection/>
    </xf>
    <xf numFmtId="179" fontId="55" fillId="0" borderId="0" xfId="50" applyNumberFormat="1" applyFont="1" applyBorder="1" applyAlignment="1" applyProtection="1">
      <alignment horizontal="right" vertical="center"/>
      <protection locked="0"/>
    </xf>
    <xf numFmtId="179" fontId="40" fillId="0" borderId="0" xfId="50" applyNumberFormat="1" applyFont="1" applyBorder="1" applyAlignment="1" applyProtection="1">
      <alignment horizontal="right" vertical="center"/>
      <protection locked="0"/>
    </xf>
    <xf numFmtId="3" fontId="40" fillId="0" borderId="0" xfId="69" applyNumberFormat="1" applyFont="1" applyBorder="1" applyAlignment="1">
      <alignment vertical="center"/>
      <protection/>
    </xf>
    <xf numFmtId="179" fontId="55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9" applyNumberFormat="1" applyFont="1" applyFill="1" applyBorder="1" applyAlignment="1">
      <alignment vertical="center" wrapText="1"/>
      <protection/>
    </xf>
    <xf numFmtId="179" fontId="44" fillId="0" borderId="0" xfId="50" applyNumberFormat="1" applyFont="1" applyFill="1" applyBorder="1" applyAlignment="1" applyProtection="1">
      <alignment horizontal="right" vertical="center"/>
      <protection locked="0"/>
    </xf>
    <xf numFmtId="179" fontId="41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9" applyNumberFormat="1" applyFont="1" applyFill="1" applyBorder="1" applyAlignment="1">
      <alignment horizontal="left" vertical="center" wrapText="1"/>
      <protection/>
    </xf>
    <xf numFmtId="179" fontId="40" fillId="0" borderId="0" xfId="50" applyNumberFormat="1" applyFont="1" applyFill="1" applyBorder="1" applyAlignment="1" applyProtection="1">
      <alignment horizontal="right" vertical="center"/>
      <protection locked="0"/>
    </xf>
    <xf numFmtId="3" fontId="40" fillId="0" borderId="0" xfId="69" applyNumberFormat="1" applyFont="1" applyFill="1" applyBorder="1" applyAlignment="1">
      <alignment vertical="center"/>
      <protection/>
    </xf>
    <xf numFmtId="3" fontId="43" fillId="0" borderId="0" xfId="69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>
      <alignment horizontal="right" vertical="center"/>
    </xf>
    <xf numFmtId="179" fontId="41" fillId="0" borderId="0" xfId="50" applyNumberFormat="1" applyFont="1" applyBorder="1" applyAlignment="1">
      <alignment horizontal="right" vertical="center"/>
    </xf>
    <xf numFmtId="179" fontId="55" fillId="0" borderId="0" xfId="50" applyNumberFormat="1" applyFont="1" applyFill="1" applyBorder="1" applyAlignment="1">
      <alignment horizontal="right" vertical="center"/>
    </xf>
    <xf numFmtId="179" fontId="40" fillId="0" borderId="0" xfId="50" applyNumberFormat="1" applyFont="1" applyFill="1" applyBorder="1" applyAlignment="1">
      <alignment horizontal="right" vertical="center"/>
    </xf>
    <xf numFmtId="179" fontId="44" fillId="0" borderId="0" xfId="50" applyNumberFormat="1" applyFont="1" applyFill="1" applyBorder="1" applyAlignment="1">
      <alignment horizontal="right" vertical="center"/>
    </xf>
    <xf numFmtId="179" fontId="41" fillId="0" borderId="0" xfId="50" applyNumberFormat="1" applyFont="1" applyFill="1" applyBorder="1" applyAlignment="1">
      <alignment horizontal="right" vertical="center"/>
    </xf>
    <xf numFmtId="3" fontId="43" fillId="0" borderId="17" xfId="69" applyNumberFormat="1" applyFont="1" applyFill="1" applyBorder="1" applyAlignment="1">
      <alignment vertical="center" wrapText="1"/>
      <protection/>
    </xf>
    <xf numFmtId="3" fontId="32" fillId="0" borderId="17" xfId="69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vertical="center"/>
      <protection locked="0"/>
    </xf>
    <xf numFmtId="179" fontId="44" fillId="0" borderId="0" xfId="50" applyNumberFormat="1" applyFont="1" applyFill="1" applyBorder="1" applyAlignment="1">
      <alignment vertical="center"/>
    </xf>
    <xf numFmtId="3" fontId="32" fillId="0" borderId="17" xfId="69" applyNumberFormat="1" applyFont="1" applyFill="1" applyBorder="1" applyAlignment="1">
      <alignment vertical="center" wrapText="1"/>
      <protection/>
    </xf>
    <xf numFmtId="3" fontId="44" fillId="0" borderId="17" xfId="69" applyNumberFormat="1" applyFont="1" applyFill="1" applyBorder="1" applyAlignment="1">
      <alignment vertical="center"/>
      <protection/>
    </xf>
    <xf numFmtId="4" fontId="43" fillId="0" borderId="0" xfId="69" applyNumberFormat="1" applyFont="1" applyBorder="1">
      <alignment/>
      <protection/>
    </xf>
    <xf numFmtId="4" fontId="40" fillId="0" borderId="0" xfId="69" applyNumberFormat="1" applyFont="1" applyBorder="1">
      <alignment/>
      <protection/>
    </xf>
    <xf numFmtId="0" fontId="40" fillId="0" borderId="0" xfId="0" applyFont="1" applyAlignment="1">
      <alignment/>
    </xf>
    <xf numFmtId="3" fontId="42" fillId="0" borderId="0" xfId="69" applyNumberFormat="1" applyFont="1" applyBorder="1">
      <alignment/>
      <protection/>
    </xf>
    <xf numFmtId="4" fontId="43" fillId="0" borderId="0" xfId="69" applyNumberFormat="1" applyFont="1" applyBorder="1" applyAlignment="1">
      <alignment horizontal="center"/>
      <protection/>
    </xf>
    <xf numFmtId="4" fontId="40" fillId="0" borderId="0" xfId="69" applyNumberFormat="1" applyFont="1" applyBorder="1" applyAlignment="1">
      <alignment horizontal="center"/>
      <protection/>
    </xf>
    <xf numFmtId="177" fontId="43" fillId="0" borderId="0" xfId="69" applyNumberFormat="1" applyFont="1" applyBorder="1">
      <alignment/>
      <protection/>
    </xf>
    <xf numFmtId="177" fontId="40" fillId="0" borderId="0" xfId="69" applyNumberFormat="1" applyFont="1" applyBorder="1">
      <alignment/>
      <protection/>
    </xf>
    <xf numFmtId="177" fontId="43" fillId="22" borderId="0" xfId="69" applyNumberFormat="1" applyFont="1" applyFill="1" applyBorder="1">
      <alignment/>
      <protection/>
    </xf>
    <xf numFmtId="177" fontId="40" fillId="22" borderId="0" xfId="69" applyNumberFormat="1" applyFont="1" applyFill="1" applyBorder="1">
      <alignment/>
      <protection/>
    </xf>
    <xf numFmtId="3" fontId="43" fillId="0" borderId="0" xfId="69" applyNumberFormat="1" applyFont="1" applyFill="1" applyBorder="1">
      <alignment/>
      <protection/>
    </xf>
    <xf numFmtId="177" fontId="43" fillId="0" borderId="0" xfId="69" applyNumberFormat="1" applyFont="1" applyFill="1" applyBorder="1">
      <alignment/>
      <protection/>
    </xf>
    <xf numFmtId="177" fontId="40" fillId="0" borderId="0" xfId="69" applyNumberFormat="1" applyFont="1" applyFill="1" applyBorder="1">
      <alignment/>
      <protection/>
    </xf>
    <xf numFmtId="3" fontId="40" fillId="0" borderId="0" xfId="69" applyNumberFormat="1" applyFont="1" applyFill="1" applyBorder="1">
      <alignment/>
      <protection/>
    </xf>
    <xf numFmtId="3" fontId="43" fillId="22" borderId="0" xfId="69" applyNumberFormat="1" applyFont="1" applyFill="1" applyBorder="1" applyAlignment="1">
      <alignment horizontal="right"/>
      <protection/>
    </xf>
    <xf numFmtId="4" fontId="43" fillId="22" borderId="0" xfId="69" applyNumberFormat="1" applyFont="1" applyFill="1" applyBorder="1">
      <alignment/>
      <protection/>
    </xf>
    <xf numFmtId="4" fontId="40" fillId="22" borderId="0" xfId="69" applyNumberFormat="1" applyFont="1" applyFill="1" applyBorder="1">
      <alignment/>
      <protection/>
    </xf>
    <xf numFmtId="0" fontId="58" fillId="25" borderId="17" xfId="60" applyFont="1" applyFill="1" applyBorder="1" applyAlignment="1">
      <alignment horizontal="center" vertical="center" wrapText="1"/>
      <protection/>
    </xf>
    <xf numFmtId="0" fontId="43" fillId="0" borderId="0" xfId="60" applyFont="1" applyAlignment="1">
      <alignment vertical="center"/>
      <protection/>
    </xf>
    <xf numFmtId="168" fontId="60" fillId="0" borderId="0" xfId="60" applyNumberFormat="1" applyFont="1" applyFill="1" applyBorder="1" applyAlignment="1">
      <alignment horizontal="center" vertical="center" wrapText="1"/>
      <protection/>
    </xf>
    <xf numFmtId="0" fontId="32" fillId="0" borderId="17" xfId="60" applyFont="1" applyFill="1" applyBorder="1" applyAlignment="1">
      <alignment horizontal="center" vertical="center"/>
      <protection/>
    </xf>
    <xf numFmtId="0" fontId="42" fillId="0" borderId="17" xfId="60" applyFont="1" applyFill="1" applyBorder="1" applyAlignment="1">
      <alignment horizontal="center" vertical="center"/>
      <protection/>
    </xf>
    <xf numFmtId="0" fontId="42" fillId="0" borderId="17" xfId="60" applyFont="1" applyFill="1" applyBorder="1" applyAlignment="1">
      <alignment horizontal="center" vertical="center" wrapText="1"/>
      <protection/>
    </xf>
    <xf numFmtId="0" fontId="42" fillId="0" borderId="0" xfId="60" applyFont="1" applyFill="1" applyBorder="1" applyAlignment="1">
      <alignment horizontal="center" vertical="center" wrapText="1"/>
      <protection/>
    </xf>
    <xf numFmtId="0" fontId="42" fillId="0" borderId="17" xfId="60" applyFont="1" applyFill="1" applyBorder="1" applyAlignment="1">
      <alignment vertical="center"/>
      <protection/>
    </xf>
    <xf numFmtId="4" fontId="42" fillId="0" borderId="0" xfId="60" applyNumberFormat="1" applyFont="1" applyFill="1" applyBorder="1" applyAlignment="1">
      <alignment horizontal="right" vertical="center"/>
      <protection/>
    </xf>
    <xf numFmtId="4" fontId="43" fillId="0" borderId="0" xfId="60" applyNumberFormat="1" applyFont="1" applyFill="1" applyBorder="1" applyAlignment="1">
      <alignment horizontal="right" vertical="center"/>
      <protection/>
    </xf>
    <xf numFmtId="0" fontId="43" fillId="0" borderId="17" xfId="60" applyFont="1" applyFill="1" applyBorder="1" applyAlignment="1">
      <alignment vertical="center"/>
      <protection/>
    </xf>
    <xf numFmtId="4" fontId="43" fillId="0" borderId="0" xfId="60" applyNumberFormat="1" applyFont="1" applyAlignment="1">
      <alignment vertical="center"/>
      <protection/>
    </xf>
    <xf numFmtId="0" fontId="43" fillId="0" borderId="0" xfId="60" applyFont="1" applyFill="1" applyAlignment="1">
      <alignment vertical="center"/>
      <protection/>
    </xf>
    <xf numFmtId="0" fontId="44" fillId="0" borderId="17" xfId="60" applyFont="1" applyFill="1" applyBorder="1" applyAlignment="1">
      <alignment horizontal="left" vertical="center"/>
      <protection/>
    </xf>
    <xf numFmtId="0" fontId="44" fillId="0" borderId="0" xfId="60" applyFont="1" applyFill="1" applyBorder="1" applyAlignment="1">
      <alignment horizontal="left" vertical="center"/>
      <protection/>
    </xf>
    <xf numFmtId="4" fontId="42" fillId="0" borderId="0" xfId="60" applyNumberFormat="1" applyFont="1" applyBorder="1" applyAlignment="1">
      <alignment horizontal="right" vertical="center"/>
      <protection/>
    </xf>
    <xf numFmtId="0" fontId="45" fillId="0" borderId="0" xfId="60" applyFont="1" applyAlignment="1" quotePrefix="1">
      <alignment vertical="center"/>
      <protection/>
    </xf>
    <xf numFmtId="2" fontId="43" fillId="0" borderId="0" xfId="60" applyNumberFormat="1" applyFont="1" applyAlignment="1">
      <alignment vertical="center"/>
      <protection/>
    </xf>
    <xf numFmtId="2" fontId="43" fillId="0" borderId="0" xfId="60" applyNumberFormat="1" applyFont="1" applyFill="1" applyAlignment="1">
      <alignment vertical="center"/>
      <protection/>
    </xf>
    <xf numFmtId="4" fontId="43" fillId="0" borderId="17" xfId="60" applyNumberFormat="1" applyFont="1" applyFill="1" applyBorder="1" applyAlignment="1">
      <alignment vertical="center"/>
      <protection/>
    </xf>
    <xf numFmtId="4" fontId="43" fillId="0" borderId="0" xfId="60" applyNumberFormat="1" applyFont="1" applyFill="1" applyBorder="1" applyAlignment="1">
      <alignment vertical="center"/>
      <protection/>
    </xf>
    <xf numFmtId="0" fontId="43" fillId="0" borderId="0" xfId="60" applyFont="1" applyFill="1" applyBorder="1" applyAlignment="1">
      <alignment vertical="center"/>
      <protection/>
    </xf>
    <xf numFmtId="4" fontId="43" fillId="27" borderId="0" xfId="60" applyNumberFormat="1" applyFont="1" applyFill="1" applyBorder="1" applyAlignment="1">
      <alignment vertical="center"/>
      <protection/>
    </xf>
    <xf numFmtId="177" fontId="43" fillId="0" borderId="63" xfId="59" applyNumberFormat="1" applyFont="1" applyFill="1" applyBorder="1" applyAlignment="1">
      <alignment vertical="center"/>
      <protection/>
    </xf>
    <xf numFmtId="0" fontId="43" fillId="0" borderId="63" xfId="59" applyFont="1" applyBorder="1" applyAlignment="1">
      <alignment vertical="center"/>
      <protection/>
    </xf>
    <xf numFmtId="4" fontId="43" fillId="11" borderId="17" xfId="60" applyNumberFormat="1" applyFont="1" applyFill="1" applyBorder="1" applyAlignment="1">
      <alignment vertical="center"/>
      <protection/>
    </xf>
    <xf numFmtId="0" fontId="42" fillId="0" borderId="0" xfId="60" applyFont="1" applyFill="1" applyBorder="1" applyAlignment="1">
      <alignment vertical="center"/>
      <protection/>
    </xf>
    <xf numFmtId="4" fontId="42" fillId="0" borderId="0" xfId="60" applyNumberFormat="1" applyFont="1" applyFill="1" applyBorder="1" applyAlignment="1">
      <alignment vertical="center"/>
      <protection/>
    </xf>
    <xf numFmtId="2" fontId="43" fillId="0" borderId="0" xfId="60" applyNumberFormat="1" applyFont="1" applyFill="1" applyBorder="1" applyAlignment="1">
      <alignment vertical="center"/>
      <protection/>
    </xf>
    <xf numFmtId="0" fontId="43" fillId="0" borderId="0" xfId="60" applyFont="1">
      <alignment/>
      <protection/>
    </xf>
    <xf numFmtId="2" fontId="43" fillId="0" borderId="0" xfId="60" applyNumberFormat="1" applyFont="1">
      <alignment/>
      <protection/>
    </xf>
    <xf numFmtId="2" fontId="43" fillId="0" borderId="0" xfId="60" applyNumberFormat="1" applyFont="1" applyFill="1">
      <alignment/>
      <protection/>
    </xf>
    <xf numFmtId="0" fontId="43" fillId="0" borderId="0" xfId="60" applyFont="1" applyFill="1">
      <alignment/>
      <protection/>
    </xf>
    <xf numFmtId="0" fontId="58" fillId="0" borderId="0" xfId="60" applyFont="1" applyFill="1" applyBorder="1" applyAlignment="1">
      <alignment horizontal="center" vertical="center" wrapText="1"/>
      <protection/>
    </xf>
    <xf numFmtId="2" fontId="42" fillId="0" borderId="17" xfId="0" applyNumberFormat="1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32" fillId="0" borderId="17" xfId="60" applyFont="1" applyFill="1" applyBorder="1" applyAlignment="1">
      <alignment horizontal="left" vertical="center"/>
      <protection/>
    </xf>
    <xf numFmtId="0" fontId="42" fillId="0" borderId="17" xfId="60" applyFont="1" applyBorder="1" applyAlignment="1">
      <alignment vertical="center"/>
      <protection/>
    </xf>
    <xf numFmtId="0" fontId="43" fillId="0" borderId="17" xfId="60" applyFont="1" applyBorder="1" applyAlignment="1">
      <alignment vertical="center"/>
      <protection/>
    </xf>
    <xf numFmtId="4" fontId="43" fillId="0" borderId="0" xfId="69" applyNumberFormat="1" applyFont="1" applyFill="1" applyBorder="1" applyAlignment="1">
      <alignment horizontal="right" vertical="center"/>
      <protection/>
    </xf>
    <xf numFmtId="0" fontId="43" fillId="0" borderId="17" xfId="60" applyFont="1" applyFill="1" applyBorder="1" applyAlignment="1">
      <alignment vertical="center" wrapText="1"/>
      <protection/>
    </xf>
    <xf numFmtId="0" fontId="42" fillId="0" borderId="17" xfId="60" applyFont="1" applyFill="1" applyBorder="1" applyAlignment="1">
      <alignment vertical="center" wrapText="1"/>
      <protection/>
    </xf>
    <xf numFmtId="4" fontId="43" fillId="0" borderId="0" xfId="60" applyNumberFormat="1" applyFont="1" applyFill="1" applyAlignment="1">
      <alignment vertical="center"/>
      <protection/>
    </xf>
    <xf numFmtId="177" fontId="43" fillId="0" borderId="27" xfId="0" applyNumberFormat="1" applyFont="1" applyFill="1" applyBorder="1" applyAlignment="1" applyProtection="1">
      <alignment vertical="center"/>
      <protection/>
    </xf>
    <xf numFmtId="177" fontId="43" fillId="0" borderId="22" xfId="51" applyNumberFormat="1" applyFont="1" applyBorder="1" applyAlignment="1" applyProtection="1">
      <alignment vertical="center"/>
      <protection/>
    </xf>
    <xf numFmtId="177" fontId="43" fillId="0" borderId="22" xfId="51" applyNumberFormat="1" applyFont="1" applyBorder="1" applyAlignment="1">
      <alignment vertical="center"/>
    </xf>
    <xf numFmtId="177" fontId="42" fillId="24" borderId="22" xfId="51" applyNumberFormat="1" applyFont="1" applyFill="1" applyBorder="1" applyAlignment="1" applyProtection="1">
      <alignment vertical="center"/>
      <protection/>
    </xf>
    <xf numFmtId="177" fontId="43" fillId="0" borderId="80" xfId="51" applyNumberFormat="1" applyFont="1" applyBorder="1" applyAlignment="1">
      <alignment vertical="center"/>
    </xf>
    <xf numFmtId="177" fontId="42" fillId="24" borderId="68" xfId="0" applyNumberFormat="1" applyFont="1" applyFill="1" applyBorder="1" applyAlignment="1" applyProtection="1">
      <alignment vertical="center"/>
      <protection/>
    </xf>
    <xf numFmtId="3" fontId="42" fillId="24" borderId="54" xfId="0" applyNumberFormat="1" applyFont="1" applyFill="1" applyBorder="1" applyAlignment="1">
      <alignment vertical="center"/>
    </xf>
    <xf numFmtId="177" fontId="42" fillId="8" borderId="81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 applyProtection="1">
      <alignment vertical="center"/>
      <protection/>
    </xf>
    <xf numFmtId="177" fontId="42" fillId="8" borderId="68" xfId="0" applyNumberFormat="1" applyFont="1" applyFill="1" applyBorder="1" applyAlignment="1">
      <alignment vertical="center"/>
    </xf>
    <xf numFmtId="177" fontId="43" fillId="0" borderId="81" xfId="0" applyNumberFormat="1" applyFont="1" applyBorder="1" applyAlignment="1">
      <alignment vertical="center"/>
    </xf>
    <xf numFmtId="177" fontId="42" fillId="0" borderId="68" xfId="0" applyNumberFormat="1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3" fontId="42" fillId="0" borderId="54" xfId="0" applyNumberFormat="1" applyFont="1" applyFill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177" fontId="43" fillId="0" borderId="22" xfId="0" applyNumberFormat="1" applyFont="1" applyFill="1" applyBorder="1" applyAlignment="1" applyProtection="1">
      <alignment vertical="center"/>
      <protection/>
    </xf>
    <xf numFmtId="177" fontId="43" fillId="0" borderId="22" xfId="0" applyNumberFormat="1" applyFont="1" applyBorder="1" applyAlignment="1" applyProtection="1">
      <alignment vertical="center"/>
      <protection/>
    </xf>
    <xf numFmtId="177" fontId="42" fillId="24" borderId="22" xfId="0" applyNumberFormat="1" applyFont="1" applyFill="1" applyBorder="1" applyAlignment="1" applyProtection="1">
      <alignment vertical="center"/>
      <protection/>
    </xf>
    <xf numFmtId="177" fontId="43" fillId="0" borderId="80" xfId="0" applyNumberFormat="1" applyFont="1" applyBorder="1" applyAlignment="1">
      <alignment vertical="center"/>
    </xf>
    <xf numFmtId="177" fontId="42" fillId="0" borderId="81" xfId="0" applyNumberFormat="1" applyFont="1" applyFill="1" applyBorder="1" applyAlignment="1" applyProtection="1">
      <alignment vertical="center"/>
      <protection/>
    </xf>
    <xf numFmtId="177" fontId="42" fillId="0" borderId="22" xfId="0" applyNumberFormat="1" applyFont="1" applyFill="1" applyBorder="1" applyAlignment="1">
      <alignment vertical="center"/>
    </xf>
    <xf numFmtId="177" fontId="42" fillId="0" borderId="68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>
      <alignment vertical="center"/>
    </xf>
    <xf numFmtId="3" fontId="42" fillId="0" borderId="44" xfId="0" applyNumberFormat="1" applyFont="1" applyFill="1" applyBorder="1" applyAlignment="1" applyProtection="1">
      <alignment vertical="center"/>
      <protection/>
    </xf>
    <xf numFmtId="3" fontId="42" fillId="8" borderId="26" xfId="0" applyNumberFormat="1" applyFont="1" applyFill="1" applyBorder="1" applyAlignment="1">
      <alignment vertical="center"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64" xfId="55" applyFont="1" applyBorder="1" applyAlignment="1">
      <alignment vertical="center" wrapText="1"/>
      <protection/>
    </xf>
    <xf numFmtId="0" fontId="42" fillId="0" borderId="64" xfId="55" applyFont="1" applyBorder="1" applyAlignment="1">
      <alignment horizontal="left" vertical="center" wrapText="1"/>
      <protection/>
    </xf>
    <xf numFmtId="0" fontId="43" fillId="0" borderId="64" xfId="55" applyFont="1" applyBorder="1" applyAlignment="1">
      <alignment vertical="center"/>
      <protection/>
    </xf>
    <xf numFmtId="0" fontId="42" fillId="0" borderId="58" xfId="55" applyFont="1" applyBorder="1" applyAlignment="1">
      <alignment horizontal="left" vertical="center" wrapText="1"/>
      <protection/>
    </xf>
    <xf numFmtId="171" fontId="42" fillId="0" borderId="50" xfId="66" applyNumberFormat="1" applyFont="1" applyFill="1" applyBorder="1" applyAlignment="1">
      <alignment horizontal="right" vertical="center" wrapText="1"/>
      <protection/>
    </xf>
    <xf numFmtId="179" fontId="42" fillId="0" borderId="17" xfId="50" applyNumberFormat="1" applyFont="1" applyFill="1" applyBorder="1" applyAlignment="1" applyProtection="1">
      <alignment horizontal="right" vertical="center"/>
      <protection locked="0"/>
    </xf>
    <xf numFmtId="179" fontId="43" fillId="0" borderId="17" xfId="50" applyNumberFormat="1" applyFont="1" applyFill="1" applyBorder="1" applyAlignment="1" applyProtection="1">
      <alignment horizontal="right" vertical="center"/>
      <protection locked="0"/>
    </xf>
    <xf numFmtId="179" fontId="42" fillId="0" borderId="17" xfId="50" applyNumberFormat="1" applyFont="1" applyFill="1" applyBorder="1" applyAlignment="1" applyProtection="1">
      <alignment vertical="center"/>
      <protection locked="0"/>
    </xf>
    <xf numFmtId="179" fontId="42" fillId="0" borderId="17" xfId="50" applyNumberFormat="1" applyFont="1" applyFill="1" applyBorder="1" applyAlignment="1" applyProtection="1">
      <alignment horizontal="right" vertical="center"/>
      <protection/>
    </xf>
    <xf numFmtId="179" fontId="43" fillId="0" borderId="17" xfId="50" applyNumberFormat="1" applyFont="1" applyFill="1" applyBorder="1" applyAlignment="1" applyProtection="1">
      <alignment horizontal="right" vertical="center"/>
      <protection/>
    </xf>
    <xf numFmtId="179" fontId="42" fillId="0" borderId="17" xfId="50" applyNumberFormat="1" applyFont="1" applyFill="1" applyBorder="1" applyAlignment="1" applyProtection="1">
      <alignment vertical="center"/>
      <protection/>
    </xf>
    <xf numFmtId="4" fontId="42" fillId="0" borderId="17" xfId="60" applyNumberFormat="1" applyFont="1" applyFill="1" applyBorder="1" applyAlignment="1" applyProtection="1">
      <alignment horizontal="right" vertical="center"/>
      <protection/>
    </xf>
    <xf numFmtId="0" fontId="49" fillId="0" borderId="82" xfId="0" applyFont="1" applyBorder="1" applyAlignment="1" applyProtection="1">
      <alignment vertical="center" wrapText="1"/>
      <protection locked="0"/>
    </xf>
    <xf numFmtId="169" fontId="49" fillId="0" borderId="82" xfId="45" applyFont="1" applyBorder="1" applyAlignment="1" applyProtection="1">
      <alignment vertical="center" wrapText="1"/>
      <protection locked="0"/>
    </xf>
    <xf numFmtId="169" fontId="43" fillId="0" borderId="82" xfId="45" applyFont="1" applyBorder="1" applyAlignment="1" applyProtection="1">
      <alignment vertical="center" wrapText="1"/>
      <protection locked="0"/>
    </xf>
    <xf numFmtId="177" fontId="43" fillId="0" borderId="82" xfId="45" applyNumberFormat="1" applyFont="1" applyBorder="1" applyAlignment="1" applyProtection="1">
      <alignment vertical="center" wrapText="1"/>
      <protection locked="0"/>
    </xf>
    <xf numFmtId="10" fontId="48" fillId="0" borderId="82" xfId="72" applyNumberFormat="1" applyFont="1" applyBorder="1" applyAlignment="1" applyProtection="1">
      <alignment vertical="center" wrapText="1"/>
      <protection locked="0"/>
    </xf>
    <xf numFmtId="177" fontId="43" fillId="0" borderId="82" xfId="72" applyNumberFormat="1" applyFont="1" applyBorder="1" applyAlignment="1" applyProtection="1">
      <alignment vertical="center" wrapText="1"/>
      <protection locked="0"/>
    </xf>
    <xf numFmtId="177" fontId="43" fillId="0" borderId="83" xfId="0" applyNumberFormat="1" applyFont="1" applyBorder="1" applyAlignment="1" applyProtection="1">
      <alignment vertical="center" wrapText="1"/>
      <protection locked="0"/>
    </xf>
    <xf numFmtId="177" fontId="43" fillId="0" borderId="82" xfId="0" applyNumberFormat="1" applyFont="1" applyBorder="1" applyAlignment="1" applyProtection="1">
      <alignment vertical="center" wrapText="1"/>
      <protection locked="0"/>
    </xf>
    <xf numFmtId="10" fontId="43" fillId="0" borderId="82" xfId="72" applyNumberFormat="1" applyFont="1" applyBorder="1" applyAlignment="1" applyProtection="1">
      <alignment horizontal="center" vertical="center" wrapText="1"/>
      <protection locked="0"/>
    </xf>
    <xf numFmtId="177" fontId="42" fillId="0" borderId="82" xfId="0" applyNumberFormat="1" applyFont="1" applyBorder="1" applyAlignment="1" applyProtection="1">
      <alignment horizontal="left" vertical="center" wrapText="1"/>
      <protection locked="0"/>
    </xf>
    <xf numFmtId="177" fontId="42" fillId="0" borderId="82" xfId="45" applyNumberFormat="1" applyFont="1" applyBorder="1" applyAlignment="1" applyProtection="1">
      <alignment vertical="center" wrapText="1"/>
      <protection locked="0"/>
    </xf>
    <xf numFmtId="177" fontId="42" fillId="0" borderId="83" xfId="0" applyNumberFormat="1" applyFont="1" applyBorder="1" applyAlignment="1" applyProtection="1">
      <alignment horizontal="left" vertical="center" wrapText="1"/>
      <protection locked="0"/>
    </xf>
    <xf numFmtId="177" fontId="43" fillId="0" borderId="84" xfId="0" applyNumberFormat="1" applyFont="1" applyBorder="1" applyAlignment="1" applyProtection="1">
      <alignment vertical="center" wrapText="1"/>
      <protection locked="0"/>
    </xf>
    <xf numFmtId="177" fontId="43" fillId="0" borderId="84" xfId="72" applyNumberFormat="1" applyFont="1" applyBorder="1" applyAlignment="1" applyProtection="1">
      <alignment vertical="center" wrapText="1"/>
      <protection locked="0"/>
    </xf>
    <xf numFmtId="177" fontId="43" fillId="0" borderId="85" xfId="0" applyNumberFormat="1" applyFont="1" applyBorder="1" applyAlignment="1" applyProtection="1">
      <alignment vertical="center" wrapText="1"/>
      <protection locked="0"/>
    </xf>
    <xf numFmtId="177" fontId="42" fillId="0" borderId="86" xfId="0" applyNumberFormat="1" applyFont="1" applyBorder="1" applyAlignment="1" applyProtection="1">
      <alignment horizontal="left" vertical="center" wrapText="1"/>
      <protection locked="0"/>
    </xf>
    <xf numFmtId="177" fontId="42" fillId="0" borderId="86" xfId="45" applyNumberFormat="1" applyFont="1" applyBorder="1" applyAlignment="1" applyProtection="1">
      <alignment vertical="center" wrapText="1"/>
      <protection locked="0"/>
    </xf>
    <xf numFmtId="177" fontId="42" fillId="0" borderId="87" xfId="0" applyNumberFormat="1" applyFont="1" applyBorder="1" applyAlignment="1" applyProtection="1">
      <alignment horizontal="left" vertical="center" wrapText="1"/>
      <protection locked="0"/>
    </xf>
    <xf numFmtId="179" fontId="42" fillId="0" borderId="82" xfId="45" applyNumberFormat="1" applyFont="1" applyBorder="1" applyAlignment="1" applyProtection="1">
      <alignment vertical="center" wrapText="1"/>
      <protection/>
    </xf>
    <xf numFmtId="177" fontId="43" fillId="0" borderId="17" xfId="45" applyNumberFormat="1" applyFont="1" applyBorder="1" applyAlignment="1" applyProtection="1">
      <alignment vertical="center" wrapText="1"/>
      <protection locked="0"/>
    </xf>
    <xf numFmtId="0" fontId="43" fillId="0" borderId="12" xfId="55" applyFont="1" applyBorder="1" applyAlignment="1" applyProtection="1">
      <alignment horizontal="left" vertical="center" wrapText="1"/>
      <protection locked="0"/>
    </xf>
    <xf numFmtId="0" fontId="43" fillId="0" borderId="12" xfId="55" applyFont="1" applyBorder="1" applyAlignment="1" applyProtection="1">
      <alignment horizontal="center" vertical="center" wrapText="1"/>
      <protection locked="0"/>
    </xf>
    <xf numFmtId="177" fontId="42" fillId="0" borderId="12" xfId="45" applyNumberFormat="1" applyFont="1" applyBorder="1" applyAlignment="1" applyProtection="1">
      <alignment vertical="center"/>
      <protection locked="0"/>
    </xf>
    <xf numFmtId="0" fontId="43" fillId="0" borderId="17" xfId="55" applyFont="1" applyBorder="1" applyAlignment="1" applyProtection="1">
      <alignment vertical="center"/>
      <protection locked="0"/>
    </xf>
    <xf numFmtId="2" fontId="43" fillId="0" borderId="17" xfId="55" applyNumberFormat="1" applyFont="1" applyBorder="1" applyAlignment="1" applyProtection="1">
      <alignment vertical="center"/>
      <protection locked="0"/>
    </xf>
    <xf numFmtId="0" fontId="43" fillId="0" borderId="12" xfId="55" applyFont="1" applyBorder="1" applyAlignment="1" applyProtection="1">
      <alignment vertical="center"/>
      <protection locked="0"/>
    </xf>
    <xf numFmtId="0" fontId="42" fillId="0" borderId="12" xfId="55" applyFont="1" applyBorder="1" applyAlignment="1" applyProtection="1">
      <alignment vertical="center"/>
      <protection locked="0"/>
    </xf>
    <xf numFmtId="0" fontId="43" fillId="0" borderId="20" xfId="55" applyFont="1" applyBorder="1" applyAlignment="1" applyProtection="1">
      <alignment horizontal="center" vertical="center" wrapText="1"/>
      <protection locked="0"/>
    </xf>
    <xf numFmtId="177" fontId="43" fillId="0" borderId="17" xfId="45" applyNumberFormat="1" applyFont="1" applyBorder="1" applyAlignment="1" applyProtection="1">
      <alignment vertical="center" wrapText="1"/>
      <protection/>
    </xf>
    <xf numFmtId="177" fontId="42" fillId="0" borderId="17" xfId="45" applyNumberFormat="1" applyFont="1" applyBorder="1" applyAlignment="1" applyProtection="1">
      <alignment vertical="center"/>
      <protection/>
    </xf>
    <xf numFmtId="177" fontId="43" fillId="0" borderId="19" xfId="45" applyNumberFormat="1" applyFont="1" applyBorder="1" applyAlignment="1" applyProtection="1">
      <alignment vertical="center" wrapText="1"/>
      <protection/>
    </xf>
    <xf numFmtId="4" fontId="43" fillId="0" borderId="17" xfId="60" applyNumberFormat="1" applyFont="1" applyBorder="1" applyAlignment="1" applyProtection="1">
      <alignment vertical="center"/>
      <protection locked="0"/>
    </xf>
    <xf numFmtId="4" fontId="43" fillId="0" borderId="17" xfId="60" applyNumberFormat="1" applyFont="1" applyFill="1" applyBorder="1" applyAlignment="1" applyProtection="1">
      <alignment vertical="center"/>
      <protection locked="0"/>
    </xf>
    <xf numFmtId="4" fontId="42" fillId="0" borderId="17" xfId="60" applyNumberFormat="1" applyFont="1" applyFill="1" applyBorder="1" applyAlignment="1" applyProtection="1">
      <alignment vertical="center"/>
      <protection locked="0"/>
    </xf>
    <xf numFmtId="4" fontId="42" fillId="0" borderId="17" xfId="60" applyNumberFormat="1" applyFont="1" applyBorder="1" applyAlignment="1" applyProtection="1">
      <alignment vertical="center"/>
      <protection/>
    </xf>
    <xf numFmtId="4" fontId="42" fillId="0" borderId="17" xfId="60" applyNumberFormat="1" applyFont="1" applyFill="1" applyBorder="1" applyAlignment="1" applyProtection="1">
      <alignment vertical="center"/>
      <protection/>
    </xf>
    <xf numFmtId="4" fontId="42" fillId="0" borderId="17" xfId="60" applyNumberFormat="1" applyFont="1" applyBorder="1" applyAlignment="1" applyProtection="1">
      <alignment horizontal="right" vertical="center"/>
      <protection/>
    </xf>
    <xf numFmtId="4" fontId="44" fillId="0" borderId="17" xfId="69" applyNumberFormat="1" applyFont="1" applyFill="1" applyBorder="1" applyAlignment="1" applyProtection="1">
      <alignment horizontal="right" vertical="center"/>
      <protection locked="0"/>
    </xf>
    <xf numFmtId="4" fontId="42" fillId="0" borderId="17" xfId="60" applyNumberFormat="1" applyFont="1" applyFill="1" applyBorder="1" applyAlignment="1" applyProtection="1">
      <alignment horizontal="right" vertical="center"/>
      <protection locked="0"/>
    </xf>
    <xf numFmtId="4" fontId="43" fillId="0" borderId="17" xfId="60" applyNumberFormat="1" applyFont="1" applyFill="1" applyBorder="1" applyAlignment="1" applyProtection="1">
      <alignment horizontal="right" vertical="center"/>
      <protection locked="0"/>
    </xf>
    <xf numFmtId="4" fontId="43" fillId="0" borderId="17" xfId="60" applyNumberFormat="1" applyFont="1" applyFill="1" applyBorder="1" applyAlignment="1" applyProtection="1">
      <alignment horizontal="right" vertical="center"/>
      <protection/>
    </xf>
    <xf numFmtId="179" fontId="42" fillId="0" borderId="82" xfId="45" applyNumberFormat="1" applyFont="1" applyFill="1" applyBorder="1" applyAlignment="1" applyProtection="1">
      <alignment vertical="center" wrapText="1"/>
      <protection/>
    </xf>
    <xf numFmtId="179" fontId="42" fillId="0" borderId="82" xfId="45" applyNumberFormat="1" applyFont="1" applyFill="1" applyBorder="1" applyAlignment="1" applyProtection="1">
      <alignment vertical="center" wrapText="1"/>
      <protection locked="0"/>
    </xf>
    <xf numFmtId="177" fontId="42" fillId="0" borderId="82" xfId="45" applyNumberFormat="1" applyFont="1" applyFill="1" applyBorder="1" applyAlignment="1" applyProtection="1">
      <alignment vertical="center" wrapText="1"/>
      <protection/>
    </xf>
    <xf numFmtId="179" fontId="42" fillId="0" borderId="86" xfId="45" applyNumberFormat="1" applyFont="1" applyFill="1" applyBorder="1" applyAlignment="1" applyProtection="1">
      <alignment vertical="center" wrapText="1"/>
      <protection/>
    </xf>
    <xf numFmtId="179" fontId="42" fillId="0" borderId="86" xfId="45" applyNumberFormat="1" applyFont="1" applyFill="1" applyBorder="1" applyAlignment="1" applyProtection="1">
      <alignment vertical="center" wrapText="1"/>
      <protection locked="0"/>
    </xf>
    <xf numFmtId="177" fontId="42" fillId="0" borderId="86" xfId="45" applyNumberFormat="1" applyFont="1" applyFill="1" applyBorder="1" applyAlignment="1" applyProtection="1">
      <alignment vertical="center" wrapText="1"/>
      <protection/>
    </xf>
    <xf numFmtId="177" fontId="42" fillId="0" borderId="17" xfId="45" applyNumberFormat="1" applyFont="1" applyFill="1" applyBorder="1" applyAlignment="1" applyProtection="1">
      <alignment vertical="center"/>
      <protection/>
    </xf>
    <xf numFmtId="0" fontId="43" fillId="0" borderId="17" xfId="66" applyNumberFormat="1" applyFont="1" applyFill="1" applyBorder="1" applyAlignment="1">
      <alignment horizontal="right" vertical="center" wrapText="1"/>
      <protection/>
    </xf>
    <xf numFmtId="0" fontId="43" fillId="0" borderId="48" xfId="66" applyNumberFormat="1" applyFont="1" applyFill="1" applyBorder="1" applyAlignment="1">
      <alignment horizontal="right" vertical="center" wrapText="1"/>
      <protection/>
    </xf>
    <xf numFmtId="43" fontId="42" fillId="0" borderId="72" xfId="0" applyNumberFormat="1" applyFont="1" applyBorder="1" applyAlignment="1" applyProtection="1">
      <alignment horizontal="center" vertical="center" wrapText="1"/>
      <protection locked="0"/>
    </xf>
    <xf numFmtId="43" fontId="42" fillId="0" borderId="13" xfId="0" applyNumberFormat="1" applyFont="1" applyBorder="1" applyAlignment="1" applyProtection="1">
      <alignment horizontal="center" vertical="center" wrapText="1"/>
      <protection locked="0"/>
    </xf>
    <xf numFmtId="43" fontId="42" fillId="0" borderId="17" xfId="0" applyNumberFormat="1" applyFont="1" applyBorder="1" applyAlignment="1" applyProtection="1">
      <alignment horizontal="center" vertical="center" wrapText="1"/>
      <protection locked="0"/>
    </xf>
    <xf numFmtId="43" fontId="42" fillId="0" borderId="12" xfId="0" applyNumberFormat="1" applyFont="1" applyBorder="1" applyAlignment="1" applyProtection="1">
      <alignment horizontal="center" vertical="center" wrapText="1"/>
      <protection locked="0"/>
    </xf>
    <xf numFmtId="43" fontId="42" fillId="26" borderId="52" xfId="67" applyNumberFormat="1" applyFont="1" applyFill="1" applyBorder="1" applyAlignment="1" applyProtection="1">
      <alignment vertical="center"/>
      <protection locked="0"/>
    </xf>
    <xf numFmtId="43" fontId="42" fillId="26" borderId="53" xfId="67" applyNumberFormat="1" applyFont="1" applyFill="1" applyBorder="1" applyAlignment="1" applyProtection="1">
      <alignment vertical="center"/>
      <protection locked="0"/>
    </xf>
    <xf numFmtId="177" fontId="43" fillId="0" borderId="72" xfId="67" applyNumberFormat="1" applyFont="1" applyBorder="1" applyAlignment="1" applyProtection="1">
      <alignment vertical="center" wrapText="1"/>
      <protection locked="0"/>
    </xf>
    <xf numFmtId="177" fontId="43" fillId="0" borderId="13" xfId="67" applyNumberFormat="1" applyFont="1" applyBorder="1" applyAlignment="1" applyProtection="1">
      <alignment vertical="center" wrapText="1"/>
      <protection locked="0"/>
    </xf>
    <xf numFmtId="177" fontId="43" fillId="0" borderId="19" xfId="67" applyNumberFormat="1" applyFont="1" applyBorder="1" applyAlignment="1" applyProtection="1">
      <alignment vertical="center" wrapText="1"/>
      <protection locked="0"/>
    </xf>
    <xf numFmtId="177" fontId="43" fillId="0" borderId="88" xfId="67" applyNumberFormat="1" applyFont="1" applyBorder="1" applyAlignment="1" applyProtection="1">
      <alignment vertical="center" wrapText="1"/>
      <protection locked="0"/>
    </xf>
    <xf numFmtId="43" fontId="42" fillId="0" borderId="17" xfId="0" applyNumberFormat="1" applyFont="1" applyBorder="1" applyAlignment="1" applyProtection="1">
      <alignment horizontal="center" vertical="center" wrapText="1"/>
      <protection/>
    </xf>
    <xf numFmtId="43" fontId="42" fillId="16" borderId="19" xfId="0" applyNumberFormat="1" applyFont="1" applyFill="1" applyBorder="1" applyAlignment="1" applyProtection="1">
      <alignment horizontal="center" vertical="center" wrapText="1"/>
      <protection/>
    </xf>
    <xf numFmtId="43" fontId="42" fillId="16" borderId="20" xfId="0" applyNumberFormat="1" applyFont="1" applyFill="1" applyBorder="1" applyAlignment="1" applyProtection="1">
      <alignment horizontal="center" vertical="center" wrapText="1"/>
      <protection/>
    </xf>
    <xf numFmtId="43" fontId="42" fillId="0" borderId="52" xfId="0" applyNumberFormat="1" applyFont="1" applyFill="1" applyBorder="1" applyAlignment="1" applyProtection="1">
      <alignment horizontal="center" vertical="center" wrapText="1"/>
      <protection/>
    </xf>
    <xf numFmtId="43" fontId="42" fillId="0" borderId="53" xfId="0" applyNumberFormat="1" applyFont="1" applyFill="1" applyBorder="1" applyAlignment="1" applyProtection="1">
      <alignment horizontal="center" vertical="center" wrapText="1"/>
      <protection/>
    </xf>
    <xf numFmtId="43" fontId="42" fillId="0" borderId="72" xfId="0" applyNumberFormat="1" applyFont="1" applyBorder="1" applyAlignment="1" applyProtection="1">
      <alignment horizontal="center" vertical="center" wrapText="1"/>
      <protection/>
    </xf>
    <xf numFmtId="43" fontId="42" fillId="0" borderId="11" xfId="0" applyNumberFormat="1" applyFont="1" applyBorder="1" applyAlignment="1" applyProtection="1">
      <alignment horizontal="center" vertical="center" wrapText="1"/>
      <protection/>
    </xf>
    <xf numFmtId="43" fontId="42" fillId="16" borderId="48" xfId="0" applyNumberFormat="1" applyFont="1" applyFill="1" applyBorder="1" applyAlignment="1" applyProtection="1">
      <alignment horizontal="center" vertical="center" wrapText="1"/>
      <protection/>
    </xf>
    <xf numFmtId="43" fontId="42" fillId="16" borderId="25" xfId="0" applyNumberFormat="1" applyFont="1" applyFill="1" applyBorder="1" applyAlignment="1" applyProtection="1">
      <alignment horizontal="center" vertical="center" wrapText="1"/>
      <protection/>
    </xf>
    <xf numFmtId="43" fontId="42" fillId="16" borderId="79" xfId="0" applyNumberFormat="1" applyFont="1" applyFill="1" applyBorder="1" applyAlignment="1" applyProtection="1">
      <alignment horizontal="center" vertical="center" wrapText="1"/>
      <protection/>
    </xf>
    <xf numFmtId="43" fontId="42" fillId="16" borderId="49" xfId="0" applyNumberFormat="1" applyFont="1" applyFill="1" applyBorder="1" applyAlignment="1" applyProtection="1">
      <alignment horizontal="center" vertical="center" wrapText="1"/>
      <protection/>
    </xf>
    <xf numFmtId="0" fontId="43" fillId="0" borderId="76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43" fontId="43" fillId="0" borderId="11" xfId="0" applyNumberFormat="1" applyFont="1" applyBorder="1" applyAlignment="1" applyProtection="1">
      <alignment vertical="center"/>
      <protection locked="0"/>
    </xf>
    <xf numFmtId="43" fontId="43" fillId="0" borderId="14" xfId="0" applyNumberFormat="1" applyFont="1" applyBorder="1" applyAlignment="1" applyProtection="1">
      <alignment vertical="center"/>
      <protection locked="0"/>
    </xf>
    <xf numFmtId="43" fontId="43" fillId="0" borderId="76" xfId="0" applyNumberFormat="1" applyFont="1" applyBorder="1" applyAlignment="1" applyProtection="1">
      <alignment vertical="center"/>
      <protection locked="0"/>
    </xf>
    <xf numFmtId="0" fontId="43" fillId="0" borderId="64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43" fontId="43" fillId="0" borderId="17" xfId="0" applyNumberFormat="1" applyFont="1" applyBorder="1" applyAlignment="1" applyProtection="1">
      <alignment vertical="center"/>
      <protection locked="0"/>
    </xf>
    <xf numFmtId="43" fontId="43" fillId="0" borderId="12" xfId="0" applyNumberFormat="1" applyFont="1" applyBorder="1" applyAlignment="1" applyProtection="1">
      <alignment vertical="center"/>
      <protection locked="0"/>
    </xf>
    <xf numFmtId="43" fontId="43" fillId="0" borderId="64" xfId="0" applyNumberFormat="1" applyFont="1" applyBorder="1" applyAlignment="1" applyProtection="1">
      <alignment vertical="center"/>
      <protection locked="0"/>
    </xf>
    <xf numFmtId="0" fontId="43" fillId="0" borderId="58" xfId="0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 vertical="center"/>
      <protection locked="0"/>
    </xf>
    <xf numFmtId="43" fontId="43" fillId="0" borderId="19" xfId="0" applyNumberFormat="1" applyFont="1" applyBorder="1" applyAlignment="1" applyProtection="1">
      <alignment vertical="center"/>
      <protection locked="0"/>
    </xf>
    <xf numFmtId="43" fontId="43" fillId="0" borderId="20" xfId="0" applyNumberFormat="1" applyFont="1" applyBorder="1" applyAlignment="1" applyProtection="1">
      <alignment vertical="center"/>
      <protection locked="0"/>
    </xf>
    <xf numFmtId="43" fontId="43" fillId="0" borderId="58" xfId="0" applyNumberFormat="1" applyFont="1" applyBorder="1" applyAlignment="1" applyProtection="1">
      <alignment vertical="center"/>
      <protection locked="0"/>
    </xf>
    <xf numFmtId="0" fontId="42" fillId="2" borderId="51" xfId="65" applyFont="1" applyFill="1" applyBorder="1" applyAlignment="1" applyProtection="1">
      <alignment horizontal="left" vertical="center" wrapText="1"/>
      <protection/>
    </xf>
    <xf numFmtId="0" fontId="43" fillId="0" borderId="52" xfId="65" applyFont="1" applyBorder="1" applyAlignment="1" applyProtection="1">
      <alignment vertical="center"/>
      <protection/>
    </xf>
    <xf numFmtId="0" fontId="42" fillId="0" borderId="52" xfId="65" applyFont="1" applyBorder="1" applyAlignment="1" applyProtection="1">
      <alignment horizontal="center" vertical="center"/>
      <protection/>
    </xf>
    <xf numFmtId="0" fontId="42" fillId="0" borderId="47" xfId="65" applyFont="1" applyBorder="1" applyAlignment="1" applyProtection="1">
      <alignment horizontal="center" vertical="center"/>
      <protection/>
    </xf>
    <xf numFmtId="0" fontId="42" fillId="0" borderId="89" xfId="65" applyFont="1" applyBorder="1" applyAlignment="1" applyProtection="1">
      <alignment vertical="center"/>
      <protection/>
    </xf>
    <xf numFmtId="0" fontId="43" fillId="0" borderId="59" xfId="65" applyFont="1" applyBorder="1" applyAlignment="1" applyProtection="1">
      <alignment vertical="center"/>
      <protection/>
    </xf>
    <xf numFmtId="4" fontId="43" fillId="28" borderId="90" xfId="65" applyNumberFormat="1" applyFont="1" applyFill="1" applyBorder="1" applyAlignment="1" applyProtection="1">
      <alignment horizontal="center" vertical="center"/>
      <protection/>
    </xf>
    <xf numFmtId="177" fontId="51" fillId="7" borderId="91" xfId="44" applyNumberFormat="1" applyFont="1" applyBorder="1" applyAlignment="1" applyProtection="1">
      <alignment horizontal="right" vertical="center"/>
      <protection/>
    </xf>
    <xf numFmtId="177" fontId="51" fillId="7" borderId="92" xfId="44" applyNumberFormat="1" applyFont="1" applyBorder="1" applyAlignment="1" applyProtection="1">
      <alignment horizontal="right" vertical="center"/>
      <protection/>
    </xf>
    <xf numFmtId="4" fontId="43" fillId="28" borderId="54" xfId="65" applyNumberFormat="1" applyFont="1" applyFill="1" applyBorder="1" applyAlignment="1" applyProtection="1">
      <alignment horizontal="center" vertical="center"/>
      <protection/>
    </xf>
    <xf numFmtId="4" fontId="43" fillId="28" borderId="59" xfId="65" applyNumberFormat="1" applyFont="1" applyFill="1" applyBorder="1" applyAlignment="1" applyProtection="1">
      <alignment horizontal="center" vertical="center"/>
      <protection/>
    </xf>
    <xf numFmtId="4" fontId="43" fillId="28" borderId="38" xfId="65" applyNumberFormat="1" applyFont="1" applyFill="1" applyBorder="1" applyAlignment="1" applyProtection="1">
      <alignment horizontal="center" vertical="center"/>
      <protection/>
    </xf>
    <xf numFmtId="0" fontId="43" fillId="0" borderId="11" xfId="65" applyFont="1" applyBorder="1" applyAlignment="1" applyProtection="1">
      <alignment vertical="center"/>
      <protection/>
    </xf>
    <xf numFmtId="0" fontId="43" fillId="0" borderId="65" xfId="65" applyFont="1" applyBorder="1" applyAlignment="1" applyProtection="1">
      <alignment vertical="center"/>
      <protection/>
    </xf>
    <xf numFmtId="0" fontId="42" fillId="0" borderId="50" xfId="65" applyFont="1" applyBorder="1" applyAlignment="1" applyProtection="1">
      <alignment vertical="center"/>
      <protection/>
    </xf>
    <xf numFmtId="0" fontId="43" fillId="0" borderId="93" xfId="65" applyFont="1" applyBorder="1" applyAlignment="1" applyProtection="1">
      <alignment vertical="center"/>
      <protection/>
    </xf>
    <xf numFmtId="4" fontId="43" fillId="28" borderId="50" xfId="65" applyNumberFormat="1" applyFont="1" applyFill="1" applyBorder="1" applyAlignment="1" applyProtection="1">
      <alignment horizontal="center" vertical="center"/>
      <protection/>
    </xf>
    <xf numFmtId="0" fontId="43" fillId="0" borderId="76" xfId="65" applyFont="1" applyBorder="1" applyAlignment="1" applyProtection="1">
      <alignment horizontal="left" vertical="center" wrapText="1"/>
      <protection/>
    </xf>
    <xf numFmtId="0" fontId="43" fillId="0" borderId="57" xfId="65" applyFont="1" applyBorder="1" applyAlignment="1" applyProtection="1">
      <alignment vertical="center"/>
      <protection/>
    </xf>
    <xf numFmtId="0" fontId="42" fillId="0" borderId="94" xfId="65" applyFont="1" applyBorder="1" applyAlignment="1" applyProtection="1">
      <alignment vertical="center"/>
      <protection/>
    </xf>
    <xf numFmtId="0" fontId="43" fillId="0" borderId="95" xfId="65" applyFont="1" applyBorder="1" applyAlignment="1" applyProtection="1">
      <alignment vertical="center"/>
      <protection/>
    </xf>
    <xf numFmtId="0" fontId="42" fillId="0" borderId="96" xfId="65" applyFont="1" applyFill="1" applyBorder="1" applyAlignment="1" applyProtection="1">
      <alignment horizontal="center" vertical="center"/>
      <protection/>
    </xf>
    <xf numFmtId="4" fontId="43" fillId="28" borderId="52" xfId="65" applyNumberFormat="1" applyFont="1" applyFill="1" applyBorder="1" applyAlignment="1" applyProtection="1">
      <alignment horizontal="center" vertical="center"/>
      <protection/>
    </xf>
    <xf numFmtId="177" fontId="52" fillId="7" borderId="97" xfId="44" applyNumberFormat="1" applyFont="1" applyBorder="1" applyAlignment="1" applyProtection="1">
      <alignment horizontal="center" vertical="center"/>
      <protection/>
    </xf>
    <xf numFmtId="4" fontId="43" fillId="28" borderId="53" xfId="65" applyNumberFormat="1" applyFont="1" applyFill="1" applyBorder="1" applyAlignment="1" applyProtection="1">
      <alignment horizontal="center" vertical="center"/>
      <protection/>
    </xf>
    <xf numFmtId="0" fontId="42" fillId="0" borderId="50" xfId="65" applyFont="1" applyBorder="1" applyAlignment="1" applyProtection="1">
      <alignment horizontal="center" vertical="center"/>
      <protection/>
    </xf>
    <xf numFmtId="4" fontId="43" fillId="29" borderId="52" xfId="65" applyNumberFormat="1" applyFont="1" applyFill="1" applyBorder="1" applyAlignment="1" applyProtection="1">
      <alignment horizontal="center" vertical="center"/>
      <protection/>
    </xf>
    <xf numFmtId="0" fontId="42" fillId="14" borderId="51" xfId="65" applyFont="1" applyFill="1" applyBorder="1" applyAlignment="1" applyProtection="1">
      <alignment horizontal="left" vertical="center" wrapText="1"/>
      <protection/>
    </xf>
    <xf numFmtId="177" fontId="42" fillId="0" borderId="53" xfId="65" applyNumberFormat="1" applyFont="1" applyBorder="1" applyAlignment="1" applyProtection="1">
      <alignment horizontal="right" vertical="center"/>
      <protection/>
    </xf>
    <xf numFmtId="0" fontId="43" fillId="0" borderId="98" xfId="65" applyFont="1" applyBorder="1" applyAlignment="1" applyProtection="1">
      <alignment vertical="center"/>
      <protection locked="0"/>
    </xf>
    <xf numFmtId="0" fontId="43" fillId="0" borderId="11" xfId="65" applyFont="1" applyBorder="1" applyAlignment="1" applyProtection="1">
      <alignment vertical="center"/>
      <protection locked="0"/>
    </xf>
    <xf numFmtId="0" fontId="43" fillId="0" borderId="65" xfId="65" applyFont="1" applyBorder="1" applyAlignment="1" applyProtection="1">
      <alignment vertical="center"/>
      <protection locked="0"/>
    </xf>
    <xf numFmtId="0" fontId="43" fillId="0" borderId="58" xfId="65" applyFont="1" applyBorder="1" applyAlignment="1" applyProtection="1">
      <alignment vertical="center"/>
      <protection locked="0"/>
    </xf>
    <xf numFmtId="0" fontId="43" fillId="0" borderId="59" xfId="65" applyFont="1" applyBorder="1" applyAlignment="1" applyProtection="1">
      <alignment vertical="center"/>
      <protection locked="0"/>
    </xf>
    <xf numFmtId="0" fontId="43" fillId="0" borderId="57" xfId="65" applyFont="1" applyBorder="1" applyAlignment="1" applyProtection="1">
      <alignment vertical="center"/>
      <protection locked="0"/>
    </xf>
    <xf numFmtId="14" fontId="43" fillId="0" borderId="17" xfId="66" applyNumberFormat="1" applyFont="1" applyFill="1" applyBorder="1" applyAlignment="1">
      <alignment horizontal="center" vertical="center" wrapText="1"/>
      <protection/>
    </xf>
    <xf numFmtId="4" fontId="43" fillId="0" borderId="22" xfId="0" applyNumberFormat="1" applyFont="1" applyBorder="1" applyAlignment="1">
      <alignment vertical="center"/>
    </xf>
    <xf numFmtId="4" fontId="42" fillId="0" borderId="19" xfId="0" applyNumberFormat="1" applyFont="1" applyBorder="1" applyAlignment="1">
      <alignment horizontal="right" vertical="center"/>
    </xf>
    <xf numFmtId="0" fontId="43" fillId="0" borderId="78" xfId="65" applyFont="1" applyBorder="1" applyAlignment="1" applyProtection="1">
      <alignment vertical="center"/>
      <protection locked="0"/>
    </xf>
    <xf numFmtId="0" fontId="43" fillId="0" borderId="72" xfId="65" applyFont="1" applyBorder="1" applyAlignment="1" applyProtection="1">
      <alignment vertical="center"/>
      <protection locked="0"/>
    </xf>
    <xf numFmtId="4" fontId="43" fillId="26" borderId="72" xfId="65" applyNumberFormat="1" applyFont="1" applyFill="1" applyBorder="1" applyAlignment="1" applyProtection="1">
      <alignment horizontal="center" vertical="center"/>
      <protection locked="0"/>
    </xf>
    <xf numFmtId="177" fontId="43" fillId="0" borderId="72" xfId="52" applyNumberFormat="1" applyFont="1" applyBorder="1" applyAlignment="1" applyProtection="1">
      <alignment horizontal="right" vertical="center"/>
      <protection locked="0"/>
    </xf>
    <xf numFmtId="177" fontId="43" fillId="0" borderId="72" xfId="52" applyNumberFormat="1" applyFont="1" applyFill="1" applyBorder="1" applyAlignment="1" applyProtection="1">
      <alignment horizontal="right" vertical="center"/>
      <protection locked="0"/>
    </xf>
    <xf numFmtId="0" fontId="43" fillId="0" borderId="17" xfId="65" applyNumberFormat="1" applyFont="1" applyFill="1" applyBorder="1" applyAlignment="1" applyProtection="1">
      <alignment vertical="center"/>
      <protection locked="0"/>
    </xf>
    <xf numFmtId="0" fontId="42" fillId="0" borderId="67" xfId="65" applyFont="1" applyBorder="1" applyAlignment="1" applyProtection="1">
      <alignment horizontal="center" vertical="center"/>
      <protection/>
    </xf>
    <xf numFmtId="4" fontId="43" fillId="29" borderId="59" xfId="65" applyNumberFormat="1" applyFont="1" applyFill="1" applyBorder="1" applyAlignment="1" applyProtection="1">
      <alignment horizontal="center" vertical="center"/>
      <protection/>
    </xf>
    <xf numFmtId="0" fontId="43" fillId="0" borderId="12" xfId="65" applyNumberFormat="1" applyFont="1" applyFill="1" applyBorder="1" applyAlignment="1" applyProtection="1">
      <alignment vertical="center"/>
      <protection locked="0"/>
    </xf>
    <xf numFmtId="0" fontId="43" fillId="0" borderId="19" xfId="65" applyNumberFormat="1" applyFont="1" applyFill="1" applyBorder="1" applyAlignment="1" applyProtection="1">
      <alignment vertical="center"/>
      <protection locked="0"/>
    </xf>
    <xf numFmtId="0" fontId="42" fillId="0" borderId="0" xfId="65" applyFont="1" applyAlignment="1">
      <alignment vertical="center"/>
      <protection/>
    </xf>
    <xf numFmtId="0" fontId="42" fillId="0" borderId="0" xfId="65" applyFont="1" applyAlignment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177" fontId="43" fillId="0" borderId="11" xfId="0" applyNumberFormat="1" applyFont="1" applyBorder="1" applyAlignment="1" applyProtection="1">
      <alignment vertical="center"/>
      <protection locked="0"/>
    </xf>
    <xf numFmtId="3" fontId="43" fillId="0" borderId="0" xfId="0" applyNumberFormat="1" applyFont="1" applyAlignment="1">
      <alignment vertical="center"/>
    </xf>
    <xf numFmtId="4" fontId="43" fillId="26" borderId="17" xfId="65" applyNumberFormat="1" applyFont="1" applyFill="1" applyBorder="1" applyAlignment="1" applyProtection="1">
      <alignment horizontal="center" vertical="center"/>
      <protection locked="0"/>
    </xf>
    <xf numFmtId="177" fontId="43" fillId="0" borderId="50" xfId="0" applyNumberFormat="1" applyFont="1" applyBorder="1" applyAlignment="1">
      <alignment horizontal="center" vertical="center"/>
    </xf>
    <xf numFmtId="177" fontId="43" fillId="0" borderId="17" xfId="66" applyNumberFormat="1" applyFont="1" applyFill="1" applyBorder="1" applyAlignment="1">
      <alignment vertical="center" wrapText="1"/>
      <protection/>
    </xf>
    <xf numFmtId="177" fontId="43" fillId="0" borderId="17" xfId="66" applyNumberFormat="1" applyFont="1" applyBorder="1" applyAlignment="1">
      <alignment vertical="center"/>
      <protection/>
    </xf>
    <xf numFmtId="177" fontId="43" fillId="0" borderId="17" xfId="66" applyNumberFormat="1" applyFont="1" applyBorder="1" applyAlignment="1">
      <alignment horizontal="right" vertical="center"/>
      <protection/>
    </xf>
    <xf numFmtId="3" fontId="42" fillId="0" borderId="18" xfId="69" applyNumberFormat="1" applyFont="1" applyFill="1" applyBorder="1" applyAlignment="1">
      <alignment vertical="center" wrapText="1"/>
      <protection/>
    </xf>
    <xf numFmtId="3" fontId="43" fillId="0" borderId="18" xfId="69" applyNumberFormat="1" applyFont="1" applyFill="1" applyBorder="1" applyAlignment="1">
      <alignment vertical="center"/>
      <protection/>
    </xf>
    <xf numFmtId="177" fontId="43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177" fontId="40" fillId="0" borderId="0" xfId="51" applyNumberFormat="1" applyFont="1" applyBorder="1" applyAlignment="1" applyProtection="1">
      <alignment vertical="center"/>
      <protection/>
    </xf>
    <xf numFmtId="2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7" fontId="43" fillId="0" borderId="0" xfId="0" applyNumberFormat="1" applyFont="1" applyFill="1" applyAlignment="1">
      <alignment vertical="center"/>
    </xf>
    <xf numFmtId="177" fontId="42" fillId="0" borderId="0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vertical="center"/>
    </xf>
    <xf numFmtId="177" fontId="43" fillId="0" borderId="0" xfId="51" applyNumberFormat="1" applyFont="1" applyFill="1" applyBorder="1" applyAlignment="1" applyProtection="1">
      <alignment vertical="center"/>
      <protection/>
    </xf>
    <xf numFmtId="177" fontId="43" fillId="0" borderId="0" xfId="51" applyNumberFormat="1" applyFont="1" applyFill="1" applyBorder="1" applyAlignment="1">
      <alignment vertical="center"/>
    </xf>
    <xf numFmtId="177" fontId="42" fillId="0" borderId="0" xfId="51" applyNumberFormat="1" applyFont="1" applyFill="1" applyBorder="1" applyAlignment="1" applyProtection="1">
      <alignment vertical="center"/>
      <protection/>
    </xf>
    <xf numFmtId="177" fontId="42" fillId="0" borderId="0" xfId="0" applyNumberFormat="1" applyFont="1" applyFill="1" applyBorder="1" applyAlignment="1" applyProtection="1">
      <alignment vertical="center"/>
      <protection/>
    </xf>
    <xf numFmtId="177" fontId="43" fillId="0" borderId="0" xfId="0" applyNumberFormat="1" applyFont="1" applyFill="1" applyBorder="1" applyAlignment="1">
      <alignment vertical="center"/>
    </xf>
    <xf numFmtId="177" fontId="42" fillId="0" borderId="0" xfId="64" applyNumberFormat="1" applyFont="1" applyFill="1" applyBorder="1" applyAlignment="1" applyProtection="1">
      <alignment horizontal="center" vertical="center" wrapText="1"/>
      <protection/>
    </xf>
    <xf numFmtId="177" fontId="43" fillId="0" borderId="0" xfId="64" applyNumberFormat="1" applyFont="1" applyFill="1" applyBorder="1" applyAlignment="1">
      <alignment horizontal="center" vertical="center" wrapText="1"/>
      <protection/>
    </xf>
    <xf numFmtId="0" fontId="43" fillId="0" borderId="65" xfId="65" applyFont="1" applyFill="1" applyBorder="1" applyAlignment="1" applyProtection="1">
      <alignment vertical="center"/>
      <protection locked="0"/>
    </xf>
    <xf numFmtId="0" fontId="43" fillId="0" borderId="11" xfId="65" applyFont="1" applyFill="1" applyBorder="1" applyAlignment="1" applyProtection="1">
      <alignment vertical="center"/>
      <protection locked="0"/>
    </xf>
    <xf numFmtId="4" fontId="43" fillId="0" borderId="11" xfId="65" applyNumberFormat="1" applyFont="1" applyFill="1" applyBorder="1" applyAlignment="1" applyProtection="1">
      <alignment horizontal="center" vertical="center"/>
      <protection locked="0"/>
    </xf>
    <xf numFmtId="177" fontId="43" fillId="0" borderId="17" xfId="52" applyNumberFormat="1" applyFont="1" applyFill="1" applyBorder="1" applyAlignment="1" applyProtection="1">
      <alignment horizontal="right" vertical="center"/>
      <protection locked="0"/>
    </xf>
    <xf numFmtId="2" fontId="43" fillId="0" borderId="0" xfId="65" applyNumberFormat="1" applyFont="1" applyAlignment="1">
      <alignment vertical="center"/>
      <protection/>
    </xf>
    <xf numFmtId="0" fontId="43" fillId="0" borderId="69" xfId="55" applyFont="1" applyFill="1" applyBorder="1" applyAlignment="1">
      <alignment horizontal="left" vertical="center" wrapText="1"/>
      <protection/>
    </xf>
    <xf numFmtId="177" fontId="43" fillId="0" borderId="99" xfId="0" applyNumberFormat="1" applyFont="1" applyFill="1" applyBorder="1" applyAlignment="1">
      <alignment vertical="center"/>
    </xf>
    <xf numFmtId="0" fontId="43" fillId="0" borderId="100" xfId="55" applyFont="1" applyFill="1" applyBorder="1" applyAlignment="1">
      <alignment horizontal="left" vertical="center" wrapText="1"/>
      <protection/>
    </xf>
    <xf numFmtId="177" fontId="43" fillId="0" borderId="62" xfId="0" applyNumberFormat="1" applyFont="1" applyFill="1" applyBorder="1" applyAlignment="1">
      <alignment vertical="center"/>
    </xf>
    <xf numFmtId="0" fontId="43" fillId="0" borderId="70" xfId="55" applyFont="1" applyFill="1" applyBorder="1" applyAlignment="1">
      <alignment horizontal="left" vertical="center" wrapText="1"/>
      <protection/>
    </xf>
    <xf numFmtId="177" fontId="43" fillId="0" borderId="88" xfId="0" applyNumberFormat="1" applyFont="1" applyFill="1" applyBorder="1" applyAlignment="1">
      <alignment vertical="center"/>
    </xf>
    <xf numFmtId="0" fontId="43" fillId="0" borderId="67" xfId="0" applyFont="1" applyFill="1" applyBorder="1" applyAlignment="1">
      <alignment vertical="center"/>
    </xf>
    <xf numFmtId="177" fontId="43" fillId="0" borderId="67" xfId="0" applyNumberFormat="1" applyFont="1" applyFill="1" applyBorder="1" applyAlignment="1">
      <alignment vertical="center"/>
    </xf>
    <xf numFmtId="0" fontId="43" fillId="0" borderId="50" xfId="0" applyFont="1" applyFill="1" applyBorder="1" applyAlignment="1">
      <alignment vertical="center" wrapText="1"/>
    </xf>
    <xf numFmtId="177" fontId="43" fillId="0" borderId="50" xfId="0" applyNumberFormat="1" applyFont="1" applyFill="1" applyBorder="1" applyAlignment="1">
      <alignment vertical="center"/>
    </xf>
    <xf numFmtId="177" fontId="43" fillId="0" borderId="17" xfId="45" applyNumberFormat="1" applyFont="1" applyFill="1" applyBorder="1" applyAlignment="1" applyProtection="1">
      <alignment vertical="center" wrapText="1"/>
      <protection locked="0"/>
    </xf>
    <xf numFmtId="177" fontId="43" fillId="0" borderId="19" xfId="4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3" fillId="0" borderId="60" xfId="65" applyNumberFormat="1" applyFont="1" applyFill="1" applyBorder="1" applyAlignment="1" applyProtection="1">
      <alignment horizontal="center" vertical="center"/>
      <protection locked="0"/>
    </xf>
    <xf numFmtId="0" fontId="43" fillId="0" borderId="25" xfId="65" applyNumberFormat="1" applyFont="1" applyFill="1" applyBorder="1" applyAlignment="1" applyProtection="1">
      <alignment horizontal="center" vertical="center"/>
      <protection locked="0"/>
    </xf>
    <xf numFmtId="177" fontId="42" fillId="0" borderId="101" xfId="65" applyNumberFormat="1" applyFont="1" applyFill="1" applyBorder="1" applyAlignment="1" applyProtection="1">
      <alignment horizontal="right" vertical="center"/>
      <protection/>
    </xf>
    <xf numFmtId="177" fontId="42" fillId="0" borderId="53" xfId="65" applyNumberFormat="1" applyFont="1" applyFill="1" applyBorder="1" applyAlignment="1" applyProtection="1">
      <alignment horizontal="right" vertical="center"/>
      <protection/>
    </xf>
    <xf numFmtId="177" fontId="42" fillId="0" borderId="95" xfId="65" applyNumberFormat="1" applyFont="1" applyFill="1" applyBorder="1" applyAlignment="1" applyProtection="1">
      <alignment vertical="center"/>
      <protection/>
    </xf>
    <xf numFmtId="177" fontId="42" fillId="0" borderId="59" xfId="65" applyNumberFormat="1" applyFont="1" applyFill="1" applyBorder="1" applyAlignment="1" applyProtection="1">
      <alignment horizontal="right" vertical="center"/>
      <protection/>
    </xf>
    <xf numFmtId="177" fontId="42" fillId="0" borderId="38" xfId="65" applyNumberFormat="1" applyFont="1" applyFill="1" applyBorder="1" applyAlignment="1" applyProtection="1">
      <alignment horizontal="right" vertical="center"/>
      <protection/>
    </xf>
    <xf numFmtId="177" fontId="42" fillId="0" borderId="52" xfId="65" applyNumberFormat="1" applyFont="1" applyFill="1" applyBorder="1" applyAlignment="1" applyProtection="1">
      <alignment horizontal="right" vertical="center"/>
      <protection/>
    </xf>
    <xf numFmtId="0" fontId="43" fillId="0" borderId="64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3" fillId="0" borderId="12" xfId="0" applyNumberFormat="1" applyFont="1" applyFill="1" applyBorder="1" applyAlignment="1" applyProtection="1">
      <alignment horizontal="right" vertical="center"/>
      <protection locked="0"/>
    </xf>
    <xf numFmtId="0" fontId="42" fillId="0" borderId="64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64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>
      <alignment horizontal="center" vertical="center"/>
    </xf>
    <xf numFmtId="43" fontId="42" fillId="0" borderId="12" xfId="0" applyNumberFormat="1" applyFont="1" applyBorder="1" applyAlignment="1" applyProtection="1">
      <alignment horizontal="center" vertical="center" wrapText="1"/>
      <protection/>
    </xf>
    <xf numFmtId="43" fontId="42" fillId="0" borderId="13" xfId="0" applyNumberFormat="1" applyFont="1" applyBorder="1" applyAlignment="1" applyProtection="1">
      <alignment horizontal="center" vertical="center" wrapText="1"/>
      <protection/>
    </xf>
    <xf numFmtId="43" fontId="42" fillId="0" borderId="14" xfId="0" applyNumberFormat="1" applyFont="1" applyBorder="1" applyAlignment="1" applyProtection="1">
      <alignment horizontal="center" vertical="center" wrapText="1"/>
      <protection/>
    </xf>
    <xf numFmtId="0" fontId="42" fillId="0" borderId="11" xfId="66" applyFont="1" applyFill="1" applyBorder="1" applyAlignment="1">
      <alignment vertical="center" wrapText="1"/>
      <protection/>
    </xf>
    <xf numFmtId="4" fontId="43" fillId="0" borderId="63" xfId="0" applyNumberFormat="1" applyFont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4" fontId="45" fillId="22" borderId="0" xfId="60" applyNumberFormat="1" applyFont="1" applyFill="1" applyBorder="1" applyAlignment="1">
      <alignment horizontal="left" vertical="center"/>
      <protection/>
    </xf>
    <xf numFmtId="0" fontId="43" fillId="22" borderId="0" xfId="60" applyFont="1" applyFill="1" applyAlignment="1">
      <alignment vertical="center"/>
      <protection/>
    </xf>
    <xf numFmtId="0" fontId="62" fillId="0" borderId="11" xfId="0" applyFont="1" applyFill="1" applyBorder="1" applyAlignment="1" applyProtection="1">
      <alignment horizontal="center" vertical="center"/>
      <protection locked="0"/>
    </xf>
    <xf numFmtId="0" fontId="62" fillId="0" borderId="1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62" fillId="0" borderId="72" xfId="0" applyFont="1" applyFill="1" applyBorder="1" applyAlignment="1" applyProtection="1">
      <alignment horizontal="center" vertical="center"/>
      <protection locked="0"/>
    </xf>
    <xf numFmtId="0" fontId="62" fillId="0" borderId="13" xfId="0" applyFont="1" applyFill="1" applyBorder="1" applyAlignment="1" applyProtection="1">
      <alignment horizontal="center" vertical="center"/>
      <protection locked="0"/>
    </xf>
    <xf numFmtId="0" fontId="62" fillId="0" borderId="17" xfId="0" applyFont="1" applyFill="1" applyBorder="1" applyAlignment="1" applyProtection="1">
      <alignment horizontal="center" vertical="center"/>
      <protection locked="0"/>
    </xf>
    <xf numFmtId="0" fontId="62" fillId="0" borderId="12" xfId="0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vertical="center" wrapText="1"/>
    </xf>
    <xf numFmtId="0" fontId="9" fillId="8" borderId="13" xfId="62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68" xfId="0" applyBorder="1" applyAlignment="1">
      <alignment/>
    </xf>
    <xf numFmtId="4" fontId="0" fillId="0" borderId="0" xfId="0" applyNumberFormat="1" applyAlignment="1">
      <alignment/>
    </xf>
    <xf numFmtId="0" fontId="65" fillId="0" borderId="0" xfId="0" applyFont="1" applyAlignment="1">
      <alignment/>
    </xf>
    <xf numFmtId="4" fontId="0" fillId="0" borderId="22" xfId="0" applyNumberFormat="1" applyBorder="1" applyAlignment="1">
      <alignment/>
    </xf>
    <xf numFmtId="4" fontId="0" fillId="0" borderId="68" xfId="0" applyNumberFormat="1" applyBorder="1" applyAlignment="1">
      <alignment/>
    </xf>
    <xf numFmtId="4" fontId="42" fillId="0" borderId="50" xfId="66" applyNumberFormat="1" applyFont="1" applyBorder="1" applyAlignment="1" applyProtection="1">
      <alignment horizontal="right" vertical="center"/>
      <protection locked="0"/>
    </xf>
    <xf numFmtId="0" fontId="32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2" fontId="58" fillId="0" borderId="15" xfId="63" applyNumberFormat="1" applyFont="1" applyFill="1" applyBorder="1" applyAlignment="1">
      <alignment horizontal="left" vertical="center"/>
      <protection/>
    </xf>
    <xf numFmtId="2" fontId="58" fillId="0" borderId="0" xfId="63" applyNumberFormat="1" applyFont="1" applyFill="1" applyBorder="1" applyAlignment="1">
      <alignment horizontal="left" vertical="center"/>
      <protection/>
    </xf>
    <xf numFmtId="168" fontId="67" fillId="0" borderId="15" xfId="63" applyNumberFormat="1" applyFont="1" applyFill="1" applyBorder="1" applyAlignment="1">
      <alignment horizontal="left" vertical="center"/>
      <protection/>
    </xf>
    <xf numFmtId="0" fontId="68" fillId="0" borderId="15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32" fillId="0" borderId="42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 wrapText="1"/>
    </xf>
    <xf numFmtId="2" fontId="68" fillId="0" borderId="0" xfId="0" applyNumberFormat="1" applyFont="1" applyBorder="1" applyAlignment="1">
      <alignment horizontal="center" vertical="center" wrapText="1"/>
    </xf>
    <xf numFmtId="1" fontId="68" fillId="0" borderId="0" xfId="0" applyNumberFormat="1" applyFont="1" applyBorder="1" applyAlignment="1">
      <alignment horizontal="center" vertical="center"/>
    </xf>
    <xf numFmtId="208" fontId="68" fillId="0" borderId="0" xfId="0" applyNumberFormat="1" applyFont="1" applyBorder="1" applyAlignment="1">
      <alignment horizontal="center" vertical="center"/>
    </xf>
    <xf numFmtId="4" fontId="68" fillId="0" borderId="0" xfId="0" applyNumberFormat="1" applyFont="1" applyBorder="1" applyAlignment="1">
      <alignment horizontal="center" vertical="center"/>
    </xf>
    <xf numFmtId="1" fontId="43" fillId="0" borderId="0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 vertical="center" wrapText="1"/>
    </xf>
    <xf numFmtId="2" fontId="68" fillId="0" borderId="0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horizontal="left" vertical="center"/>
    </xf>
    <xf numFmtId="0" fontId="32" fillId="0" borderId="15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14" fontId="68" fillId="0" borderId="0" xfId="0" applyNumberFormat="1" applyFont="1" applyBorder="1" applyAlignment="1">
      <alignment horizontal="center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43" fillId="0" borderId="0" xfId="56" applyFont="1" applyAlignment="1">
      <alignment vertical="center"/>
      <protection/>
    </xf>
    <xf numFmtId="1" fontId="69" fillId="8" borderId="13" xfId="59" applyNumberFormat="1" applyFont="1" applyFill="1" applyBorder="1" applyAlignment="1">
      <alignment horizontal="center" vertical="center"/>
      <protection/>
    </xf>
    <xf numFmtId="0" fontId="42" fillId="0" borderId="58" xfId="56" applyFont="1" applyBorder="1" applyAlignment="1">
      <alignment horizontal="center" vertical="center" wrapText="1"/>
      <protection/>
    </xf>
    <xf numFmtId="0" fontId="42" fillId="0" borderId="19" xfId="56" applyFont="1" applyBorder="1" applyAlignment="1">
      <alignment horizontal="center" vertical="center" wrapText="1"/>
      <protection/>
    </xf>
    <xf numFmtId="0" fontId="42" fillId="0" borderId="20" xfId="56" applyFont="1" applyBorder="1" applyAlignment="1">
      <alignment horizontal="center" vertical="center" wrapText="1"/>
      <protection/>
    </xf>
    <xf numFmtId="0" fontId="42" fillId="0" borderId="15" xfId="56" applyFont="1" applyBorder="1" applyAlignment="1">
      <alignment horizontal="left" vertical="center"/>
      <protection/>
    </xf>
    <xf numFmtId="0" fontId="42" fillId="0" borderId="55" xfId="56" applyFont="1" applyBorder="1" applyAlignment="1">
      <alignment horizontal="left" vertical="center"/>
      <protection/>
    </xf>
    <xf numFmtId="0" fontId="42" fillId="0" borderId="44" xfId="56" applyFont="1" applyBorder="1" applyAlignment="1">
      <alignment horizontal="center" vertical="center" wrapText="1"/>
      <protection/>
    </xf>
    <xf numFmtId="0" fontId="42" fillId="0" borderId="27" xfId="56" applyFont="1" applyBorder="1" applyAlignment="1">
      <alignment horizontal="center" vertical="center" wrapText="1"/>
      <protection/>
    </xf>
    <xf numFmtId="0" fontId="42" fillId="0" borderId="15" xfId="56" applyFont="1" applyBorder="1" applyAlignment="1">
      <alignment horizontal="center" vertical="center" wrapText="1"/>
      <protection/>
    </xf>
    <xf numFmtId="0" fontId="42" fillId="0" borderId="0" xfId="56" applyFont="1" applyBorder="1" applyAlignment="1">
      <alignment horizontal="center" vertical="center" wrapText="1"/>
      <protection/>
    </xf>
    <xf numFmtId="0" fontId="43" fillId="0" borderId="26" xfId="56" applyFont="1" applyBorder="1" applyAlignment="1">
      <alignment horizontal="left" vertical="center" wrapText="1"/>
      <protection/>
    </xf>
    <xf numFmtId="0" fontId="42" fillId="0" borderId="26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horizontal="left" vertical="center" wrapText="1"/>
      <protection/>
    </xf>
    <xf numFmtId="0" fontId="42" fillId="0" borderId="19" xfId="56" applyFont="1" applyBorder="1" applyAlignment="1">
      <alignment horizontal="right" vertical="center" wrapText="1"/>
      <protection/>
    </xf>
    <xf numFmtId="177" fontId="42" fillId="0" borderId="20" xfId="52" applyNumberFormat="1" applyFont="1" applyBorder="1" applyAlignment="1">
      <alignment vertical="center"/>
    </xf>
    <xf numFmtId="0" fontId="42" fillId="0" borderId="20" xfId="56" applyFont="1" applyBorder="1" applyAlignment="1">
      <alignment vertical="center"/>
      <protection/>
    </xf>
    <xf numFmtId="0" fontId="42" fillId="0" borderId="0" xfId="56" applyFont="1" applyAlignment="1">
      <alignment vertical="center"/>
      <protection/>
    </xf>
    <xf numFmtId="177" fontId="42" fillId="22" borderId="0" xfId="56" applyNumberFormat="1" applyFont="1" applyFill="1" applyBorder="1" applyAlignment="1">
      <alignment vertical="center"/>
      <protection/>
    </xf>
    <xf numFmtId="0" fontId="43" fillId="0" borderId="0" xfId="56" applyFont="1" applyBorder="1" applyAlignment="1" applyProtection="1">
      <alignment vertical="center"/>
      <protection locked="0"/>
    </xf>
    <xf numFmtId="0" fontId="40" fillId="0" borderId="0" xfId="56" applyFont="1" applyAlignment="1">
      <alignment horizontal="center" vertical="center"/>
      <protection/>
    </xf>
    <xf numFmtId="0" fontId="72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3" fillId="0" borderId="56" xfId="56" applyFont="1" applyBorder="1" applyAlignment="1">
      <alignment vertical="center" wrapText="1"/>
      <protection/>
    </xf>
    <xf numFmtId="3" fontId="43" fillId="27" borderId="0" xfId="69" applyNumberFormat="1" applyFont="1" applyFill="1" applyBorder="1" applyAlignment="1">
      <alignment vertical="center"/>
      <protection/>
    </xf>
    <xf numFmtId="3" fontId="43" fillId="15" borderId="0" xfId="69" applyNumberFormat="1" applyFont="1" applyFill="1" applyBorder="1" applyAlignment="1">
      <alignment vertical="center"/>
      <protection/>
    </xf>
    <xf numFmtId="3" fontId="43" fillId="7" borderId="0" xfId="69" applyNumberFormat="1" applyFont="1" applyFill="1" applyBorder="1" applyAlignment="1">
      <alignment vertical="center"/>
      <protection/>
    </xf>
    <xf numFmtId="3" fontId="43" fillId="22" borderId="0" xfId="69" applyNumberFormat="1" applyFont="1" applyFill="1" applyBorder="1" applyAlignment="1">
      <alignment vertical="center"/>
      <protection/>
    </xf>
    <xf numFmtId="3" fontId="54" fillId="15" borderId="0" xfId="69" applyNumberFormat="1" applyFont="1" applyFill="1" applyBorder="1" applyAlignment="1">
      <alignment vertical="center"/>
      <protection/>
    </xf>
    <xf numFmtId="177" fontId="42" fillId="26" borderId="18" xfId="52" applyNumberFormat="1" applyFont="1" applyFill="1" applyBorder="1" applyAlignment="1">
      <alignment vertical="center"/>
    </xf>
    <xf numFmtId="177" fontId="43" fillId="0" borderId="60" xfId="52" applyNumberFormat="1" applyFont="1" applyBorder="1" applyAlignment="1" applyProtection="1">
      <alignment vertical="center"/>
      <protection locked="0"/>
    </xf>
    <xf numFmtId="177" fontId="43" fillId="0" borderId="102" xfId="52" applyNumberFormat="1" applyFont="1" applyBorder="1" applyAlignment="1" applyProtection="1">
      <alignment vertical="center"/>
      <protection locked="0"/>
    </xf>
    <xf numFmtId="177" fontId="43" fillId="0" borderId="103" xfId="52" applyNumberFormat="1" applyFont="1" applyBorder="1" applyAlignment="1" applyProtection="1">
      <alignment vertical="center"/>
      <protection locked="0"/>
    </xf>
    <xf numFmtId="177" fontId="43" fillId="0" borderId="104" xfId="52" applyNumberFormat="1" applyFont="1" applyBorder="1" applyAlignment="1" applyProtection="1">
      <alignment vertical="center"/>
      <protection locked="0"/>
    </xf>
    <xf numFmtId="0" fontId="43" fillId="0" borderId="60" xfId="56" applyFont="1" applyBorder="1" applyAlignment="1">
      <alignment vertical="center"/>
      <protection/>
    </xf>
    <xf numFmtId="0" fontId="43" fillId="0" borderId="103" xfId="56" applyFont="1" applyBorder="1" applyAlignment="1">
      <alignment vertical="center"/>
      <protection/>
    </xf>
    <xf numFmtId="4" fontId="42" fillId="26" borderId="18" xfId="52" applyNumberFormat="1" applyFont="1" applyFill="1" applyBorder="1" applyAlignment="1">
      <alignment vertical="center"/>
    </xf>
    <xf numFmtId="0" fontId="42" fillId="0" borderId="61" xfId="56" applyFont="1" applyBorder="1" applyAlignment="1">
      <alignment horizontal="center" vertical="center" wrapText="1"/>
      <protection/>
    </xf>
    <xf numFmtId="177" fontId="43" fillId="0" borderId="105" xfId="52" applyNumberFormat="1" applyFont="1" applyBorder="1" applyAlignment="1" applyProtection="1">
      <alignment vertical="center"/>
      <protection locked="0"/>
    </xf>
    <xf numFmtId="177" fontId="43" fillId="0" borderId="0" xfId="52" applyNumberFormat="1" applyFont="1" applyBorder="1" applyAlignment="1" applyProtection="1">
      <alignment vertical="center"/>
      <protection locked="0"/>
    </xf>
    <xf numFmtId="177" fontId="43" fillId="0" borderId="56" xfId="52" applyNumberFormat="1" applyFont="1" applyBorder="1" applyAlignment="1" applyProtection="1">
      <alignment vertical="center"/>
      <protection locked="0"/>
    </xf>
    <xf numFmtId="3" fontId="43" fillId="11" borderId="0" xfId="69" applyNumberFormat="1" applyFont="1" applyFill="1" applyBorder="1" applyAlignment="1">
      <alignment vertical="center"/>
      <protection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17" fontId="43" fillId="0" borderId="51" xfId="0" applyNumberFormat="1" applyFont="1" applyBorder="1" applyAlignment="1">
      <alignment horizontal="center" vertical="center"/>
    </xf>
    <xf numFmtId="17" fontId="43" fillId="0" borderId="52" xfId="0" applyNumberFormat="1" applyFont="1" applyBorder="1" applyAlignment="1">
      <alignment horizontal="center" vertical="center"/>
    </xf>
    <xf numFmtId="17" fontId="43" fillId="0" borderId="53" xfId="0" applyNumberFormat="1" applyFont="1" applyBorder="1" applyAlignment="1">
      <alignment horizontal="center" vertical="center"/>
    </xf>
    <xf numFmtId="0" fontId="43" fillId="16" borderId="15" xfId="0" applyFont="1" applyFill="1" applyBorder="1" applyAlignment="1">
      <alignment vertical="center"/>
    </xf>
    <xf numFmtId="0" fontId="43" fillId="16" borderId="0" xfId="0" applyFont="1" applyFill="1" applyBorder="1" applyAlignment="1">
      <alignment vertical="center"/>
    </xf>
    <xf numFmtId="0" fontId="43" fillId="16" borderId="22" xfId="0" applyFont="1" applyFill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3" fillId="0" borderId="79" xfId="0" applyFont="1" applyBorder="1" applyAlignment="1">
      <alignment vertical="center"/>
    </xf>
    <xf numFmtId="0" fontId="43" fillId="0" borderId="49" xfId="0" applyFont="1" applyBorder="1" applyAlignment="1">
      <alignment vertical="center"/>
    </xf>
    <xf numFmtId="0" fontId="43" fillId="0" borderId="57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59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42" fillId="0" borderId="52" xfId="0" applyFont="1" applyBorder="1" applyAlignment="1">
      <alignment vertical="center"/>
    </xf>
    <xf numFmtId="0" fontId="42" fillId="0" borderId="53" xfId="0" applyFont="1" applyBorder="1" applyAlignment="1">
      <alignment vertical="center"/>
    </xf>
    <xf numFmtId="0" fontId="42" fillId="0" borderId="53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 wrapText="1"/>
    </xf>
    <xf numFmtId="0" fontId="42" fillId="0" borderId="43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74" fillId="0" borderId="0" xfId="0" applyFont="1" applyBorder="1" applyAlignment="1">
      <alignment horizontal="left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center" vertical="center"/>
    </xf>
    <xf numFmtId="0" fontId="74" fillId="0" borderId="78" xfId="0" applyFont="1" applyBorder="1" applyAlignment="1">
      <alignment horizontal="center" vertical="center" wrapText="1"/>
    </xf>
    <xf numFmtId="0" fontId="77" fillId="0" borderId="79" xfId="0" applyFont="1" applyBorder="1" applyAlignment="1">
      <alignment horizontal="center" vertical="center" wrapText="1"/>
    </xf>
    <xf numFmtId="0" fontId="74" fillId="0" borderId="79" xfId="0" applyFont="1" applyBorder="1" applyAlignment="1">
      <alignment horizontal="center" vertical="center" wrapText="1"/>
    </xf>
    <xf numFmtId="0" fontId="74" fillId="0" borderId="49" xfId="0" applyFont="1" applyBorder="1" applyAlignment="1">
      <alignment horizontal="center" vertical="center" wrapText="1"/>
    </xf>
    <xf numFmtId="0" fontId="74" fillId="0" borderId="0" xfId="0" applyFont="1" applyAlignment="1">
      <alignment horizontal="center" wrapText="1"/>
    </xf>
    <xf numFmtId="0" fontId="74" fillId="0" borderId="17" xfId="0" applyFont="1" applyBorder="1" applyAlignment="1">
      <alignment horizontal="center"/>
    </xf>
    <xf numFmtId="0" fontId="78" fillId="0" borderId="17" xfId="0" applyFont="1" applyBorder="1" applyAlignment="1">
      <alignment/>
    </xf>
    <xf numFmtId="0" fontId="78" fillId="0" borderId="0" xfId="0" applyFont="1" applyAlignment="1">
      <alignment/>
    </xf>
    <xf numFmtId="0" fontId="74" fillId="0" borderId="79" xfId="0" applyFont="1" applyBorder="1" applyAlignment="1">
      <alignment horizontal="center" vertical="center"/>
    </xf>
    <xf numFmtId="0" fontId="74" fillId="0" borderId="49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/>
    </xf>
    <xf numFmtId="0" fontId="78" fillId="0" borderId="64" xfId="0" applyFont="1" applyBorder="1" applyAlignment="1">
      <alignment/>
    </xf>
    <xf numFmtId="0" fontId="78" fillId="0" borderId="12" xfId="0" applyFont="1" applyBorder="1" applyAlignment="1">
      <alignment/>
    </xf>
    <xf numFmtId="0" fontId="78" fillId="0" borderId="58" xfId="0" applyFont="1" applyBorder="1" applyAlignment="1">
      <alignment/>
    </xf>
    <xf numFmtId="0" fontId="78" fillId="0" borderId="19" xfId="0" applyFont="1" applyBorder="1" applyAlignment="1">
      <alignment/>
    </xf>
    <xf numFmtId="0" fontId="78" fillId="0" borderId="20" xfId="0" applyFont="1" applyBorder="1" applyAlignment="1">
      <alignment/>
    </xf>
    <xf numFmtId="0" fontId="74" fillId="0" borderId="106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17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17" xfId="0" applyBorder="1" applyAlignment="1">
      <alignment wrapText="1"/>
    </xf>
    <xf numFmtId="4" fontId="0" fillId="0" borderId="17" xfId="0" applyNumberFormat="1" applyBorder="1" applyAlignment="1">
      <alignment/>
    </xf>
    <xf numFmtId="0" fontId="28" fillId="0" borderId="17" xfId="0" applyFont="1" applyBorder="1" applyAlignment="1">
      <alignment horizontal="right"/>
    </xf>
    <xf numFmtId="4" fontId="28" fillId="0" borderId="17" xfId="0" applyNumberFormat="1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4" fontId="28" fillId="0" borderId="0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center"/>
    </xf>
    <xf numFmtId="0" fontId="28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8" fillId="0" borderId="53" xfId="0" applyFont="1" applyBorder="1" applyAlignment="1">
      <alignment horizontal="center"/>
    </xf>
    <xf numFmtId="0" fontId="28" fillId="0" borderId="71" xfId="0" applyFont="1" applyBorder="1" applyAlignment="1">
      <alignment/>
    </xf>
    <xf numFmtId="0" fontId="28" fillId="0" borderId="72" xfId="0" applyFont="1" applyBorder="1" applyAlignment="1">
      <alignment/>
    </xf>
    <xf numFmtId="0" fontId="28" fillId="0" borderId="64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65" xfId="0" applyFont="1" applyBorder="1" applyAlignment="1">
      <alignment/>
    </xf>
    <xf numFmtId="0" fontId="28" fillId="0" borderId="48" xfId="0" applyFont="1" applyBorder="1" applyAlignment="1">
      <alignment/>
    </xf>
    <xf numFmtId="0" fontId="28" fillId="0" borderId="58" xfId="0" applyFont="1" applyBorder="1" applyAlignment="1">
      <alignment/>
    </xf>
    <xf numFmtId="4" fontId="55" fillId="0" borderId="17" xfId="0" applyNumberFormat="1" applyFont="1" applyFill="1" applyBorder="1" applyAlignment="1" applyProtection="1">
      <alignment horizontal="right" vertical="center"/>
      <protection locked="0"/>
    </xf>
    <xf numFmtId="4" fontId="43" fillId="0" borderId="0" xfId="0" applyNumberFormat="1" applyFont="1" applyFill="1" applyAlignment="1">
      <alignment vertical="center"/>
    </xf>
    <xf numFmtId="0" fontId="43" fillId="0" borderId="65" xfId="0" applyFont="1" applyBorder="1" applyAlignment="1" applyProtection="1">
      <alignment horizontal="left" vertical="center" wrapText="1"/>
      <protection locked="0"/>
    </xf>
    <xf numFmtId="4" fontId="43" fillId="0" borderId="48" xfId="0" applyNumberFormat="1" applyFont="1" applyBorder="1" applyAlignment="1" applyProtection="1">
      <alignment horizontal="right" vertical="center"/>
      <protection locked="0"/>
    </xf>
    <xf numFmtId="4" fontId="43" fillId="0" borderId="25" xfId="0" applyNumberFormat="1" applyFont="1" applyBorder="1" applyAlignment="1" applyProtection="1">
      <alignment horizontal="right" vertical="center"/>
      <protection locked="0"/>
    </xf>
    <xf numFmtId="0" fontId="43" fillId="0" borderId="24" xfId="0" applyFont="1" applyBorder="1" applyAlignment="1" applyProtection="1">
      <alignment horizontal="left" vertical="center" wrapText="1"/>
      <protection locked="0"/>
    </xf>
    <xf numFmtId="4" fontId="55" fillId="0" borderId="12" xfId="0" applyNumberFormat="1" applyFont="1" applyFill="1" applyBorder="1" applyAlignment="1" applyProtection="1">
      <alignment horizontal="right" vertical="center"/>
      <protection locked="0"/>
    </xf>
    <xf numFmtId="0" fontId="43" fillId="0" borderId="64" xfId="0" applyFont="1" applyFill="1" applyBorder="1" applyAlignment="1" applyProtection="1">
      <alignment horizontal="left" vertical="center" wrapText="1"/>
      <protection locked="0"/>
    </xf>
    <xf numFmtId="0" fontId="43" fillId="0" borderId="63" xfId="0" applyFont="1" applyBorder="1" applyAlignment="1" applyProtection="1">
      <alignment horizontal="left" vertical="center"/>
      <protection locked="0"/>
    </xf>
    <xf numFmtId="0" fontId="43" fillId="0" borderId="63" xfId="0" applyFont="1" applyBorder="1" applyAlignment="1" applyProtection="1">
      <alignment horizontal="left" vertical="center" wrapText="1"/>
      <protection locked="0"/>
    </xf>
    <xf numFmtId="0" fontId="43" fillId="0" borderId="63" xfId="0" applyFont="1" applyFill="1" applyBorder="1" applyAlignment="1" applyProtection="1">
      <alignment horizontal="left" vertical="center"/>
      <protection locked="0"/>
    </xf>
    <xf numFmtId="0" fontId="43" fillId="0" borderId="63" xfId="0" applyFont="1" applyFill="1" applyBorder="1" applyAlignment="1" applyProtection="1">
      <alignment horizontal="left" vertical="center" wrapText="1"/>
      <protection locked="0"/>
    </xf>
    <xf numFmtId="0" fontId="42" fillId="0" borderId="51" xfId="0" applyFont="1" applyBorder="1" applyAlignment="1">
      <alignment horizontal="center" vertical="center"/>
    </xf>
    <xf numFmtId="4" fontId="42" fillId="0" borderId="52" xfId="0" applyNumberFormat="1" applyFont="1" applyBorder="1" applyAlignment="1" applyProtection="1">
      <alignment horizontal="right" vertical="center"/>
      <protection/>
    </xf>
    <xf numFmtId="0" fontId="42" fillId="0" borderId="52" xfId="0" applyFont="1" applyBorder="1" applyAlignment="1">
      <alignment horizontal="center" vertical="center"/>
    </xf>
    <xf numFmtId="4" fontId="42" fillId="0" borderId="53" xfId="0" applyNumberFormat="1" applyFont="1" applyBorder="1" applyAlignment="1" applyProtection="1">
      <alignment horizontal="right" vertical="center"/>
      <protection/>
    </xf>
    <xf numFmtId="4" fontId="43" fillId="0" borderId="0" xfId="69" applyNumberFormat="1" applyFont="1" applyBorder="1" applyAlignment="1">
      <alignment vertical="center"/>
      <protection/>
    </xf>
    <xf numFmtId="4" fontId="42" fillId="0" borderId="26" xfId="56" applyNumberFormat="1" applyFont="1" applyBorder="1" applyAlignment="1">
      <alignment horizontal="right" vertical="center" wrapText="1"/>
      <protection/>
    </xf>
    <xf numFmtId="4" fontId="42" fillId="0" borderId="19" xfId="56" applyNumberFormat="1" applyFont="1" applyBorder="1" applyAlignment="1">
      <alignment horizontal="right" vertical="center" wrapText="1"/>
      <protection/>
    </xf>
    <xf numFmtId="4" fontId="43" fillId="0" borderId="26" xfId="56" applyNumberFormat="1" applyFont="1" applyBorder="1" applyAlignment="1">
      <alignment horizontal="right" vertical="center" wrapText="1"/>
      <protection/>
    </xf>
    <xf numFmtId="4" fontId="42" fillId="0" borderId="0" xfId="56" applyNumberFormat="1" applyFont="1" applyAlignment="1">
      <alignment vertical="center"/>
      <protection/>
    </xf>
    <xf numFmtId="4" fontId="43" fillId="0" borderId="98" xfId="56" applyNumberFormat="1" applyFont="1" applyBorder="1" applyAlignment="1">
      <alignment horizontal="right" vertical="center" wrapText="1"/>
      <protection/>
    </xf>
    <xf numFmtId="4" fontId="42" fillId="0" borderId="98" xfId="56" applyNumberFormat="1" applyFont="1" applyBorder="1" applyAlignment="1">
      <alignment horizontal="right" vertical="center" wrapText="1"/>
      <protection/>
    </xf>
    <xf numFmtId="4" fontId="42" fillId="0" borderId="58" xfId="56" applyNumberFormat="1" applyFont="1" applyBorder="1" applyAlignment="1">
      <alignment horizontal="right" vertical="center" wrapText="1"/>
      <protection/>
    </xf>
    <xf numFmtId="3" fontId="43" fillId="0" borderId="64" xfId="66" applyNumberFormat="1" applyFont="1" applyFill="1" applyBorder="1" applyAlignment="1" quotePrefix="1">
      <alignment horizontal="center" vertical="center" wrapText="1"/>
      <protection/>
    </xf>
    <xf numFmtId="0" fontId="43" fillId="0" borderId="17" xfId="66" applyFont="1" applyFill="1" applyBorder="1" applyAlignment="1">
      <alignment horizontal="left" vertical="center"/>
      <protection/>
    </xf>
    <xf numFmtId="4" fontId="43" fillId="16" borderId="43" xfId="0" applyNumberFormat="1" applyFont="1" applyFill="1" applyBorder="1" applyAlignment="1">
      <alignment vertical="center"/>
    </xf>
    <xf numFmtId="4" fontId="43" fillId="0" borderId="15" xfId="0" applyNumberFormat="1" applyFont="1" applyBorder="1" applyAlignment="1">
      <alignment vertical="center"/>
    </xf>
    <xf numFmtId="0" fontId="80" fillId="0" borderId="41" xfId="0" applyFont="1" applyBorder="1" applyAlignment="1">
      <alignment/>
    </xf>
    <xf numFmtId="4" fontId="42" fillId="0" borderId="17" xfId="60" applyNumberFormat="1" applyFont="1" applyBorder="1" applyAlignment="1" applyProtection="1">
      <alignment vertical="center"/>
      <protection locked="0"/>
    </xf>
    <xf numFmtId="4" fontId="43" fillId="0" borderId="0" xfId="56" applyNumberFormat="1" applyFont="1" applyAlignment="1">
      <alignment vertical="center"/>
      <protection/>
    </xf>
    <xf numFmtId="43" fontId="42" fillId="0" borderId="64" xfId="0" applyNumberFormat="1" applyFont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4" fontId="42" fillId="0" borderId="79" xfId="0" applyNumberFormat="1" applyFont="1" applyBorder="1" applyAlignment="1">
      <alignment vertical="center"/>
    </xf>
    <xf numFmtId="4" fontId="43" fillId="0" borderId="57" xfId="0" applyNumberFormat="1" applyFont="1" applyBorder="1" applyAlignment="1">
      <alignment vertical="center"/>
    </xf>
    <xf numFmtId="4" fontId="42" fillId="0" borderId="57" xfId="0" applyNumberFormat="1" applyFont="1" applyBorder="1" applyAlignment="1">
      <alignment vertical="center"/>
    </xf>
    <xf numFmtId="4" fontId="43" fillId="0" borderId="11" xfId="0" applyNumberFormat="1" applyFont="1" applyBorder="1" applyAlignment="1">
      <alignment vertical="center"/>
    </xf>
    <xf numFmtId="4" fontId="43" fillId="0" borderId="19" xfId="0" applyNumberFormat="1" applyFont="1" applyBorder="1" applyAlignment="1">
      <alignment vertical="center"/>
    </xf>
    <xf numFmtId="177" fontId="43" fillId="0" borderId="0" xfId="66" applyNumberFormat="1" applyFont="1" applyAlignment="1">
      <alignment horizontal="center" vertical="center"/>
      <protection/>
    </xf>
    <xf numFmtId="0" fontId="30" fillId="0" borderId="17" xfId="65" applyFont="1" applyBorder="1" applyAlignment="1" applyProtection="1">
      <alignment vertical="center"/>
      <protection locked="0"/>
    </xf>
    <xf numFmtId="0" fontId="42" fillId="2" borderId="18" xfId="65" applyFont="1" applyFill="1" applyBorder="1" applyAlignment="1" applyProtection="1">
      <alignment horizontal="left" vertical="center" wrapText="1"/>
      <protection/>
    </xf>
    <xf numFmtId="0" fontId="42" fillId="0" borderId="51" xfId="65" applyFont="1" applyBorder="1" applyAlignment="1" applyProtection="1">
      <alignment horizontal="center" vertical="center"/>
      <protection/>
    </xf>
    <xf numFmtId="0" fontId="42" fillId="0" borderId="53" xfId="65" applyFont="1" applyBorder="1" applyAlignment="1" applyProtection="1">
      <alignment horizontal="center" vertical="center"/>
      <protection/>
    </xf>
    <xf numFmtId="0" fontId="42" fillId="2" borderId="17" xfId="65" applyFont="1" applyFill="1" applyBorder="1" applyAlignment="1" applyProtection="1">
      <alignment horizontal="left" vertical="center" wrapText="1"/>
      <protection/>
    </xf>
    <xf numFmtId="4" fontId="43" fillId="28" borderId="11" xfId="65" applyNumberFormat="1" applyFont="1" applyFill="1" applyBorder="1" applyAlignment="1" applyProtection="1">
      <alignment horizontal="center" vertical="center"/>
      <protection/>
    </xf>
    <xf numFmtId="177" fontId="52" fillId="7" borderId="11" xfId="44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/>
    </xf>
    <xf numFmtId="0" fontId="43" fillId="0" borderId="17" xfId="65" applyFont="1" applyBorder="1" applyAlignment="1" applyProtection="1">
      <alignment vertical="center"/>
      <protection locked="0"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43" fillId="0" borderId="17" xfId="65" applyFont="1" applyFill="1" applyBorder="1" applyAlignment="1" applyProtection="1">
      <alignment vertical="center"/>
      <protection locked="0"/>
    </xf>
    <xf numFmtId="0" fontId="0" fillId="0" borderId="57" xfId="0" applyBorder="1" applyAlignment="1">
      <alignment horizontal="left" vertical="center"/>
    </xf>
    <xf numFmtId="0" fontId="42" fillId="0" borderId="17" xfId="65" applyFont="1" applyBorder="1" applyAlignment="1" applyProtection="1">
      <alignment vertical="center"/>
      <protection locked="0"/>
    </xf>
    <xf numFmtId="0" fontId="28" fillId="0" borderId="17" xfId="0" applyFont="1" applyFill="1" applyBorder="1" applyAlignment="1">
      <alignment/>
    </xf>
    <xf numFmtId="0" fontId="42" fillId="0" borderId="17" xfId="65" applyFont="1" applyBorder="1" applyAlignment="1" applyProtection="1">
      <alignment horizontal="center" vertical="center"/>
      <protection/>
    </xf>
    <xf numFmtId="4" fontId="43" fillId="29" borderId="17" xfId="65" applyNumberFormat="1" applyFont="1" applyFill="1" applyBorder="1" applyAlignment="1" applyProtection="1">
      <alignment horizontal="center" vertical="center"/>
      <protection/>
    </xf>
    <xf numFmtId="4" fontId="43" fillId="0" borderId="0" xfId="0" applyNumberFormat="1" applyFont="1" applyAlignment="1" applyProtection="1">
      <alignment vertical="center"/>
      <protection/>
    </xf>
    <xf numFmtId="3" fontId="82" fillId="0" borderId="0" xfId="69" applyNumberFormat="1" applyFont="1" applyBorder="1" applyAlignment="1">
      <alignment vertical="center"/>
      <protection/>
    </xf>
    <xf numFmtId="6" fontId="83" fillId="0" borderId="0" xfId="0" applyNumberFormat="1" applyFont="1" applyAlignment="1">
      <alignment/>
    </xf>
    <xf numFmtId="43" fontId="43" fillId="0" borderId="12" xfId="0" applyNumberFormat="1" applyFont="1" applyFill="1" applyBorder="1" applyAlignment="1" applyProtection="1">
      <alignment vertical="center"/>
      <protection locked="0"/>
    </xf>
    <xf numFmtId="43" fontId="43" fillId="0" borderId="0" xfId="0" applyNumberFormat="1" applyFont="1" applyAlignment="1">
      <alignment vertical="center"/>
    </xf>
    <xf numFmtId="43" fontId="43" fillId="0" borderId="14" xfId="0" applyNumberFormat="1" applyFont="1" applyFill="1" applyBorder="1" applyAlignment="1" applyProtection="1">
      <alignment vertical="center"/>
      <protection locked="0"/>
    </xf>
    <xf numFmtId="0" fontId="43" fillId="0" borderId="23" xfId="0" applyFont="1" applyBorder="1" applyAlignment="1">
      <alignment vertical="center" wrapText="1"/>
    </xf>
    <xf numFmtId="0" fontId="43" fillId="0" borderId="105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80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167" fontId="43" fillId="0" borderId="0" xfId="50" applyFont="1" applyAlignment="1">
      <alignment vertical="center"/>
    </xf>
    <xf numFmtId="4" fontId="43" fillId="0" borderId="0" xfId="0" applyNumberFormat="1" applyFont="1" applyAlignment="1">
      <alignment horizontal="center" vertical="center"/>
    </xf>
    <xf numFmtId="43" fontId="43" fillId="0" borderId="0" xfId="0" applyNumberFormat="1" applyFont="1" applyBorder="1" applyAlignment="1">
      <alignment vertical="center"/>
    </xf>
    <xf numFmtId="4" fontId="54" fillId="0" borderId="0" xfId="0" applyNumberFormat="1" applyFont="1" applyAlignment="1">
      <alignment vertical="center"/>
    </xf>
    <xf numFmtId="3" fontId="43" fillId="0" borderId="17" xfId="0" applyNumberFormat="1" applyFont="1" applyBorder="1" applyAlignment="1">
      <alignment horizontal="center" vertical="center" wrapText="1"/>
    </xf>
    <xf numFmtId="167" fontId="43" fillId="0" borderId="17" xfId="50" applyFont="1" applyBorder="1" applyAlignment="1">
      <alignment horizontal="right" vertical="center" wrapText="1"/>
    </xf>
    <xf numFmtId="167" fontId="43" fillId="0" borderId="12" xfId="50" applyFont="1" applyBorder="1" applyAlignment="1">
      <alignment horizontal="right" vertical="center" wrapText="1"/>
    </xf>
    <xf numFmtId="167" fontId="43" fillId="0" borderId="0" xfId="50" applyFont="1" applyAlignment="1">
      <alignment horizontal="center" vertical="center"/>
    </xf>
    <xf numFmtId="43" fontId="43" fillId="0" borderId="0" xfId="0" applyNumberFormat="1" applyFont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172" fontId="42" fillId="0" borderId="19" xfId="0" applyNumberFormat="1" applyFont="1" applyBorder="1" applyAlignment="1">
      <alignment horizontal="right" vertical="center" wrapText="1"/>
    </xf>
    <xf numFmtId="167" fontId="42" fillId="0" borderId="0" xfId="0" applyNumberFormat="1" applyFont="1" applyAlignment="1">
      <alignment horizontal="center" vertical="center"/>
    </xf>
    <xf numFmtId="4" fontId="54" fillId="0" borderId="0" xfId="0" applyNumberFormat="1" applyFont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0" fontId="42" fillId="0" borderId="56" xfId="0" applyFont="1" applyBorder="1" applyAlignment="1">
      <alignment vertical="center" wrapText="1"/>
    </xf>
    <xf numFmtId="44" fontId="78" fillId="0" borderId="64" xfId="0" applyNumberFormat="1" applyFont="1" applyBorder="1" applyAlignment="1">
      <alignment/>
    </xf>
    <xf numFmtId="44" fontId="78" fillId="0" borderId="17" xfId="0" applyNumberFormat="1" applyFont="1" applyBorder="1" applyAlignment="1">
      <alignment/>
    </xf>
    <xf numFmtId="172" fontId="74" fillId="0" borderId="17" xfId="52" applyNumberFormat="1" applyFont="1" applyBorder="1" applyAlignment="1">
      <alignment horizontal="center"/>
    </xf>
    <xf numFmtId="44" fontId="74" fillId="0" borderId="17" xfId="0" applyNumberFormat="1" applyFont="1" applyBorder="1" applyAlignment="1">
      <alignment horizontal="center"/>
    </xf>
    <xf numFmtId="172" fontId="78" fillId="0" borderId="0" xfId="0" applyNumberFormat="1" applyFont="1" applyAlignment="1">
      <alignment/>
    </xf>
    <xf numFmtId="44" fontId="78" fillId="0" borderId="0" xfId="0" applyNumberFormat="1" applyFont="1" applyAlignment="1">
      <alignment/>
    </xf>
    <xf numFmtId="172" fontId="84" fillId="0" borderId="0" xfId="0" applyNumberFormat="1" applyFont="1" applyAlignment="1">
      <alignment/>
    </xf>
    <xf numFmtId="44" fontId="84" fillId="0" borderId="0" xfId="0" applyNumberFormat="1" applyFont="1" applyAlignment="1">
      <alignment/>
    </xf>
    <xf numFmtId="0" fontId="81" fillId="0" borderId="0" xfId="0" applyFont="1" applyAlignment="1">
      <alignment horizontal="center"/>
    </xf>
    <xf numFmtId="0" fontId="81" fillId="0" borderId="0" xfId="0" applyFont="1" applyAlignment="1">
      <alignment/>
    </xf>
    <xf numFmtId="172" fontId="78" fillId="0" borderId="0" xfId="52" applyNumberFormat="1" applyFont="1" applyAlignment="1">
      <alignment/>
    </xf>
    <xf numFmtId="172" fontId="75" fillId="0" borderId="0" xfId="52" applyNumberFormat="1" applyFont="1" applyAlignment="1">
      <alignment/>
    </xf>
    <xf numFmtId="172" fontId="75" fillId="0" borderId="0" xfId="0" applyNumberFormat="1" applyFont="1" applyAlignment="1">
      <alignment/>
    </xf>
    <xf numFmtId="172" fontId="74" fillId="0" borderId="0" xfId="52" applyNumberFormat="1" applyFont="1" applyBorder="1" applyAlignment="1">
      <alignment/>
    </xf>
    <xf numFmtId="172" fontId="74" fillId="0" borderId="0" xfId="0" applyNumberFormat="1" applyFont="1" applyBorder="1" applyAlignment="1">
      <alignment/>
    </xf>
    <xf numFmtId="172" fontId="74" fillId="0" borderId="0" xfId="52" applyNumberFormat="1" applyFont="1" applyAlignment="1">
      <alignment horizontal="center"/>
    </xf>
    <xf numFmtId="172" fontId="74" fillId="0" borderId="0" xfId="0" applyNumberFormat="1" applyFont="1" applyAlignment="1">
      <alignment horizontal="center"/>
    </xf>
    <xf numFmtId="172" fontId="74" fillId="0" borderId="0" xfId="52" applyNumberFormat="1" applyFont="1" applyAlignment="1">
      <alignment horizontal="center" vertical="center"/>
    </xf>
    <xf numFmtId="172" fontId="74" fillId="0" borderId="0" xfId="0" applyNumberFormat="1" applyFont="1" applyAlignment="1">
      <alignment horizontal="center" vertical="center"/>
    </xf>
    <xf numFmtId="172" fontId="74" fillId="0" borderId="79" xfId="52" applyNumberFormat="1" applyFont="1" applyBorder="1" applyAlignment="1">
      <alignment horizontal="center" vertical="center" wrapText="1"/>
    </xf>
    <xf numFmtId="170" fontId="74" fillId="0" borderId="79" xfId="0" applyNumberFormat="1" applyFont="1" applyBorder="1" applyAlignment="1">
      <alignment horizontal="center" vertical="center"/>
    </xf>
    <xf numFmtId="170" fontId="74" fillId="0" borderId="49" xfId="0" applyNumberFormat="1" applyFont="1" applyBorder="1" applyAlignment="1">
      <alignment horizontal="center" vertical="center"/>
    </xf>
    <xf numFmtId="172" fontId="74" fillId="0" borderId="79" xfId="0" applyNumberFormat="1" applyFont="1" applyBorder="1" applyAlignment="1">
      <alignment horizontal="center" vertical="center" wrapText="1"/>
    </xf>
    <xf numFmtId="0" fontId="74" fillId="0" borderId="55" xfId="0" applyFont="1" applyBorder="1" applyAlignment="1">
      <alignment horizontal="center" wrapText="1"/>
    </xf>
    <xf numFmtId="0" fontId="81" fillId="0" borderId="64" xfId="0" applyFont="1" applyBorder="1" applyAlignment="1">
      <alignment horizontal="center"/>
    </xf>
    <xf numFmtId="0" fontId="81" fillId="0" borderId="17" xfId="0" applyFont="1" applyBorder="1" applyAlignment="1">
      <alignment/>
    </xf>
    <xf numFmtId="172" fontId="78" fillId="0" borderId="17" xfId="52" applyNumberFormat="1" applyFont="1" applyBorder="1" applyAlignment="1">
      <alignment/>
    </xf>
    <xf numFmtId="172" fontId="78" fillId="0" borderId="17" xfId="0" applyNumberFormat="1" applyFont="1" applyBorder="1" applyAlignment="1">
      <alignment/>
    </xf>
    <xf numFmtId="172" fontId="78" fillId="0" borderId="12" xfId="0" applyNumberFormat="1" applyFont="1" applyBorder="1" applyAlignment="1">
      <alignment/>
    </xf>
    <xf numFmtId="172" fontId="78" fillId="26" borderId="17" xfId="52" applyNumberFormat="1" applyFont="1" applyFill="1" applyBorder="1" applyAlignment="1">
      <alignment/>
    </xf>
    <xf numFmtId="172" fontId="78" fillId="26" borderId="17" xfId="0" applyNumberFormat="1" applyFont="1" applyFill="1" applyBorder="1" applyAlignment="1">
      <alignment/>
    </xf>
    <xf numFmtId="172" fontId="78" fillId="0" borderId="17" xfId="0" applyNumberFormat="1" applyFont="1" applyFill="1" applyBorder="1" applyAlignment="1">
      <alignment/>
    </xf>
    <xf numFmtId="0" fontId="74" fillId="0" borderId="17" xfId="0" applyFont="1" applyBorder="1" applyAlignment="1">
      <alignment horizontal="right"/>
    </xf>
    <xf numFmtId="172" fontId="74" fillId="0" borderId="17" xfId="0" applyNumberFormat="1" applyFont="1" applyBorder="1" applyAlignment="1">
      <alignment horizontal="center"/>
    </xf>
    <xf numFmtId="0" fontId="78" fillId="0" borderId="0" xfId="0" applyFont="1" applyFill="1" applyAlignment="1">
      <alignment/>
    </xf>
    <xf numFmtId="172" fontId="78" fillId="0" borderId="0" xfId="0" applyNumberFormat="1" applyFont="1" applyBorder="1" applyAlignment="1">
      <alignment/>
    </xf>
    <xf numFmtId="0" fontId="81" fillId="26" borderId="64" xfId="0" applyFont="1" applyFill="1" applyBorder="1" applyAlignment="1">
      <alignment horizontal="center"/>
    </xf>
    <xf numFmtId="0" fontId="81" fillId="0" borderId="17" xfId="0" applyFont="1" applyFill="1" applyBorder="1" applyAlignment="1">
      <alignment/>
    </xf>
    <xf numFmtId="172" fontId="78" fillId="0" borderId="17" xfId="52" applyNumberFormat="1" applyFont="1" applyFill="1" applyBorder="1" applyAlignment="1">
      <alignment/>
    </xf>
    <xf numFmtId="0" fontId="81" fillId="0" borderId="58" xfId="0" applyFont="1" applyBorder="1" applyAlignment="1">
      <alignment horizontal="center"/>
    </xf>
    <xf numFmtId="0" fontId="81" fillId="0" borderId="19" xfId="0" applyFont="1" applyBorder="1" applyAlignment="1">
      <alignment/>
    </xf>
    <xf numFmtId="172" fontId="78" fillId="0" borderId="19" xfId="52" applyNumberFormat="1" applyFont="1" applyBorder="1" applyAlignment="1">
      <alignment/>
    </xf>
    <xf numFmtId="172" fontId="78" fillId="0" borderId="19" xfId="0" applyNumberFormat="1" applyFont="1" applyBorder="1" applyAlignment="1">
      <alignment/>
    </xf>
    <xf numFmtId="0" fontId="74" fillId="0" borderId="19" xfId="0" applyFont="1" applyBorder="1" applyAlignment="1">
      <alignment horizontal="center"/>
    </xf>
    <xf numFmtId="172" fontId="78" fillId="0" borderId="20" xfId="0" applyNumberFormat="1" applyFont="1" applyBorder="1" applyAlignment="1">
      <alignment/>
    </xf>
    <xf numFmtId="0" fontId="78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4" fillId="0" borderId="0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172" fontId="78" fillId="0" borderId="12" xfId="52" applyNumberFormat="1" applyFont="1" applyBorder="1" applyAlignment="1">
      <alignment/>
    </xf>
    <xf numFmtId="170" fontId="13" fillId="0" borderId="17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0" fontId="28" fillId="0" borderId="78" xfId="0" applyFont="1" applyBorder="1" applyAlignment="1">
      <alignment horizontal="center"/>
    </xf>
    <xf numFmtId="0" fontId="28" fillId="0" borderId="79" xfId="0" applyFont="1" applyBorder="1" applyAlignment="1">
      <alignment horizontal="center"/>
    </xf>
    <xf numFmtId="172" fontId="0" fillId="0" borderId="17" xfId="0" applyNumberFormat="1" applyBorder="1" applyAlignment="1">
      <alignment/>
    </xf>
    <xf numFmtId="0" fontId="0" fillId="0" borderId="80" xfId="0" applyBorder="1" applyAlignment="1">
      <alignment/>
    </xf>
    <xf numFmtId="0" fontId="0" fillId="0" borderId="62" xfId="0" applyBorder="1" applyAlignment="1">
      <alignment/>
    </xf>
    <xf numFmtId="0" fontId="0" fillId="0" borderId="62" xfId="0" applyFont="1" applyBorder="1" applyAlignment="1">
      <alignment/>
    </xf>
    <xf numFmtId="0" fontId="0" fillId="0" borderId="107" xfId="0" applyBorder="1" applyAlignment="1">
      <alignment/>
    </xf>
    <xf numFmtId="172" fontId="0" fillId="0" borderId="48" xfId="0" applyNumberFormat="1" applyBorder="1" applyAlignment="1">
      <alignment/>
    </xf>
    <xf numFmtId="0" fontId="0" fillId="0" borderId="88" xfId="0" applyBorder="1" applyAlignment="1">
      <alignment/>
    </xf>
    <xf numFmtId="172" fontId="28" fillId="0" borderId="51" xfId="0" applyNumberFormat="1" applyFont="1" applyBorder="1" applyAlignment="1">
      <alignment horizontal="center"/>
    </xf>
    <xf numFmtId="172" fontId="28" fillId="0" borderId="53" xfId="0" applyNumberFormat="1" applyFont="1" applyBorder="1" applyAlignment="1">
      <alignment horizontal="center"/>
    </xf>
    <xf numFmtId="0" fontId="28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172" fontId="85" fillId="0" borderId="51" xfId="0" applyNumberFormat="1" applyFont="1" applyBorder="1" applyAlignment="1">
      <alignment horizontal="center"/>
    </xf>
    <xf numFmtId="172" fontId="85" fillId="0" borderId="53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43" fontId="43" fillId="0" borderId="17" xfId="0" applyNumberFormat="1" applyFont="1" applyBorder="1" applyAlignment="1" applyProtection="1">
      <alignment horizontal="center" vertical="center" wrapText="1"/>
      <protection locked="0"/>
    </xf>
    <xf numFmtId="43" fontId="42" fillId="0" borderId="17" xfId="0" applyNumberFormat="1" applyFont="1" applyFill="1" applyBorder="1" applyAlignment="1" applyProtection="1">
      <alignment horizontal="center" vertical="center" wrapText="1"/>
      <protection/>
    </xf>
    <xf numFmtId="43" fontId="43" fillId="0" borderId="17" xfId="0" applyNumberFormat="1" applyFont="1" applyFill="1" applyBorder="1" applyAlignment="1" applyProtection="1">
      <alignment horizontal="center" vertical="center" wrapText="1"/>
      <protection locked="0"/>
    </xf>
    <xf numFmtId="43" fontId="42" fillId="0" borderId="17" xfId="0" applyNumberFormat="1" applyFont="1" applyFill="1" applyBorder="1" applyAlignment="1" applyProtection="1">
      <alignment horizontal="center" vertical="center" wrapText="1"/>
      <protection locked="0"/>
    </xf>
    <xf numFmtId="43" fontId="43" fillId="0" borderId="12" xfId="0" applyNumberFormat="1" applyFont="1" applyBorder="1" applyAlignment="1" applyProtection="1">
      <alignment horizontal="center" vertical="center" wrapText="1"/>
      <protection locked="0"/>
    </xf>
    <xf numFmtId="43" fontId="43" fillId="0" borderId="17" xfId="0" applyNumberFormat="1" applyFont="1" applyBorder="1" applyAlignment="1" applyProtection="1">
      <alignment horizontal="center" vertical="center" wrapText="1"/>
      <protection/>
    </xf>
    <xf numFmtId="43" fontId="43" fillId="0" borderId="18" xfId="0" applyNumberFormat="1" applyFont="1" applyBorder="1" applyAlignment="1" applyProtection="1">
      <alignment vertical="center"/>
      <protection locked="0"/>
    </xf>
    <xf numFmtId="43" fontId="43" fillId="0" borderId="103" xfId="0" applyNumberFormat="1" applyFont="1" applyBorder="1" applyAlignment="1" applyProtection="1">
      <alignment vertical="center"/>
      <protection locked="0"/>
    </xf>
    <xf numFmtId="43" fontId="42" fillId="0" borderId="17" xfId="0" applyNumberFormat="1" applyFont="1" applyBorder="1" applyAlignment="1" applyProtection="1">
      <alignment vertical="center"/>
      <protection locked="0"/>
    </xf>
    <xf numFmtId="43" fontId="42" fillId="0" borderId="18" xfId="0" applyNumberFormat="1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103" xfId="0" applyFont="1" applyBorder="1" applyAlignment="1" applyProtection="1">
      <alignment horizontal="center" vertical="center"/>
      <protection locked="0"/>
    </xf>
    <xf numFmtId="0" fontId="43" fillId="0" borderId="19" xfId="0" applyFont="1" applyBorder="1" applyAlignment="1" applyProtection="1">
      <alignment horizontal="center" vertical="center"/>
      <protection locked="0"/>
    </xf>
    <xf numFmtId="4" fontId="1" fillId="0" borderId="17" xfId="0" applyNumberFormat="1" applyFont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7" xfId="50" applyNumberFormat="1" applyFont="1" applyBorder="1" applyAlignment="1">
      <alignment horizontal="center"/>
    </xf>
    <xf numFmtId="4" fontId="0" fillId="0" borderId="17" xfId="50" applyNumberFormat="1" applyFont="1" applyFill="1" applyBorder="1" applyAlignment="1">
      <alignment horizontal="center"/>
    </xf>
    <xf numFmtId="4" fontId="42" fillId="0" borderId="17" xfId="65" applyNumberFormat="1" applyFont="1" applyFill="1" applyBorder="1" applyAlignment="1" applyProtection="1">
      <alignment horizontal="center" vertical="center"/>
      <protection/>
    </xf>
    <xf numFmtId="4" fontId="28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4" fontId="86" fillId="0" borderId="0" xfId="0" applyNumberFormat="1" applyFont="1" applyAlignment="1">
      <alignment/>
    </xf>
    <xf numFmtId="167" fontId="43" fillId="0" borderId="0" xfId="50" applyFont="1" applyFill="1" applyAlignment="1">
      <alignment vertical="center"/>
    </xf>
    <xf numFmtId="4" fontId="43" fillId="0" borderId="0" xfId="60" applyNumberFormat="1" applyFont="1" applyFill="1" applyAlignment="1">
      <alignment horizontal="center" vertical="center"/>
      <protection/>
    </xf>
    <xf numFmtId="43" fontId="43" fillId="0" borderId="0" xfId="55" applyNumberFormat="1" applyFont="1" applyAlignment="1">
      <alignment vertical="center"/>
      <protection/>
    </xf>
    <xf numFmtId="4" fontId="43" fillId="0" borderId="27" xfId="0" applyNumberFormat="1" applyFont="1" applyBorder="1" applyAlignment="1">
      <alignment horizontal="right" vertical="center"/>
    </xf>
    <xf numFmtId="4" fontId="54" fillId="0" borderId="0" xfId="66" applyNumberFormat="1" applyFont="1" applyFill="1" applyBorder="1" applyAlignment="1">
      <alignment horizontal="left" vertical="center"/>
      <protection/>
    </xf>
    <xf numFmtId="3" fontId="54" fillId="0" borderId="0" xfId="67" applyNumberFormat="1" applyFont="1">
      <alignment/>
      <protection/>
    </xf>
    <xf numFmtId="177" fontId="54" fillId="0" borderId="0" xfId="67" applyNumberFormat="1" applyFont="1">
      <alignment/>
      <protection/>
    </xf>
    <xf numFmtId="173" fontId="54" fillId="0" borderId="0" xfId="55" applyNumberFormat="1" applyFont="1" applyAlignment="1">
      <alignment vertical="center"/>
      <protection/>
    </xf>
    <xf numFmtId="0" fontId="54" fillId="0" borderId="0" xfId="55" applyFont="1" applyAlignment="1">
      <alignment vertical="center"/>
      <protection/>
    </xf>
    <xf numFmtId="4" fontId="45" fillId="0" borderId="0" xfId="55" applyNumberFormat="1" applyFont="1" applyAlignment="1">
      <alignment vertical="center"/>
      <protection/>
    </xf>
    <xf numFmtId="0" fontId="45" fillId="0" borderId="0" xfId="55" applyFont="1" applyAlignment="1">
      <alignment vertical="center"/>
      <protection/>
    </xf>
    <xf numFmtId="4" fontId="54" fillId="0" borderId="0" xfId="55" applyNumberFormat="1" applyFont="1" applyAlignment="1">
      <alignment vertical="center"/>
      <protection/>
    </xf>
    <xf numFmtId="0" fontId="42" fillId="0" borderId="0" xfId="0" applyFont="1" applyBorder="1" applyAlignment="1">
      <alignment vertical="center" wrapText="1"/>
    </xf>
    <xf numFmtId="0" fontId="43" fillId="0" borderId="56" xfId="0" applyFont="1" applyBorder="1" applyAlignment="1">
      <alignment vertical="center"/>
    </xf>
    <xf numFmtId="0" fontId="43" fillId="0" borderId="80" xfId="0" applyFont="1" applyBorder="1" applyAlignment="1">
      <alignment vertical="center"/>
    </xf>
    <xf numFmtId="167" fontId="43" fillId="0" borderId="0" xfId="50" applyFont="1" applyBorder="1" applyAlignment="1">
      <alignment vertical="center" wrapText="1"/>
    </xf>
    <xf numFmtId="167" fontId="42" fillId="0" borderId="0" xfId="50" applyFont="1" applyBorder="1" applyAlignment="1">
      <alignment vertical="center" wrapText="1"/>
    </xf>
    <xf numFmtId="167" fontId="42" fillId="0" borderId="56" xfId="50" applyFont="1" applyBorder="1" applyAlignment="1">
      <alignment vertical="center" wrapText="1"/>
    </xf>
    <xf numFmtId="167" fontId="43" fillId="0" borderId="56" xfId="50" applyFont="1" applyBorder="1" applyAlignment="1">
      <alignment vertical="center" wrapText="1"/>
    </xf>
    <xf numFmtId="0" fontId="48" fillId="0" borderId="56" xfId="0" applyFont="1" applyBorder="1" applyAlignment="1">
      <alignment horizontal="center" vertical="center" wrapText="1"/>
    </xf>
    <xf numFmtId="0" fontId="48" fillId="0" borderId="56" xfId="0" applyFont="1" applyBorder="1" applyAlignment="1">
      <alignment vertical="center" wrapText="1"/>
    </xf>
    <xf numFmtId="0" fontId="48" fillId="0" borderId="56" xfId="0" applyFont="1" applyBorder="1" applyAlignment="1">
      <alignment vertical="center"/>
    </xf>
    <xf numFmtId="0" fontId="0" fillId="0" borderId="18" xfId="0" applyFont="1" applyFill="1" applyBorder="1" applyAlignment="1">
      <alignment/>
    </xf>
    <xf numFmtId="4" fontId="42" fillId="0" borderId="17" xfId="69" applyNumberFormat="1" applyFont="1" applyBorder="1" applyAlignment="1" applyProtection="1">
      <alignment horizontal="right" vertical="center"/>
      <protection locked="0"/>
    </xf>
    <xf numFmtId="4" fontId="42" fillId="0" borderId="17" xfId="69" applyNumberFormat="1" applyFont="1" applyFill="1" applyBorder="1" applyAlignment="1" applyProtection="1">
      <alignment horizontal="right" vertical="center"/>
      <protection locked="0"/>
    </xf>
    <xf numFmtId="4" fontId="42" fillId="0" borderId="26" xfId="56" applyNumberFormat="1" applyFont="1" applyBorder="1" applyAlignment="1">
      <alignment vertical="center" wrapText="1"/>
      <protection/>
    </xf>
    <xf numFmtId="2" fontId="42" fillId="0" borderId="26" xfId="56" applyNumberFormat="1" applyFont="1" applyBorder="1" applyAlignment="1">
      <alignment horizontal="right" vertical="center" wrapText="1"/>
      <protection/>
    </xf>
    <xf numFmtId="2" fontId="43" fillId="0" borderId="26" xfId="56" applyNumberFormat="1" applyFont="1" applyBorder="1" applyAlignment="1">
      <alignment horizontal="right" vertical="center" wrapText="1"/>
      <protection/>
    </xf>
    <xf numFmtId="2" fontId="42" fillId="0" borderId="26" xfId="56" applyNumberFormat="1" applyFont="1" applyBorder="1" applyAlignment="1">
      <alignment vertical="center" wrapText="1"/>
      <protection/>
    </xf>
    <xf numFmtId="4" fontId="0" fillId="0" borderId="17" xfId="50" applyNumberFormat="1" applyFont="1" applyFill="1" applyBorder="1" applyAlignment="1">
      <alignment horizontal="center"/>
    </xf>
    <xf numFmtId="4" fontId="13" fillId="0" borderId="17" xfId="0" applyNumberFormat="1" applyFont="1" applyFill="1" applyBorder="1" applyAlignment="1">
      <alignment horizontal="center"/>
    </xf>
    <xf numFmtId="3" fontId="42" fillId="0" borderId="12" xfId="0" applyNumberFormat="1" applyFont="1" applyFill="1" applyBorder="1" applyAlignment="1">
      <alignment vertical="center"/>
    </xf>
    <xf numFmtId="4" fontId="42" fillId="0" borderId="12" xfId="0" applyNumberFormat="1" applyFont="1" applyFill="1" applyBorder="1" applyAlignment="1">
      <alignment vertical="center"/>
    </xf>
    <xf numFmtId="4" fontId="0" fillId="0" borderId="17" xfId="5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2" xfId="0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43" fillId="27" borderId="0" xfId="69" applyNumberFormat="1" applyFont="1" applyFill="1" applyBorder="1" applyAlignment="1">
      <alignment vertical="center"/>
      <protection/>
    </xf>
    <xf numFmtId="3" fontId="82" fillId="27" borderId="0" xfId="69" applyNumberFormat="1" applyFont="1" applyFill="1" applyBorder="1" applyAlignment="1">
      <alignment vertical="center"/>
      <protection/>
    </xf>
    <xf numFmtId="4" fontId="43" fillId="11" borderId="0" xfId="69" applyNumberFormat="1" applyFont="1" applyFill="1" applyBorder="1" applyAlignment="1">
      <alignment vertical="center"/>
      <protection/>
    </xf>
    <xf numFmtId="3" fontId="82" fillId="11" borderId="0" xfId="69" applyNumberFormat="1" applyFont="1" applyFill="1" applyBorder="1" applyAlignment="1">
      <alignment vertical="center"/>
      <protection/>
    </xf>
    <xf numFmtId="0" fontId="0" fillId="0" borderId="45" xfId="0" applyFont="1" applyBorder="1" applyAlignment="1">
      <alignment/>
    </xf>
    <xf numFmtId="0" fontId="28" fillId="0" borderId="46" xfId="0" applyFont="1" applyBorder="1" applyAlignment="1">
      <alignment/>
    </xf>
    <xf numFmtId="10" fontId="0" fillId="0" borderId="47" xfId="72" applyNumberFormat="1" applyFont="1" applyBorder="1" applyAlignment="1">
      <alignment/>
    </xf>
    <xf numFmtId="9" fontId="43" fillId="0" borderId="0" xfId="69" applyNumberFormat="1" applyFont="1" applyBorder="1" applyAlignment="1">
      <alignment vertical="center"/>
      <protection/>
    </xf>
    <xf numFmtId="167" fontId="0" fillId="0" borderId="0" xfId="50" applyFont="1" applyAlignment="1">
      <alignment/>
    </xf>
    <xf numFmtId="0" fontId="87" fillId="0" borderId="0" xfId="0" applyFont="1" applyAlignment="1">
      <alignment/>
    </xf>
    <xf numFmtId="167" fontId="0" fillId="0" borderId="0" xfId="0" applyNumberFormat="1" applyAlignment="1">
      <alignment/>
    </xf>
    <xf numFmtId="172" fontId="28" fillId="0" borderId="69" xfId="0" applyNumberFormat="1" applyFont="1" applyBorder="1" applyAlignment="1">
      <alignment horizontal="center"/>
    </xf>
    <xf numFmtId="172" fontId="28" fillId="0" borderId="70" xfId="0" applyNumberFormat="1" applyFont="1" applyBorder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108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7" fontId="1" fillId="0" borderId="109" xfId="0" applyNumberFormat="1" applyFont="1" applyFill="1" applyBorder="1" applyAlignment="1">
      <alignment vertical="center"/>
    </xf>
    <xf numFmtId="177" fontId="0" fillId="0" borderId="110" xfId="0" applyNumberFormat="1" applyFont="1" applyBorder="1" applyAlignment="1">
      <alignment vertical="center"/>
    </xf>
    <xf numFmtId="0" fontId="11" fillId="0" borderId="0" xfId="0" applyFont="1" applyAlignment="1">
      <alignment horizontal="justify" vertical="justify" wrapText="1"/>
    </xf>
    <xf numFmtId="2" fontId="29" fillId="0" borderId="0" xfId="59" applyNumberFormat="1" applyFont="1" applyFill="1" applyBorder="1" applyAlignment="1">
      <alignment horizontal="left" vertical="center" wrapText="1"/>
      <protection/>
    </xf>
    <xf numFmtId="3" fontId="1" fillId="8" borderId="43" xfId="0" applyNumberFormat="1" applyFont="1" applyFill="1" applyBorder="1" applyAlignment="1" applyProtection="1">
      <alignment horizontal="center" vertical="center"/>
      <protection/>
    </xf>
    <xf numFmtId="3" fontId="1" fillId="8" borderId="44" xfId="0" applyNumberFormat="1" applyFont="1" applyFill="1" applyBorder="1" applyAlignment="1" applyProtection="1">
      <alignment horizontal="center" vertical="center"/>
      <protection/>
    </xf>
    <xf numFmtId="3" fontId="1" fillId="8" borderId="15" xfId="0" applyNumberFormat="1" applyFont="1" applyFill="1" applyBorder="1" applyAlignment="1" applyProtection="1">
      <alignment horizontal="center" vertical="center"/>
      <protection/>
    </xf>
    <xf numFmtId="3" fontId="1" fillId="8" borderId="26" xfId="0" applyNumberFormat="1" applyFont="1" applyFill="1" applyBorder="1" applyAlignment="1" applyProtection="1">
      <alignment horizontal="center" vertical="center"/>
      <protection/>
    </xf>
    <xf numFmtId="3" fontId="1" fillId="8" borderId="28" xfId="0" applyNumberFormat="1" applyFont="1" applyFill="1" applyBorder="1" applyAlignment="1" applyProtection="1">
      <alignment horizontal="center" vertical="center"/>
      <protection/>
    </xf>
    <xf numFmtId="3" fontId="1" fillId="8" borderId="29" xfId="0" applyNumberFormat="1" applyFont="1" applyFill="1" applyBorder="1" applyAlignment="1" applyProtection="1">
      <alignment horizontal="center" vertical="center"/>
      <protection/>
    </xf>
    <xf numFmtId="177" fontId="1" fillId="8" borderId="49" xfId="64" applyNumberFormat="1" applyFont="1" applyFill="1" applyBorder="1" applyAlignment="1" applyProtection="1">
      <alignment horizontal="center" vertical="center" wrapText="1"/>
      <protection/>
    </xf>
    <xf numFmtId="177" fontId="0" fillId="8" borderId="27" xfId="64" applyNumberFormat="1" applyFont="1" applyFill="1" applyBorder="1" applyAlignment="1">
      <alignment horizontal="center" vertical="center" wrapText="1"/>
      <protection/>
    </xf>
    <xf numFmtId="177" fontId="0" fillId="8" borderId="14" xfId="64" applyNumberFormat="1" applyFont="1" applyFill="1" applyBorder="1" applyAlignment="1">
      <alignment horizontal="center" vertical="center" wrapText="1"/>
      <protection/>
    </xf>
    <xf numFmtId="177" fontId="1" fillId="8" borderId="111" xfId="0" applyNumberFormat="1" applyFont="1" applyFill="1" applyBorder="1" applyAlignment="1" applyProtection="1">
      <alignment horizontal="center" vertical="center"/>
      <protection/>
    </xf>
    <xf numFmtId="177" fontId="0" fillId="8" borderId="112" xfId="0" applyNumberFormat="1" applyFont="1" applyFill="1" applyBorder="1" applyAlignment="1">
      <alignment horizontal="center" vertical="center"/>
    </xf>
    <xf numFmtId="177" fontId="0" fillId="8" borderId="113" xfId="0" applyNumberFormat="1" applyFont="1" applyFill="1" applyBorder="1" applyAlignment="1">
      <alignment horizontal="center" vertical="center"/>
    </xf>
    <xf numFmtId="177" fontId="1" fillId="0" borderId="37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0" fontId="8" fillId="25" borderId="71" xfId="62" applyFont="1" applyFill="1" applyBorder="1" applyAlignment="1">
      <alignment horizontal="center" vertical="center" wrapText="1"/>
      <protection/>
    </xf>
    <xf numFmtId="0" fontId="8" fillId="25" borderId="72" xfId="62" applyFont="1" applyFill="1" applyBorder="1" applyAlignment="1">
      <alignment horizontal="center" vertical="center" wrapText="1"/>
      <protection/>
    </xf>
    <xf numFmtId="2" fontId="64" fillId="8" borderId="64" xfId="62" applyNumberFormat="1" applyFont="1" applyFill="1" applyBorder="1" applyAlignment="1">
      <alignment horizontal="left" vertical="center"/>
      <protection/>
    </xf>
    <xf numFmtId="2" fontId="64" fillId="8" borderId="17" xfId="62" applyNumberFormat="1" applyFont="1" applyFill="1" applyBorder="1" applyAlignment="1">
      <alignment horizontal="left" vertical="center"/>
      <protection/>
    </xf>
    <xf numFmtId="2" fontId="64" fillId="8" borderId="12" xfId="62" applyNumberFormat="1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center"/>
    </xf>
    <xf numFmtId="2" fontId="9" fillId="8" borderId="64" xfId="62" applyNumberFormat="1" applyFont="1" applyFill="1" applyBorder="1" applyAlignment="1">
      <alignment horizontal="left" vertical="center"/>
      <protection/>
    </xf>
    <xf numFmtId="2" fontId="9" fillId="8" borderId="17" xfId="62" applyNumberFormat="1" applyFont="1" applyFill="1" applyBorder="1" applyAlignment="1">
      <alignment horizontal="left" vertical="center"/>
      <protection/>
    </xf>
    <xf numFmtId="2" fontId="9" fillId="8" borderId="12" xfId="62" applyNumberFormat="1" applyFont="1" applyFill="1" applyBorder="1" applyAlignment="1">
      <alignment horizontal="left" vertical="center"/>
      <protection/>
    </xf>
    <xf numFmtId="0" fontId="32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42" fillId="8" borderId="43" xfId="0" applyFont="1" applyFill="1" applyBorder="1" applyAlignment="1">
      <alignment horizontal="center" vertical="center"/>
    </xf>
    <xf numFmtId="0" fontId="42" fillId="8" borderId="55" xfId="0" applyFont="1" applyFill="1" applyBorder="1" applyAlignment="1">
      <alignment horizontal="center" vertical="center"/>
    </xf>
    <xf numFmtId="0" fontId="42" fillId="8" borderId="44" xfId="0" applyFont="1" applyFill="1" applyBorder="1" applyAlignment="1">
      <alignment horizontal="center" vertical="center"/>
    </xf>
    <xf numFmtId="0" fontId="42" fillId="8" borderId="49" xfId="0" applyFont="1" applyFill="1" applyBorder="1" applyAlignment="1">
      <alignment horizontal="center" vertical="center"/>
    </xf>
    <xf numFmtId="0" fontId="42" fillId="8" borderId="38" xfId="0" applyFont="1" applyFill="1" applyBorder="1" applyAlignment="1">
      <alignment horizontal="center" vertical="center"/>
    </xf>
    <xf numFmtId="0" fontId="42" fillId="8" borderId="41" xfId="0" applyFont="1" applyFill="1" applyBorder="1" applyAlignment="1">
      <alignment horizontal="center" vertical="center"/>
    </xf>
    <xf numFmtId="0" fontId="42" fillId="8" borderId="42" xfId="0" applyFont="1" applyFill="1" applyBorder="1" applyAlignment="1">
      <alignment horizontal="center" vertical="center"/>
    </xf>
    <xf numFmtId="0" fontId="42" fillId="8" borderId="54" xfId="0" applyFont="1" applyFill="1" applyBorder="1" applyAlignment="1">
      <alignment horizontal="center" vertical="center"/>
    </xf>
    <xf numFmtId="2" fontId="60" fillId="8" borderId="15" xfId="63" applyNumberFormat="1" applyFont="1" applyFill="1" applyBorder="1" applyAlignment="1">
      <alignment horizontal="left" vertical="center"/>
      <protection/>
    </xf>
    <xf numFmtId="2" fontId="60" fillId="8" borderId="0" xfId="63" applyNumberFormat="1" applyFont="1" applyFill="1" applyBorder="1" applyAlignment="1">
      <alignment horizontal="left" vertical="center"/>
      <protection/>
    </xf>
    <xf numFmtId="2" fontId="60" fillId="8" borderId="22" xfId="63" applyNumberFormat="1" applyFont="1" applyFill="1" applyBorder="1" applyAlignment="1">
      <alignment horizontal="left" vertical="center"/>
      <protection/>
    </xf>
    <xf numFmtId="177" fontId="42" fillId="8" borderId="111" xfId="0" applyNumberFormat="1" applyFont="1" applyFill="1" applyBorder="1" applyAlignment="1" applyProtection="1">
      <alignment horizontal="center" vertical="center"/>
      <protection/>
    </xf>
    <xf numFmtId="177" fontId="43" fillId="8" borderId="114" xfId="0" applyNumberFormat="1" applyFont="1" applyFill="1" applyBorder="1" applyAlignment="1">
      <alignment horizontal="center" vertical="center"/>
    </xf>
    <xf numFmtId="177" fontId="42" fillId="8" borderId="49" xfId="64" applyNumberFormat="1" applyFont="1" applyFill="1" applyBorder="1" applyAlignment="1" applyProtection="1">
      <alignment horizontal="center" vertical="center" wrapText="1"/>
      <protection/>
    </xf>
    <xf numFmtId="177" fontId="43" fillId="8" borderId="38" xfId="64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2" fontId="44" fillId="0" borderId="45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3" fontId="42" fillId="8" borderId="43" xfId="0" applyNumberFormat="1" applyFont="1" applyFill="1" applyBorder="1" applyAlignment="1" applyProtection="1">
      <alignment horizontal="center" vertical="center"/>
      <protection/>
    </xf>
    <xf numFmtId="3" fontId="42" fillId="8" borderId="44" xfId="0" applyNumberFormat="1" applyFont="1" applyFill="1" applyBorder="1" applyAlignment="1" applyProtection="1">
      <alignment horizontal="center" vertical="center"/>
      <protection/>
    </xf>
    <xf numFmtId="3" fontId="42" fillId="8" borderId="41" xfId="0" applyNumberFormat="1" applyFont="1" applyFill="1" applyBorder="1" applyAlignment="1" applyProtection="1">
      <alignment horizontal="center" vertical="center"/>
      <protection/>
    </xf>
    <xf numFmtId="3" fontId="42" fillId="8" borderId="54" xfId="0" applyNumberFormat="1" applyFont="1" applyFill="1" applyBorder="1" applyAlignment="1" applyProtection="1">
      <alignment horizontal="center" vertical="center"/>
      <protection/>
    </xf>
    <xf numFmtId="177" fontId="43" fillId="8" borderId="112" xfId="0" applyNumberFormat="1" applyFont="1" applyFill="1" applyBorder="1" applyAlignment="1">
      <alignment horizontal="center" vertical="center"/>
    </xf>
    <xf numFmtId="177" fontId="42" fillId="8" borderId="13" xfId="64" applyNumberFormat="1" applyFont="1" applyFill="1" applyBorder="1" applyAlignment="1" applyProtection="1">
      <alignment horizontal="center" vertical="center" wrapText="1"/>
      <protection/>
    </xf>
    <xf numFmtId="177" fontId="43" fillId="8" borderId="20" xfId="64" applyNumberFormat="1" applyFont="1" applyFill="1" applyBorder="1" applyAlignment="1">
      <alignment horizontal="center" vertical="center" wrapText="1"/>
      <protection/>
    </xf>
    <xf numFmtId="3" fontId="42" fillId="8" borderId="55" xfId="0" applyNumberFormat="1" applyFont="1" applyFill="1" applyBorder="1" applyAlignment="1" applyProtection="1">
      <alignment horizontal="center" vertical="center"/>
      <protection/>
    </xf>
    <xf numFmtId="3" fontId="42" fillId="8" borderId="42" xfId="0" applyNumberFormat="1" applyFont="1" applyFill="1" applyBorder="1" applyAlignment="1" applyProtection="1">
      <alignment horizontal="center" vertical="center"/>
      <protection/>
    </xf>
    <xf numFmtId="3" fontId="42" fillId="8" borderId="15" xfId="0" applyNumberFormat="1" applyFont="1" applyFill="1" applyBorder="1" applyAlignment="1" applyProtection="1">
      <alignment horizontal="center" vertical="center"/>
      <protection/>
    </xf>
    <xf numFmtId="3" fontId="42" fillId="8" borderId="26" xfId="0" applyNumberFormat="1" applyFont="1" applyFill="1" applyBorder="1" applyAlignment="1" applyProtection="1">
      <alignment horizontal="center" vertical="center"/>
      <protection/>
    </xf>
    <xf numFmtId="177" fontId="42" fillId="8" borderId="115" xfId="0" applyNumberFormat="1" applyFont="1" applyFill="1" applyBorder="1" applyAlignment="1" applyProtection="1">
      <alignment horizontal="center" vertical="center"/>
      <protection/>
    </xf>
    <xf numFmtId="177" fontId="43" fillId="8" borderId="116" xfId="0" applyNumberFormat="1" applyFont="1" applyFill="1" applyBorder="1" applyAlignment="1">
      <alignment horizontal="center" vertical="center"/>
    </xf>
    <xf numFmtId="177" fontId="42" fillId="8" borderId="81" xfId="64" applyNumberFormat="1" applyFont="1" applyFill="1" applyBorder="1" applyAlignment="1" applyProtection="1">
      <alignment horizontal="center" vertical="center" wrapText="1"/>
      <protection/>
    </xf>
    <xf numFmtId="177" fontId="43" fillId="8" borderId="68" xfId="64" applyNumberFormat="1" applyFont="1" applyFill="1" applyBorder="1" applyAlignment="1">
      <alignment horizontal="center" vertical="center" wrapText="1"/>
      <protection/>
    </xf>
    <xf numFmtId="2" fontId="60" fillId="0" borderId="48" xfId="60" applyNumberFormat="1" applyFont="1" applyFill="1" applyBorder="1" applyAlignment="1">
      <alignment horizontal="center" vertical="center"/>
      <protection/>
    </xf>
    <xf numFmtId="2" fontId="60" fillId="0" borderId="17" xfId="60" applyNumberFormat="1" applyFont="1" applyFill="1" applyBorder="1" applyAlignment="1">
      <alignment horizontal="center" vertical="center"/>
      <protection/>
    </xf>
    <xf numFmtId="2" fontId="59" fillId="8" borderId="18" xfId="60" applyNumberFormat="1" applyFont="1" applyFill="1" applyBorder="1" applyAlignment="1" applyProtection="1">
      <alignment horizontal="center" vertical="center"/>
      <protection locked="0"/>
    </xf>
    <xf numFmtId="2" fontId="59" fillId="8" borderId="104" xfId="60" applyNumberFormat="1" applyFont="1" applyFill="1" applyBorder="1" applyAlignment="1" applyProtection="1">
      <alignment horizontal="center" vertical="center"/>
      <protection locked="0"/>
    </xf>
    <xf numFmtId="2" fontId="59" fillId="8" borderId="63" xfId="60" applyNumberFormat="1" applyFont="1" applyFill="1" applyBorder="1" applyAlignment="1" applyProtection="1">
      <alignment horizontal="center" vertical="center"/>
      <protection locked="0"/>
    </xf>
    <xf numFmtId="0" fontId="58" fillId="25" borderId="18" xfId="60" applyFont="1" applyFill="1" applyBorder="1" applyAlignment="1">
      <alignment horizontal="center" vertical="center" wrapText="1"/>
      <protection/>
    </xf>
    <xf numFmtId="0" fontId="58" fillId="25" borderId="104" xfId="60" applyFont="1" applyFill="1" applyBorder="1" applyAlignment="1">
      <alignment horizontal="center" vertical="center" wrapText="1"/>
      <protection/>
    </xf>
    <xf numFmtId="0" fontId="58" fillId="25" borderId="63" xfId="60" applyFont="1" applyFill="1" applyBorder="1" applyAlignment="1">
      <alignment horizontal="center" vertical="center" wrapText="1"/>
      <protection/>
    </xf>
    <xf numFmtId="0" fontId="58" fillId="25" borderId="17" xfId="60" applyFont="1" applyFill="1" applyBorder="1" applyAlignment="1">
      <alignment horizontal="center" vertical="center" wrapText="1"/>
      <protection/>
    </xf>
    <xf numFmtId="2" fontId="60" fillId="8" borderId="18" xfId="59" applyNumberFormat="1" applyFont="1" applyFill="1" applyBorder="1" applyAlignment="1">
      <alignment horizontal="center" vertical="center" wrapText="1"/>
      <protection/>
    </xf>
    <xf numFmtId="2" fontId="60" fillId="8" borderId="104" xfId="59" applyNumberFormat="1" applyFont="1" applyFill="1" applyBorder="1" applyAlignment="1">
      <alignment horizontal="center" vertical="center" wrapText="1"/>
      <protection/>
    </xf>
    <xf numFmtId="2" fontId="60" fillId="8" borderId="63" xfId="59" applyNumberFormat="1" applyFont="1" applyFill="1" applyBorder="1" applyAlignment="1">
      <alignment horizontal="center" vertical="center" wrapText="1"/>
      <protection/>
    </xf>
    <xf numFmtId="168" fontId="60" fillId="0" borderId="17" xfId="60" applyNumberFormat="1" applyFont="1" applyFill="1" applyBorder="1" applyAlignment="1">
      <alignment horizontal="center" vertical="center" wrapText="1"/>
      <protection/>
    </xf>
    <xf numFmtId="2" fontId="58" fillId="8" borderId="18" xfId="60" applyNumberFormat="1" applyFont="1" applyFill="1" applyBorder="1" applyAlignment="1">
      <alignment horizontal="center" vertical="center"/>
      <protection/>
    </xf>
    <xf numFmtId="2" fontId="58" fillId="8" borderId="104" xfId="60" applyNumberFormat="1" applyFont="1" applyFill="1" applyBorder="1" applyAlignment="1">
      <alignment horizontal="center" vertical="center"/>
      <protection/>
    </xf>
    <xf numFmtId="3" fontId="42" fillId="16" borderId="23" xfId="70" applyNumberFormat="1" applyFont="1" applyFill="1" applyBorder="1" applyAlignment="1">
      <alignment horizontal="left" vertical="center" wrapText="1"/>
      <protection/>
    </xf>
    <xf numFmtId="3" fontId="42" fillId="16" borderId="24" xfId="70" applyNumberFormat="1" applyFont="1" applyFill="1" applyBorder="1" applyAlignment="1">
      <alignment horizontal="left" vertical="center" wrapText="1"/>
      <protection/>
    </xf>
    <xf numFmtId="0" fontId="42" fillId="25" borderId="71" xfId="61" applyFont="1" applyFill="1" applyBorder="1" applyAlignment="1">
      <alignment horizontal="center" vertical="center" wrapText="1"/>
      <protection/>
    </xf>
    <xf numFmtId="0" fontId="42" fillId="25" borderId="72" xfId="61" applyFont="1" applyFill="1" applyBorder="1" applyAlignment="1">
      <alignment horizontal="center" vertical="center" wrapText="1"/>
      <protection/>
    </xf>
    <xf numFmtId="0" fontId="42" fillId="25" borderId="117" xfId="61" applyFont="1" applyFill="1" applyBorder="1" applyAlignment="1">
      <alignment horizontal="center" vertical="center" wrapText="1"/>
      <protection/>
    </xf>
    <xf numFmtId="2" fontId="47" fillId="8" borderId="16" xfId="61" applyNumberFormat="1" applyFont="1" applyFill="1" applyBorder="1" applyAlignment="1">
      <alignment horizontal="left" vertical="center" wrapText="1"/>
      <protection/>
    </xf>
    <xf numFmtId="2" fontId="47" fillId="8" borderId="66" xfId="61" applyNumberFormat="1" applyFont="1" applyFill="1" applyBorder="1" applyAlignment="1">
      <alignment horizontal="left" vertical="center" wrapText="1"/>
      <protection/>
    </xf>
    <xf numFmtId="2" fontId="47" fillId="0" borderId="118" xfId="61" applyNumberFormat="1" applyFont="1" applyFill="1" applyBorder="1" applyAlignment="1">
      <alignment horizontal="center" vertical="center" wrapText="1"/>
      <protection/>
    </xf>
    <xf numFmtId="2" fontId="47" fillId="0" borderId="119" xfId="61" applyNumberFormat="1" applyFont="1" applyFill="1" applyBorder="1" applyAlignment="1">
      <alignment horizontal="center" vertical="center" wrapText="1"/>
      <protection/>
    </xf>
    <xf numFmtId="2" fontId="47" fillId="0" borderId="99" xfId="61" applyNumberFormat="1" applyFont="1" applyFill="1" applyBorder="1" applyAlignment="1">
      <alignment horizontal="center" vertical="center" wrapText="1"/>
      <protection/>
    </xf>
    <xf numFmtId="3" fontId="42" fillId="16" borderId="16" xfId="70" applyNumberFormat="1" applyFont="1" applyFill="1" applyBorder="1" applyAlignment="1">
      <alignment horizontal="left" vertical="center" wrapText="1"/>
      <protection/>
    </xf>
    <xf numFmtId="3" fontId="42" fillId="16" borderId="66" xfId="70" applyNumberFormat="1" applyFont="1" applyFill="1" applyBorder="1" applyAlignment="1">
      <alignment horizontal="left" vertical="center" wrapText="1"/>
      <protection/>
    </xf>
    <xf numFmtId="0" fontId="42" fillId="0" borderId="18" xfId="56" applyFont="1" applyBorder="1" applyAlignment="1">
      <alignment horizontal="center" vertical="center" wrapText="1"/>
      <protection/>
    </xf>
    <xf numFmtId="0" fontId="42" fillId="0" borderId="104" xfId="56" applyFont="1" applyBorder="1" applyAlignment="1">
      <alignment horizontal="center" vertical="center" wrapText="1"/>
      <protection/>
    </xf>
    <xf numFmtId="0" fontId="42" fillId="0" borderId="63" xfId="56" applyFont="1" applyBorder="1" applyAlignment="1">
      <alignment horizontal="center" vertical="center" wrapText="1"/>
      <protection/>
    </xf>
    <xf numFmtId="177" fontId="42" fillId="0" borderId="60" xfId="52" applyNumberFormat="1" applyFont="1" applyBorder="1" applyAlignment="1" applyProtection="1">
      <alignment horizontal="center" vertical="center"/>
      <protection locked="0"/>
    </xf>
    <xf numFmtId="177" fontId="42" fillId="0" borderId="105" xfId="52" applyNumberFormat="1" applyFont="1" applyBorder="1" applyAlignment="1" applyProtection="1">
      <alignment horizontal="center" vertical="center"/>
      <protection locked="0"/>
    </xf>
    <xf numFmtId="177" fontId="42" fillId="0" borderId="24" xfId="52" applyNumberFormat="1" applyFont="1" applyBorder="1" applyAlignment="1" applyProtection="1">
      <alignment horizontal="center" vertical="center"/>
      <protection locked="0"/>
    </xf>
    <xf numFmtId="0" fontId="43" fillId="0" borderId="18" xfId="56" applyFont="1" applyFill="1" applyBorder="1" applyAlignment="1">
      <alignment horizontal="center" vertical="center"/>
      <protection/>
    </xf>
    <xf numFmtId="0" fontId="43" fillId="0" borderId="104" xfId="56" applyFont="1" applyFill="1" applyBorder="1" applyAlignment="1">
      <alignment horizontal="center" vertical="center"/>
      <protection/>
    </xf>
    <xf numFmtId="0" fontId="43" fillId="0" borderId="63" xfId="56" applyFont="1" applyFill="1" applyBorder="1" applyAlignment="1">
      <alignment horizontal="center" vertical="center"/>
      <protection/>
    </xf>
    <xf numFmtId="0" fontId="43" fillId="0" borderId="60" xfId="56" applyFont="1" applyBorder="1" applyAlignment="1" applyProtection="1">
      <alignment horizontal="center" vertical="center"/>
      <protection locked="0"/>
    </xf>
    <xf numFmtId="0" fontId="43" fillId="0" borderId="105" xfId="56" applyFont="1" applyBorder="1" applyAlignment="1" applyProtection="1">
      <alignment horizontal="center" vertical="center"/>
      <protection locked="0"/>
    </xf>
    <xf numFmtId="0" fontId="43" fillId="0" borderId="24" xfId="56" applyFont="1" applyBorder="1" applyAlignment="1" applyProtection="1">
      <alignment horizontal="center" vertical="center"/>
      <protection locked="0"/>
    </xf>
    <xf numFmtId="0" fontId="43" fillId="0" borderId="102" xfId="56" applyFont="1" applyBorder="1" applyAlignment="1" applyProtection="1">
      <alignment horizontal="center" vertical="center"/>
      <protection locked="0"/>
    </xf>
    <xf numFmtId="0" fontId="43" fillId="0" borderId="0" xfId="56" applyFont="1" applyBorder="1" applyAlignment="1" applyProtection="1">
      <alignment horizontal="center" vertical="center"/>
      <protection locked="0"/>
    </xf>
    <xf numFmtId="0" fontId="43" fillId="0" borderId="26" xfId="56" applyFont="1" applyBorder="1" applyAlignment="1" applyProtection="1">
      <alignment horizontal="center" vertical="center"/>
      <protection locked="0"/>
    </xf>
    <xf numFmtId="0" fontId="43" fillId="0" borderId="103" xfId="56" applyFont="1" applyBorder="1" applyAlignment="1" applyProtection="1">
      <alignment horizontal="center" vertical="center"/>
      <protection locked="0"/>
    </xf>
    <xf numFmtId="0" fontId="43" fillId="0" borderId="56" xfId="56" applyFont="1" applyBorder="1" applyAlignment="1" applyProtection="1">
      <alignment horizontal="center" vertical="center"/>
      <protection locked="0"/>
    </xf>
    <xf numFmtId="0" fontId="43" fillId="0" borderId="29" xfId="56" applyFont="1" applyBorder="1" applyAlignment="1" applyProtection="1">
      <alignment horizontal="center" vertical="center"/>
      <protection locked="0"/>
    </xf>
    <xf numFmtId="0" fontId="42" fillId="0" borderId="60" xfId="56" applyFont="1" applyBorder="1" applyAlignment="1">
      <alignment horizontal="center" vertical="center" wrapText="1"/>
      <protection/>
    </xf>
    <xf numFmtId="0" fontId="42" fillId="0" borderId="105" xfId="56" applyFont="1" applyBorder="1" applyAlignment="1">
      <alignment horizontal="center" vertical="center" wrapText="1"/>
      <protection/>
    </xf>
    <xf numFmtId="0" fontId="42" fillId="0" borderId="24" xfId="56" applyFont="1" applyBorder="1" applyAlignment="1">
      <alignment horizontal="center" vertical="center" wrapText="1"/>
      <protection/>
    </xf>
    <xf numFmtId="0" fontId="32" fillId="25" borderId="118" xfId="59" applyFont="1" applyFill="1" applyBorder="1" applyAlignment="1">
      <alignment horizontal="center" vertical="center" wrapText="1"/>
      <protection/>
    </xf>
    <xf numFmtId="0" fontId="32" fillId="25" borderId="119" xfId="59" applyFont="1" applyFill="1" applyBorder="1" applyAlignment="1">
      <alignment horizontal="center" vertical="center" wrapText="1"/>
      <protection/>
    </xf>
    <xf numFmtId="0" fontId="32" fillId="25" borderId="74" xfId="59" applyFont="1" applyFill="1" applyBorder="1" applyAlignment="1">
      <alignment horizontal="center" vertical="center" wrapText="1"/>
      <protection/>
    </xf>
    <xf numFmtId="2" fontId="47" fillId="0" borderId="16" xfId="59" applyNumberFormat="1" applyFont="1" applyFill="1" applyBorder="1" applyAlignment="1">
      <alignment horizontal="center" vertical="center"/>
      <protection/>
    </xf>
    <xf numFmtId="2" fontId="47" fillId="0" borderId="66" xfId="59" applyNumberFormat="1" applyFont="1" applyFill="1" applyBorder="1" applyAlignment="1">
      <alignment horizontal="center" vertical="center"/>
      <protection/>
    </xf>
    <xf numFmtId="0" fontId="43" fillId="0" borderId="66" xfId="0" applyFont="1" applyBorder="1" applyAlignment="1">
      <alignment vertical="center"/>
    </xf>
    <xf numFmtId="0" fontId="43" fillId="0" borderId="88" xfId="0" applyFont="1" applyBorder="1" applyAlignment="1">
      <alignment vertical="center"/>
    </xf>
    <xf numFmtId="2" fontId="47" fillId="8" borderId="10" xfId="59" applyNumberFormat="1" applyFont="1" applyFill="1" applyBorder="1" applyAlignment="1">
      <alignment horizontal="left" vertical="center"/>
      <protection/>
    </xf>
    <xf numFmtId="2" fontId="47" fillId="8" borderId="104" xfId="59" applyNumberFormat="1" applyFont="1" applyFill="1" applyBorder="1" applyAlignment="1">
      <alignment horizontal="left" vertical="center"/>
      <protection/>
    </xf>
    <xf numFmtId="2" fontId="47" fillId="8" borderId="63" xfId="59" applyNumberFormat="1" applyFont="1" applyFill="1" applyBorder="1" applyAlignment="1">
      <alignment horizontal="left" vertical="center"/>
      <protection/>
    </xf>
    <xf numFmtId="0" fontId="42" fillId="0" borderId="71" xfId="56" applyFont="1" applyBorder="1" applyAlignment="1">
      <alignment horizontal="center" vertical="center" wrapText="1"/>
      <protection/>
    </xf>
    <xf numFmtId="0" fontId="42" fillId="0" borderId="72" xfId="56" applyFont="1" applyBorder="1" applyAlignment="1">
      <alignment horizontal="center" vertical="center" wrapText="1"/>
      <protection/>
    </xf>
    <xf numFmtId="0" fontId="42" fillId="0" borderId="58" xfId="56" applyFont="1" applyBorder="1" applyAlignment="1">
      <alignment horizontal="center" vertical="center" wrapText="1"/>
      <protection/>
    </xf>
    <xf numFmtId="0" fontId="42" fillId="0" borderId="19" xfId="56" applyFont="1" applyBorder="1" applyAlignment="1">
      <alignment horizontal="center" vertical="center" wrapText="1"/>
      <protection/>
    </xf>
    <xf numFmtId="0" fontId="42" fillId="0" borderId="13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vertical="center" wrapText="1"/>
      <protection/>
    </xf>
    <xf numFmtId="0" fontId="42" fillId="0" borderId="16" xfId="56" applyFont="1" applyBorder="1" applyAlignment="1">
      <alignment horizontal="center" vertical="center" wrapText="1"/>
      <protection/>
    </xf>
    <xf numFmtId="0" fontId="42" fillId="0" borderId="66" xfId="56" applyFont="1" applyBorder="1" applyAlignment="1">
      <alignment horizontal="center" vertical="center" wrapText="1"/>
      <protection/>
    </xf>
    <xf numFmtId="0" fontId="43" fillId="0" borderId="102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horizontal="center" vertical="center" wrapText="1"/>
      <protection/>
    </xf>
    <xf numFmtId="0" fontId="43" fillId="0" borderId="26" xfId="56" applyFont="1" applyBorder="1" applyAlignment="1">
      <alignment horizontal="center" vertical="center" wrapText="1"/>
      <protection/>
    </xf>
    <xf numFmtId="0" fontId="43" fillId="0" borderId="103" xfId="56" applyFont="1" applyBorder="1" applyAlignment="1">
      <alignment horizontal="center" vertical="center" wrapText="1"/>
      <protection/>
    </xf>
    <xf numFmtId="0" fontId="43" fillId="0" borderId="56" xfId="56" applyFont="1" applyBorder="1" applyAlignment="1">
      <alignment horizontal="center" vertical="center" wrapText="1"/>
      <protection/>
    </xf>
    <xf numFmtId="0" fontId="43" fillId="0" borderId="29" xfId="56" applyFont="1" applyBorder="1" applyAlignment="1">
      <alignment horizontal="center" vertical="center" wrapText="1"/>
      <protection/>
    </xf>
    <xf numFmtId="0" fontId="43" fillId="0" borderId="60" xfId="56" applyFont="1" applyBorder="1" applyAlignment="1">
      <alignment horizontal="center" vertical="center" wrapText="1"/>
      <protection/>
    </xf>
    <xf numFmtId="0" fontId="43" fillId="0" borderId="105" xfId="56" applyFont="1" applyBorder="1" applyAlignment="1">
      <alignment horizontal="center" vertical="center" wrapText="1"/>
      <protection/>
    </xf>
    <xf numFmtId="0" fontId="43" fillId="0" borderId="24" xfId="56" applyFont="1" applyBorder="1" applyAlignment="1">
      <alignment horizontal="center" vertical="center" wrapText="1"/>
      <protection/>
    </xf>
    <xf numFmtId="0" fontId="42" fillId="0" borderId="102" xfId="56" applyFont="1" applyBorder="1" applyAlignment="1">
      <alignment horizontal="center" vertical="center" wrapText="1"/>
      <protection/>
    </xf>
    <xf numFmtId="0" fontId="42" fillId="0" borderId="0" xfId="56" applyFont="1" applyBorder="1" applyAlignment="1">
      <alignment horizontal="center" vertical="center" wrapText="1"/>
      <protection/>
    </xf>
    <xf numFmtId="0" fontId="42" fillId="0" borderId="26" xfId="56" applyFont="1" applyBorder="1" applyAlignment="1">
      <alignment horizontal="center" vertical="center" wrapText="1"/>
      <protection/>
    </xf>
    <xf numFmtId="0" fontId="73" fillId="0" borderId="0" xfId="56" applyFont="1" applyAlignment="1">
      <alignment horizontal="left" vertical="center" wrapText="1"/>
      <protection/>
    </xf>
    <xf numFmtId="0" fontId="42" fillId="0" borderId="60" xfId="56" applyFont="1" applyBorder="1" applyAlignment="1">
      <alignment horizontal="center" vertical="center"/>
      <protection/>
    </xf>
    <xf numFmtId="0" fontId="42" fillId="0" borderId="105" xfId="56" applyFont="1" applyBorder="1" applyAlignment="1">
      <alignment horizontal="center" vertical="center"/>
      <protection/>
    </xf>
    <xf numFmtId="0" fontId="42" fillId="0" borderId="24" xfId="56" applyFont="1" applyBorder="1" applyAlignment="1">
      <alignment horizontal="center" vertical="center"/>
      <protection/>
    </xf>
    <xf numFmtId="0" fontId="42" fillId="0" borderId="18" xfId="56" applyFont="1" applyBorder="1" applyAlignment="1">
      <alignment horizontal="center" vertical="center"/>
      <protection/>
    </xf>
    <xf numFmtId="0" fontId="42" fillId="0" borderId="104" xfId="56" applyFont="1" applyBorder="1" applyAlignment="1">
      <alignment horizontal="center" vertical="center"/>
      <protection/>
    </xf>
    <xf numFmtId="0" fontId="42" fillId="0" borderId="63" xfId="56" applyFont="1" applyBorder="1" applyAlignment="1">
      <alignment horizontal="center" vertical="center"/>
      <protection/>
    </xf>
    <xf numFmtId="0" fontId="43" fillId="0" borderId="60" xfId="56" applyFont="1" applyBorder="1" applyAlignment="1">
      <alignment horizontal="center" vertical="center"/>
      <protection/>
    </xf>
    <xf numFmtId="0" fontId="43" fillId="0" borderId="105" xfId="56" applyFont="1" applyBorder="1" applyAlignment="1">
      <alignment horizontal="center" vertical="center"/>
      <protection/>
    </xf>
    <xf numFmtId="0" fontId="43" fillId="0" borderId="24" xfId="56" applyFont="1" applyBorder="1" applyAlignment="1">
      <alignment horizontal="center" vertical="center"/>
      <protection/>
    </xf>
    <xf numFmtId="0" fontId="42" fillId="0" borderId="103" xfId="56" applyFont="1" applyBorder="1" applyAlignment="1">
      <alignment horizontal="center" vertical="center"/>
      <protection/>
    </xf>
    <xf numFmtId="0" fontId="42" fillId="0" borderId="56" xfId="56" applyFont="1" applyBorder="1" applyAlignment="1">
      <alignment horizontal="center" vertical="center"/>
      <protection/>
    </xf>
    <xf numFmtId="0" fontId="42" fillId="0" borderId="29" xfId="56" applyFont="1" applyBorder="1" applyAlignment="1">
      <alignment horizontal="center" vertical="center"/>
      <protection/>
    </xf>
    <xf numFmtId="0" fontId="43" fillId="0" borderId="103" xfId="56" applyFont="1" applyBorder="1" applyAlignment="1">
      <alignment horizontal="center" vertical="center"/>
      <protection/>
    </xf>
    <xf numFmtId="0" fontId="43" fillId="0" borderId="56" xfId="56" applyFont="1" applyBorder="1" applyAlignment="1">
      <alignment horizontal="center" vertical="center"/>
      <protection/>
    </xf>
    <xf numFmtId="0" fontId="43" fillId="0" borderId="29" xfId="56" applyFont="1" applyBorder="1" applyAlignment="1">
      <alignment horizontal="center" vertical="center"/>
      <protection/>
    </xf>
    <xf numFmtId="0" fontId="42" fillId="8" borderId="16" xfId="0" applyFont="1" applyFill="1" applyBorder="1" applyAlignment="1">
      <alignment horizontal="center" vertical="center"/>
    </xf>
    <xf numFmtId="0" fontId="42" fillId="8" borderId="66" xfId="0" applyFont="1" applyFill="1" applyBorder="1" applyAlignment="1">
      <alignment horizontal="center" vertical="center"/>
    </xf>
    <xf numFmtId="0" fontId="42" fillId="8" borderId="88" xfId="0" applyFont="1" applyFill="1" applyBorder="1" applyAlignment="1">
      <alignment horizontal="center" vertical="center"/>
    </xf>
    <xf numFmtId="0" fontId="42" fillId="8" borderId="81" xfId="0" applyFont="1" applyFill="1" applyBorder="1" applyAlignment="1">
      <alignment horizontal="center" vertical="center"/>
    </xf>
    <xf numFmtId="0" fontId="42" fillId="8" borderId="28" xfId="0" applyFont="1" applyFill="1" applyBorder="1" applyAlignment="1">
      <alignment horizontal="center" vertical="center"/>
    </xf>
    <xf numFmtId="0" fontId="42" fillId="8" borderId="56" xfId="0" applyFont="1" applyFill="1" applyBorder="1" applyAlignment="1">
      <alignment horizontal="center" vertical="center"/>
    </xf>
    <xf numFmtId="0" fontId="42" fillId="8" borderId="80" xfId="0" applyFont="1" applyFill="1" applyBorder="1" applyAlignment="1">
      <alignment horizontal="center" vertical="center"/>
    </xf>
    <xf numFmtId="0" fontId="42" fillId="0" borderId="76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76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2" fontId="42" fillId="8" borderId="16" xfId="0" applyNumberFormat="1" applyFont="1" applyFill="1" applyBorder="1" applyAlignment="1">
      <alignment horizontal="left" vertical="center"/>
    </xf>
    <xf numFmtId="0" fontId="42" fillId="8" borderId="66" xfId="0" applyFont="1" applyFill="1" applyBorder="1" applyAlignment="1">
      <alignment horizontal="left" vertical="center"/>
    </xf>
    <xf numFmtId="0" fontId="42" fillId="25" borderId="71" xfId="59" applyFont="1" applyFill="1" applyBorder="1" applyAlignment="1">
      <alignment horizontal="center" vertical="center" wrapText="1"/>
      <protection/>
    </xf>
    <xf numFmtId="0" fontId="42" fillId="25" borderId="72" xfId="59" applyFont="1" applyFill="1" applyBorder="1" applyAlignment="1">
      <alignment horizontal="center" vertical="center" wrapText="1"/>
      <protection/>
    </xf>
    <xf numFmtId="1" fontId="42" fillId="25" borderId="72" xfId="59" applyNumberFormat="1" applyFont="1" applyFill="1" applyBorder="1" applyAlignment="1">
      <alignment horizontal="center" vertical="center" wrapText="1"/>
      <protection/>
    </xf>
    <xf numFmtId="1" fontId="42" fillId="25" borderId="13" xfId="59" applyNumberFormat="1" applyFont="1" applyFill="1" applyBorder="1" applyAlignment="1">
      <alignment horizontal="center" vertical="center" wrapText="1"/>
      <protection/>
    </xf>
    <xf numFmtId="2" fontId="47" fillId="0" borderId="64" xfId="59" applyNumberFormat="1" applyFont="1" applyFill="1" applyBorder="1" applyAlignment="1">
      <alignment horizontal="center" vertical="center" wrapText="1"/>
      <protection/>
    </xf>
    <xf numFmtId="2" fontId="47" fillId="0" borderId="17" xfId="59" applyNumberFormat="1" applyFont="1" applyFill="1" applyBorder="1" applyAlignment="1">
      <alignment horizontal="center" vertical="center" wrapText="1"/>
      <protection/>
    </xf>
    <xf numFmtId="2" fontId="47" fillId="0" borderId="12" xfId="59" applyNumberFormat="1" applyFont="1" applyFill="1" applyBorder="1" applyAlignment="1">
      <alignment horizontal="center" vertical="center" wrapText="1"/>
      <protection/>
    </xf>
    <xf numFmtId="0" fontId="43" fillId="8" borderId="64" xfId="55" applyFont="1" applyFill="1" applyBorder="1" applyAlignment="1">
      <alignment vertical="center" wrapText="1"/>
      <protection/>
    </xf>
    <xf numFmtId="0" fontId="43" fillId="8" borderId="17" xfId="55" applyFont="1" applyFill="1" applyBorder="1" applyAlignment="1">
      <alignment vertical="center" wrapText="1"/>
      <protection/>
    </xf>
    <xf numFmtId="0" fontId="43" fillId="8" borderId="12" xfId="55" applyFont="1" applyFill="1" applyBorder="1" applyAlignment="1">
      <alignment vertical="center" wrapText="1"/>
      <protection/>
    </xf>
    <xf numFmtId="0" fontId="42" fillId="0" borderId="64" xfId="55" applyFont="1" applyBorder="1" applyAlignment="1">
      <alignment horizontal="center" vertical="center" wrapText="1"/>
      <protection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12" xfId="55" applyFont="1" applyBorder="1" applyAlignment="1">
      <alignment horizontal="center" vertical="center" wrapText="1"/>
      <protection/>
    </xf>
    <xf numFmtId="2" fontId="47" fillId="8" borderId="64" xfId="59" applyNumberFormat="1" applyFont="1" applyFill="1" applyBorder="1" applyAlignment="1">
      <alignment horizontal="center" vertical="center" wrapText="1"/>
      <protection/>
    </xf>
    <xf numFmtId="2" fontId="47" fillId="8" borderId="17" xfId="59" applyNumberFormat="1" applyFont="1" applyFill="1" applyBorder="1" applyAlignment="1">
      <alignment horizontal="center" vertical="center" wrapText="1"/>
      <protection/>
    </xf>
    <xf numFmtId="2" fontId="32" fillId="8" borderId="17" xfId="60" applyNumberFormat="1" applyFont="1" applyFill="1" applyBorder="1" applyAlignment="1">
      <alignment horizontal="center" vertical="center" wrapText="1"/>
      <protection/>
    </xf>
    <xf numFmtId="2" fontId="32" fillId="8" borderId="12" xfId="60" applyNumberFormat="1" applyFont="1" applyFill="1" applyBorder="1" applyAlignment="1">
      <alignment horizontal="center" vertical="center" wrapText="1"/>
      <protection/>
    </xf>
    <xf numFmtId="0" fontId="48" fillId="0" borderId="0" xfId="55" applyFont="1" applyAlignment="1">
      <alignment horizontal="left" vertical="center" wrapText="1"/>
      <protection/>
    </xf>
    <xf numFmtId="2" fontId="47" fillId="0" borderId="28" xfId="59" applyNumberFormat="1" applyFont="1" applyFill="1" applyBorder="1" applyAlignment="1">
      <alignment horizontal="center" vertical="center" wrapText="1"/>
      <protection/>
    </xf>
    <xf numFmtId="2" fontId="47" fillId="0" borderId="56" xfId="59" applyNumberFormat="1" applyFont="1" applyFill="1" applyBorder="1" applyAlignment="1">
      <alignment horizontal="center" vertical="center" wrapText="1"/>
      <protection/>
    </xf>
    <xf numFmtId="2" fontId="47" fillId="0" borderId="80" xfId="59" applyNumberFormat="1" applyFont="1" applyFill="1" applyBorder="1" applyAlignment="1">
      <alignment horizontal="center" vertical="center" wrapText="1"/>
      <protection/>
    </xf>
    <xf numFmtId="177" fontId="43" fillId="0" borderId="120" xfId="0" applyNumberFormat="1" applyFont="1" applyBorder="1" applyAlignment="1" applyProtection="1">
      <alignment horizontal="left" vertical="center" wrapText="1"/>
      <protection locked="0"/>
    </xf>
    <xf numFmtId="177" fontId="43" fillId="0" borderId="121" xfId="0" applyNumberFormat="1" applyFont="1" applyBorder="1" applyAlignment="1" applyProtection="1">
      <alignment horizontal="left" vertical="center" wrapText="1"/>
      <protection locked="0"/>
    </xf>
    <xf numFmtId="2" fontId="47" fillId="0" borderId="10" xfId="59" applyNumberFormat="1" applyFont="1" applyFill="1" applyBorder="1" applyAlignment="1">
      <alignment horizontal="center" vertical="center" wrapText="1"/>
      <protection/>
    </xf>
    <xf numFmtId="2" fontId="47" fillId="0" borderId="104" xfId="59" applyNumberFormat="1" applyFont="1" applyFill="1" applyBorder="1" applyAlignment="1">
      <alignment horizontal="center" vertical="center" wrapText="1"/>
      <protection/>
    </xf>
    <xf numFmtId="2" fontId="47" fillId="0" borderId="62" xfId="59" applyNumberFormat="1" applyFont="1" applyFill="1" applyBorder="1" applyAlignment="1">
      <alignment horizontal="center" vertical="center" wrapText="1"/>
      <protection/>
    </xf>
    <xf numFmtId="0" fontId="42" fillId="0" borderId="17" xfId="0" applyFont="1" applyBorder="1" applyAlignment="1">
      <alignment horizontal="center" vertical="center" wrapText="1"/>
    </xf>
    <xf numFmtId="177" fontId="43" fillId="0" borderId="120" xfId="0" applyNumberFormat="1" applyFont="1" applyBorder="1" applyAlignment="1" applyProtection="1">
      <alignment horizontal="center" vertical="center" wrapText="1"/>
      <protection locked="0"/>
    </xf>
    <xf numFmtId="177" fontId="43" fillId="0" borderId="121" xfId="0" applyNumberFormat="1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50" fillId="0" borderId="120" xfId="0" applyFont="1" applyBorder="1" applyAlignment="1" applyProtection="1">
      <alignment horizontal="center" vertical="center" wrapText="1"/>
      <protection locked="0"/>
    </xf>
    <xf numFmtId="0" fontId="50" fillId="0" borderId="121" xfId="0" applyFont="1" applyBorder="1" applyAlignment="1" applyProtection="1">
      <alignment horizontal="center" vertical="center" wrapText="1"/>
      <protection locked="0"/>
    </xf>
    <xf numFmtId="177" fontId="49" fillId="0" borderId="122" xfId="0" applyNumberFormat="1" applyFont="1" applyBorder="1" applyAlignment="1" applyProtection="1">
      <alignment horizontal="center" vertical="center" wrapText="1"/>
      <protection locked="0"/>
    </xf>
    <xf numFmtId="177" fontId="49" fillId="0" borderId="82" xfId="0" applyNumberFormat="1" applyFont="1" applyBorder="1" applyAlignment="1" applyProtection="1">
      <alignment horizontal="center" vertical="center" wrapText="1"/>
      <protection locked="0"/>
    </xf>
    <xf numFmtId="177" fontId="49" fillId="0" borderId="83" xfId="0" applyNumberFormat="1" applyFont="1" applyBorder="1" applyAlignment="1" applyProtection="1">
      <alignment horizontal="center" vertical="center" wrapText="1"/>
      <protection locked="0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 wrapText="1"/>
    </xf>
    <xf numFmtId="0" fontId="42" fillId="0" borderId="124" xfId="0" applyFont="1" applyBorder="1" applyAlignment="1">
      <alignment horizontal="center" vertical="center" wrapText="1"/>
    </xf>
    <xf numFmtId="0" fontId="49" fillId="0" borderId="122" xfId="0" applyFont="1" applyBorder="1" applyAlignment="1">
      <alignment horizontal="center" vertical="center" wrapText="1"/>
    </xf>
    <xf numFmtId="0" fontId="49" fillId="0" borderId="82" xfId="0" applyFont="1" applyBorder="1" applyAlignment="1">
      <alignment horizontal="center" vertical="center" wrapText="1"/>
    </xf>
    <xf numFmtId="0" fontId="49" fillId="0" borderId="83" xfId="0" applyFont="1" applyBorder="1" applyAlignment="1">
      <alignment horizontal="center" vertical="center" wrapText="1"/>
    </xf>
    <xf numFmtId="177" fontId="42" fillId="0" borderId="120" xfId="0" applyNumberFormat="1" applyFont="1" applyBorder="1" applyAlignment="1" applyProtection="1">
      <alignment horizontal="center" vertical="center" wrapText="1"/>
      <protection locked="0"/>
    </xf>
    <xf numFmtId="177" fontId="42" fillId="0" borderId="121" xfId="0" applyNumberFormat="1" applyFont="1" applyBorder="1" applyAlignment="1" applyProtection="1">
      <alignment horizontal="center" vertical="center" wrapText="1"/>
      <protection locked="0"/>
    </xf>
    <xf numFmtId="0" fontId="42" fillId="25" borderId="45" xfId="59" applyFont="1" applyFill="1" applyBorder="1" applyAlignment="1">
      <alignment horizontal="center" vertical="center" wrapText="1"/>
      <protection/>
    </xf>
    <xf numFmtId="0" fontId="42" fillId="25" borderId="46" xfId="59" applyFont="1" applyFill="1" applyBorder="1" applyAlignment="1">
      <alignment horizontal="center" vertical="center" wrapText="1"/>
      <protection/>
    </xf>
    <xf numFmtId="0" fontId="42" fillId="25" borderId="47" xfId="59" applyFont="1" applyFill="1" applyBorder="1" applyAlignment="1">
      <alignment horizontal="center" vertical="center" wrapText="1"/>
      <protection/>
    </xf>
    <xf numFmtId="2" fontId="47" fillId="8" borderId="45" xfId="59" applyNumberFormat="1" applyFont="1" applyFill="1" applyBorder="1" applyAlignment="1">
      <alignment horizontal="center" vertical="center" wrapText="1"/>
      <protection/>
    </xf>
    <xf numFmtId="2" fontId="47" fillId="8" borderId="46" xfId="59" applyNumberFormat="1" applyFont="1" applyFill="1" applyBorder="1" applyAlignment="1">
      <alignment horizontal="center" vertical="center" wrapText="1"/>
      <protection/>
    </xf>
    <xf numFmtId="2" fontId="47" fillId="8" borderId="47" xfId="59" applyNumberFormat="1" applyFont="1" applyFill="1" applyBorder="1" applyAlignment="1">
      <alignment horizontal="center" vertical="center" wrapText="1"/>
      <protection/>
    </xf>
    <xf numFmtId="2" fontId="32" fillId="8" borderId="45" xfId="60" applyNumberFormat="1" applyFont="1" applyFill="1" applyBorder="1" applyAlignment="1">
      <alignment horizontal="center" vertical="center" wrapText="1"/>
      <protection/>
    </xf>
    <xf numFmtId="2" fontId="32" fillId="8" borderId="47" xfId="60" applyNumberFormat="1" applyFont="1" applyFill="1" applyBorder="1" applyAlignment="1">
      <alignment horizontal="center" vertical="center" wrapText="1"/>
      <protection/>
    </xf>
    <xf numFmtId="1" fontId="42" fillId="25" borderId="45" xfId="59" applyNumberFormat="1" applyFont="1" applyFill="1" applyBorder="1" applyAlignment="1">
      <alignment horizontal="center" vertical="center" wrapText="1"/>
      <protection/>
    </xf>
    <xf numFmtId="1" fontId="42" fillId="25" borderId="47" xfId="59" applyNumberFormat="1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horizontal="left" vertical="center" wrapText="1"/>
    </xf>
    <xf numFmtId="177" fontId="42" fillId="0" borderId="125" xfId="0" applyNumberFormat="1" applyFont="1" applyBorder="1" applyAlignment="1" applyProtection="1">
      <alignment horizontal="center" vertical="center" wrapText="1"/>
      <protection locked="0"/>
    </xf>
    <xf numFmtId="177" fontId="42" fillId="0" borderId="126" xfId="0" applyNumberFormat="1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 horizontal="left" vertical="center" wrapText="1"/>
    </xf>
    <xf numFmtId="0" fontId="1" fillId="25" borderId="118" xfId="59" applyFont="1" applyFill="1" applyBorder="1" applyAlignment="1">
      <alignment horizontal="center" vertical="center" wrapText="1"/>
      <protection/>
    </xf>
    <xf numFmtId="0" fontId="1" fillId="25" borderId="119" xfId="59" applyFont="1" applyFill="1" applyBorder="1" applyAlignment="1">
      <alignment horizontal="center" vertical="center" wrapText="1"/>
      <protection/>
    </xf>
    <xf numFmtId="0" fontId="1" fillId="25" borderId="74" xfId="59" applyFont="1" applyFill="1" applyBorder="1" applyAlignment="1">
      <alignment horizontal="center" vertical="center" wrapText="1"/>
      <protection/>
    </xf>
    <xf numFmtId="2" fontId="29" fillId="8" borderId="10" xfId="59" applyNumberFormat="1" applyFont="1" applyFill="1" applyBorder="1" applyAlignment="1">
      <alignment horizontal="left" vertical="center" wrapText="1"/>
      <protection/>
    </xf>
    <xf numFmtId="2" fontId="29" fillId="8" borderId="104" xfId="59" applyNumberFormat="1" applyFont="1" applyFill="1" applyBorder="1" applyAlignment="1">
      <alignment horizontal="left" vertical="center" wrapText="1"/>
      <protection/>
    </xf>
    <xf numFmtId="2" fontId="29" fillId="8" borderId="63" xfId="59" applyNumberFormat="1" applyFont="1" applyFill="1" applyBorder="1" applyAlignment="1">
      <alignment horizontal="left" vertical="center" wrapText="1"/>
      <protection/>
    </xf>
    <xf numFmtId="2" fontId="29" fillId="0" borderId="10" xfId="59" applyNumberFormat="1" applyFont="1" applyFill="1" applyBorder="1" applyAlignment="1">
      <alignment horizontal="center" vertical="center"/>
      <protection/>
    </xf>
    <xf numFmtId="2" fontId="29" fillId="0" borderId="104" xfId="59" applyNumberFormat="1" applyFont="1" applyFill="1" applyBorder="1" applyAlignment="1">
      <alignment horizontal="center" vertical="center"/>
      <protection/>
    </xf>
    <xf numFmtId="2" fontId="29" fillId="0" borderId="62" xfId="59" applyNumberFormat="1" applyFont="1" applyFill="1" applyBorder="1" applyAlignment="1">
      <alignment horizontal="center" vertical="center"/>
      <protection/>
    </xf>
    <xf numFmtId="0" fontId="43" fillId="0" borderId="0" xfId="0" applyFont="1" applyAlignment="1" quotePrefix="1">
      <alignment horizontal="left" vertical="center"/>
    </xf>
    <xf numFmtId="0" fontId="42" fillId="0" borderId="15" xfId="65" applyFont="1" applyFill="1" applyBorder="1" applyAlignment="1" applyProtection="1">
      <alignment horizontal="center" vertical="center"/>
      <protection/>
    </xf>
    <xf numFmtId="0" fontId="42" fillId="0" borderId="0" xfId="65" applyFont="1" applyFill="1" applyBorder="1" applyAlignment="1" applyProtection="1">
      <alignment horizontal="center" vertical="center"/>
      <protection/>
    </xf>
    <xf numFmtId="0" fontId="42" fillId="0" borderId="22" xfId="65" applyFont="1" applyFill="1" applyBorder="1" applyAlignment="1" applyProtection="1">
      <alignment horizontal="center" vertical="center"/>
      <protection/>
    </xf>
    <xf numFmtId="0" fontId="43" fillId="0" borderId="0" xfId="0" applyFont="1" applyAlignment="1" quotePrefix="1">
      <alignment horizontal="left" vertical="center" wrapText="1"/>
    </xf>
    <xf numFmtId="1" fontId="47" fillId="8" borderId="72" xfId="60" applyNumberFormat="1" applyFont="1" applyFill="1" applyBorder="1" applyAlignment="1" applyProtection="1">
      <alignment horizontal="center" vertical="center"/>
      <protection/>
    </xf>
    <xf numFmtId="1" fontId="47" fillId="8" borderId="13" xfId="60" applyNumberFormat="1" applyFont="1" applyFill="1" applyBorder="1" applyAlignment="1" applyProtection="1">
      <alignment horizontal="center" vertical="center"/>
      <protection/>
    </xf>
    <xf numFmtId="2" fontId="47" fillId="8" borderId="61" xfId="60" applyNumberFormat="1" applyFont="1" applyFill="1" applyBorder="1" applyAlignment="1" applyProtection="1">
      <alignment horizontal="center" vertical="center" wrapText="1"/>
      <protection/>
    </xf>
    <xf numFmtId="2" fontId="47" fillId="8" borderId="66" xfId="60" applyNumberFormat="1" applyFont="1" applyFill="1" applyBorder="1" applyAlignment="1" applyProtection="1">
      <alignment horizontal="center" vertical="center" wrapText="1"/>
      <protection/>
    </xf>
    <xf numFmtId="2" fontId="47" fillId="8" borderId="88" xfId="60" applyNumberFormat="1" applyFont="1" applyFill="1" applyBorder="1" applyAlignment="1" applyProtection="1">
      <alignment horizontal="center" vertical="center" wrapText="1"/>
      <protection/>
    </xf>
    <xf numFmtId="2" fontId="47" fillId="8" borderId="16" xfId="60" applyNumberFormat="1" applyFont="1" applyFill="1" applyBorder="1" applyAlignment="1" applyProtection="1">
      <alignment horizontal="center" vertical="center"/>
      <protection/>
    </xf>
    <xf numFmtId="2" fontId="47" fillId="8" borderId="66" xfId="60" applyNumberFormat="1" applyFont="1" applyFill="1" applyBorder="1" applyAlignment="1" applyProtection="1">
      <alignment horizontal="center" vertical="center"/>
      <protection/>
    </xf>
    <xf numFmtId="0" fontId="42" fillId="25" borderId="118" xfId="60" applyFont="1" applyFill="1" applyBorder="1" applyAlignment="1" applyProtection="1">
      <alignment horizontal="center" vertical="center" wrapText="1"/>
      <protection/>
    </xf>
    <xf numFmtId="0" fontId="42" fillId="25" borderId="119" xfId="60" applyFont="1" applyFill="1" applyBorder="1" applyAlignment="1" applyProtection="1">
      <alignment horizontal="center" vertical="center" wrapText="1"/>
      <protection/>
    </xf>
    <xf numFmtId="0" fontId="42" fillId="8" borderId="127" xfId="0" applyFont="1" applyFill="1" applyBorder="1" applyAlignment="1">
      <alignment horizontal="center" vertical="center"/>
    </xf>
    <xf numFmtId="0" fontId="42" fillId="8" borderId="67" xfId="0" applyFont="1" applyFill="1" applyBorder="1" applyAlignment="1">
      <alignment horizontal="center" vertical="center"/>
    </xf>
    <xf numFmtId="2" fontId="42" fillId="8" borderId="45" xfId="0" applyNumberFormat="1" applyFont="1" applyFill="1" applyBorder="1" applyAlignment="1">
      <alignment horizontal="left" vertical="center"/>
    </xf>
    <xf numFmtId="0" fontId="42" fillId="8" borderId="46" xfId="0" applyFont="1" applyFill="1" applyBorder="1" applyAlignment="1">
      <alignment horizontal="left" vertical="center"/>
    </xf>
    <xf numFmtId="0" fontId="42" fillId="8" borderId="47" xfId="0" applyFont="1" applyFill="1" applyBorder="1" applyAlignment="1">
      <alignment horizontal="left" vertical="center"/>
    </xf>
    <xf numFmtId="0" fontId="42" fillId="16" borderId="15" xfId="0" applyFont="1" applyFill="1" applyBorder="1" applyAlignment="1">
      <alignment horizontal="left" vertical="center"/>
    </xf>
    <xf numFmtId="0" fontId="42" fillId="16" borderId="0" xfId="0" applyFont="1" applyFill="1" applyBorder="1" applyAlignment="1">
      <alignment horizontal="left" vertical="center"/>
    </xf>
    <xf numFmtId="0" fontId="42" fillId="16" borderId="22" xfId="0" applyFont="1" applyFill="1" applyBorder="1" applyAlignment="1">
      <alignment horizontal="left" vertical="center"/>
    </xf>
    <xf numFmtId="0" fontId="42" fillId="8" borderId="68" xfId="0" applyFont="1" applyFill="1" applyBorder="1" applyAlignment="1">
      <alignment horizontal="center" vertical="center"/>
    </xf>
    <xf numFmtId="0" fontId="42" fillId="0" borderId="127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8" borderId="42" xfId="0" applyFont="1" applyFill="1" applyBorder="1" applyAlignment="1">
      <alignment horizontal="center" vertical="center" wrapText="1"/>
    </xf>
    <xf numFmtId="0" fontId="42" fillId="8" borderId="68" xfId="0" applyFont="1" applyFill="1" applyBorder="1" applyAlignment="1">
      <alignment horizontal="center" vertical="center" wrapText="1"/>
    </xf>
    <xf numFmtId="0" fontId="43" fillId="0" borderId="42" xfId="0" applyFont="1" applyBorder="1" applyAlignment="1">
      <alignment horizontal="left" vertical="center"/>
    </xf>
    <xf numFmtId="0" fontId="43" fillId="0" borderId="68" xfId="0" applyFont="1" applyBorder="1" applyAlignment="1">
      <alignment horizontal="left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2" fillId="0" borderId="43" xfId="0" applyFont="1" applyBorder="1" applyAlignment="1">
      <alignment horizontal="center" vertical="center" wrapText="1"/>
    </xf>
    <xf numFmtId="0" fontId="42" fillId="0" borderId="117" xfId="0" applyFont="1" applyBorder="1" applyAlignment="1">
      <alignment horizontal="center" vertical="center"/>
    </xf>
    <xf numFmtId="0" fontId="42" fillId="0" borderId="119" xfId="0" applyFont="1" applyBorder="1" applyAlignment="1">
      <alignment horizontal="center" vertical="center"/>
    </xf>
    <xf numFmtId="0" fontId="42" fillId="0" borderId="99" xfId="0" applyFont="1" applyBorder="1" applyAlignment="1">
      <alignment horizontal="center" vertical="center"/>
    </xf>
    <xf numFmtId="4" fontId="43" fillId="0" borderId="10" xfId="66" applyNumberFormat="1" applyFont="1" applyBorder="1" applyAlignment="1">
      <alignment horizontal="center" vertical="center"/>
      <protection/>
    </xf>
    <xf numFmtId="4" fontId="43" fillId="0" borderId="104" xfId="66" applyNumberFormat="1" applyFont="1" applyBorder="1" applyAlignment="1">
      <alignment horizontal="center" vertical="center"/>
      <protection/>
    </xf>
    <xf numFmtId="4" fontId="43" fillId="0" borderId="63" xfId="66" applyNumberFormat="1" applyFont="1" applyBorder="1" applyAlignment="1">
      <alignment horizontal="center" vertical="center"/>
      <protection/>
    </xf>
    <xf numFmtId="0" fontId="42" fillId="25" borderId="45" xfId="60" applyFont="1" applyFill="1" applyBorder="1" applyAlignment="1">
      <alignment horizontal="center" vertical="center" wrapText="1"/>
      <protection/>
    </xf>
    <xf numFmtId="0" fontId="42" fillId="25" borderId="46" xfId="60" applyFont="1" applyFill="1" applyBorder="1" applyAlignment="1">
      <alignment horizontal="center" vertical="center" wrapText="1"/>
      <protection/>
    </xf>
    <xf numFmtId="0" fontId="42" fillId="25" borderId="47" xfId="60" applyFont="1" applyFill="1" applyBorder="1" applyAlignment="1">
      <alignment horizontal="center" vertical="center" wrapText="1"/>
      <protection/>
    </xf>
    <xf numFmtId="0" fontId="43" fillId="0" borderId="18" xfId="66" applyNumberFormat="1" applyFont="1" applyBorder="1" applyAlignment="1" applyProtection="1">
      <alignment horizontal="center" vertical="center"/>
      <protection locked="0"/>
    </xf>
    <xf numFmtId="0" fontId="43" fillId="0" borderId="104" xfId="66" applyNumberFormat="1" applyFont="1" applyBorder="1" applyAlignment="1" applyProtection="1">
      <alignment horizontal="center" vertical="center"/>
      <protection locked="0"/>
    </xf>
    <xf numFmtId="4" fontId="43" fillId="0" borderId="17" xfId="66" applyNumberFormat="1" applyFont="1" applyFill="1" applyBorder="1" applyAlignment="1">
      <alignment horizontal="center" vertical="center" wrapText="1"/>
      <protection/>
    </xf>
    <xf numFmtId="0" fontId="43" fillId="0" borderId="63" xfId="66" applyNumberFormat="1" applyFont="1" applyBorder="1" applyAlignment="1" applyProtection="1">
      <alignment horizontal="center" vertical="center"/>
      <protection locked="0"/>
    </xf>
    <xf numFmtId="1" fontId="47" fillId="8" borderId="45" xfId="60" applyNumberFormat="1" applyFont="1" applyFill="1" applyBorder="1" applyAlignment="1">
      <alignment horizontal="center" vertical="center"/>
      <protection/>
    </xf>
    <xf numFmtId="1" fontId="47" fillId="8" borderId="47" xfId="60" applyNumberFormat="1" applyFont="1" applyFill="1" applyBorder="1" applyAlignment="1">
      <alignment horizontal="center" vertical="center"/>
      <protection/>
    </xf>
    <xf numFmtId="0" fontId="44" fillId="0" borderId="28" xfId="66" applyFont="1" applyFill="1" applyBorder="1" applyAlignment="1">
      <alignment horizontal="center" vertical="center" wrapText="1"/>
      <protection/>
    </xf>
    <xf numFmtId="0" fontId="44" fillId="0" borderId="56" xfId="66" applyFont="1" applyFill="1" applyBorder="1" applyAlignment="1">
      <alignment horizontal="center" vertical="center" wrapText="1"/>
      <protection/>
    </xf>
    <xf numFmtId="0" fontId="44" fillId="0" borderId="80" xfId="66" applyFont="1" applyFill="1" applyBorder="1" applyAlignment="1">
      <alignment horizontal="center" vertical="center" wrapText="1"/>
      <protection/>
    </xf>
    <xf numFmtId="0" fontId="42" fillId="0" borderId="17" xfId="66" applyFont="1" applyFill="1" applyBorder="1" applyAlignment="1">
      <alignment horizontal="center" vertical="center" wrapText="1"/>
      <protection/>
    </xf>
    <xf numFmtId="0" fontId="42" fillId="0" borderId="18" xfId="66" applyFont="1" applyFill="1" applyBorder="1" applyAlignment="1">
      <alignment horizontal="center" vertical="center" wrapText="1"/>
      <protection/>
    </xf>
    <xf numFmtId="0" fontId="42" fillId="0" borderId="62" xfId="66" applyFont="1" applyFill="1" applyBorder="1" applyAlignment="1">
      <alignment horizontal="center" vertical="center" wrapText="1"/>
      <protection/>
    </xf>
    <xf numFmtId="0" fontId="42" fillId="0" borderId="63" xfId="66" applyFont="1" applyFill="1" applyBorder="1" applyAlignment="1">
      <alignment horizontal="center" vertical="center" wrapText="1"/>
      <protection/>
    </xf>
    <xf numFmtId="2" fontId="47" fillId="8" borderId="45" xfId="60" applyNumberFormat="1" applyFont="1" applyFill="1" applyBorder="1" applyAlignment="1">
      <alignment horizontal="center" vertical="center"/>
      <protection/>
    </xf>
    <xf numFmtId="2" fontId="47" fillId="8" borderId="46" xfId="60" applyNumberFormat="1" applyFont="1" applyFill="1" applyBorder="1" applyAlignment="1">
      <alignment horizontal="center" vertical="center"/>
      <protection/>
    </xf>
    <xf numFmtId="2" fontId="47" fillId="8" borderId="47" xfId="60" applyNumberFormat="1" applyFont="1" applyFill="1" applyBorder="1" applyAlignment="1">
      <alignment horizontal="center" vertical="center"/>
      <protection/>
    </xf>
    <xf numFmtId="0" fontId="42" fillId="0" borderId="10" xfId="66" applyFont="1" applyFill="1" applyBorder="1" applyAlignment="1">
      <alignment horizontal="center" vertical="center" wrapText="1"/>
      <protection/>
    </xf>
    <xf numFmtId="0" fontId="42" fillId="0" borderId="104" xfId="66" applyFont="1" applyFill="1" applyBorder="1" applyAlignment="1">
      <alignment horizontal="center" vertical="center" wrapText="1"/>
      <protection/>
    </xf>
    <xf numFmtId="4" fontId="43" fillId="0" borderId="18" xfId="66" applyNumberFormat="1" applyFont="1" applyFill="1" applyBorder="1" applyAlignment="1">
      <alignment horizontal="center" vertical="center" wrapText="1"/>
      <protection/>
    </xf>
    <xf numFmtId="4" fontId="43" fillId="0" borderId="104" xfId="66" applyNumberFormat="1" applyFont="1" applyFill="1" applyBorder="1" applyAlignment="1">
      <alignment horizontal="center" vertical="center" wrapText="1"/>
      <protection/>
    </xf>
    <xf numFmtId="4" fontId="43" fillId="0" borderId="63" xfId="66" applyNumberFormat="1" applyFont="1" applyFill="1" applyBorder="1" applyAlignment="1">
      <alignment horizontal="center" vertical="center" wrapText="1"/>
      <protection/>
    </xf>
    <xf numFmtId="0" fontId="42" fillId="0" borderId="48" xfId="66" applyFont="1" applyFill="1" applyBorder="1" applyAlignment="1">
      <alignment horizontal="center" vertical="center" wrapText="1"/>
      <protection/>
    </xf>
    <xf numFmtId="0" fontId="42" fillId="0" borderId="11" xfId="66" applyFont="1" applyFill="1" applyBorder="1" applyAlignment="1">
      <alignment horizontal="center" vertical="center" wrapText="1"/>
      <protection/>
    </xf>
    <xf numFmtId="0" fontId="44" fillId="0" borderId="64" xfId="66" applyFont="1" applyFill="1" applyBorder="1" applyAlignment="1">
      <alignment horizontal="center" vertical="center" wrapText="1"/>
      <protection/>
    </xf>
    <xf numFmtId="0" fontId="44" fillId="0" borderId="17" xfId="66" applyFont="1" applyFill="1" applyBorder="1" applyAlignment="1">
      <alignment horizontal="center" vertical="center" wrapText="1"/>
      <protection/>
    </xf>
    <xf numFmtId="0" fontId="44" fillId="0" borderId="12" xfId="66" applyFont="1" applyFill="1" applyBorder="1" applyAlignment="1">
      <alignment horizontal="center" vertical="center" wrapText="1"/>
      <protection/>
    </xf>
    <xf numFmtId="0" fontId="42" fillId="0" borderId="64" xfId="66" applyFont="1" applyFill="1" applyBorder="1" applyAlignment="1">
      <alignment horizontal="center" vertical="center" wrapText="1"/>
      <protection/>
    </xf>
    <xf numFmtId="0" fontId="43" fillId="0" borderId="62" xfId="66" applyNumberFormat="1" applyFont="1" applyBorder="1" applyAlignment="1" applyProtection="1">
      <alignment horizontal="center" vertical="center"/>
      <protection locked="0"/>
    </xf>
    <xf numFmtId="0" fontId="42" fillId="0" borderId="12" xfId="66" applyFont="1" applyFill="1" applyBorder="1" applyAlignment="1">
      <alignment horizontal="center" vertical="center" wrapText="1"/>
      <protection/>
    </xf>
    <xf numFmtId="0" fontId="54" fillId="0" borderId="18" xfId="66" applyNumberFormat="1" applyFont="1" applyFill="1" applyBorder="1" applyAlignment="1">
      <alignment horizontal="center" vertical="center" wrapText="1"/>
      <protection/>
    </xf>
    <xf numFmtId="0" fontId="54" fillId="0" borderId="63" xfId="66" applyNumberFormat="1" applyFont="1" applyFill="1" applyBorder="1" applyAlignment="1">
      <alignment horizontal="center" vertical="center" wrapText="1"/>
      <protection/>
    </xf>
    <xf numFmtId="0" fontId="43" fillId="0" borderId="18" xfId="66" applyNumberFormat="1" applyFont="1" applyFill="1" applyBorder="1" applyAlignment="1">
      <alignment horizontal="center" vertical="center" wrapText="1"/>
      <protection/>
    </xf>
    <xf numFmtId="0" fontId="43" fillId="0" borderId="63" xfId="66" applyNumberFormat="1" applyFont="1" applyFill="1" applyBorder="1" applyAlignment="1">
      <alignment horizontal="center" vertical="center" wrapText="1"/>
      <protection/>
    </xf>
    <xf numFmtId="0" fontId="42" fillId="0" borderId="60" xfId="66" applyFont="1" applyFill="1" applyBorder="1" applyAlignment="1">
      <alignment horizontal="center" vertical="center" wrapText="1"/>
      <protection/>
    </xf>
    <xf numFmtId="0" fontId="42" fillId="0" borderId="24" xfId="66" applyFont="1" applyFill="1" applyBorder="1" applyAlignment="1">
      <alignment horizontal="center" vertical="center" wrapText="1"/>
      <protection/>
    </xf>
    <xf numFmtId="0" fontId="42" fillId="0" borderId="103" xfId="66" applyFont="1" applyFill="1" applyBorder="1" applyAlignment="1">
      <alignment horizontal="center" vertical="center" wrapText="1"/>
      <protection/>
    </xf>
    <xf numFmtId="0" fontId="42" fillId="0" borderId="29" xfId="66" applyFont="1" applyFill="1" applyBorder="1" applyAlignment="1">
      <alignment horizontal="center" vertical="center" wrapText="1"/>
      <protection/>
    </xf>
    <xf numFmtId="0" fontId="43" fillId="0" borderId="45" xfId="66" applyNumberFormat="1" applyFont="1" applyBorder="1" applyAlignment="1" applyProtection="1">
      <alignment horizontal="center" vertical="center"/>
      <protection locked="0"/>
    </xf>
    <xf numFmtId="0" fontId="43" fillId="0" borderId="47" xfId="66" applyNumberFormat="1" applyFont="1" applyBorder="1" applyAlignment="1" applyProtection="1">
      <alignment horizontal="center" vertical="center"/>
      <protection locked="0"/>
    </xf>
    <xf numFmtId="0" fontId="43" fillId="0" borderId="60" xfId="66" applyNumberFormat="1" applyFont="1" applyFill="1" applyBorder="1" applyAlignment="1">
      <alignment horizontal="center" vertical="center" wrapText="1"/>
      <protection/>
    </xf>
    <xf numFmtId="0" fontId="43" fillId="0" borderId="24" xfId="66" applyNumberFormat="1" applyFont="1" applyFill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/>
      <protection/>
    </xf>
    <xf numFmtId="0" fontId="1" fillId="0" borderId="17" xfId="57" applyFont="1" applyBorder="1" applyAlignment="1">
      <alignment horizontal="center"/>
      <protection/>
    </xf>
    <xf numFmtId="0" fontId="3" fillId="0" borderId="61" xfId="57" applyFont="1" applyBorder="1" applyAlignment="1">
      <alignment horizontal="center"/>
      <protection/>
    </xf>
    <xf numFmtId="0" fontId="3" fillId="0" borderId="75" xfId="57" applyFont="1" applyBorder="1" applyAlignment="1">
      <alignment horizontal="center"/>
      <protection/>
    </xf>
    <xf numFmtId="0" fontId="8" fillId="25" borderId="118" xfId="60" applyFont="1" applyFill="1" applyBorder="1" applyAlignment="1">
      <alignment horizontal="center" vertical="center" wrapText="1"/>
      <protection/>
    </xf>
    <xf numFmtId="0" fontId="8" fillId="25" borderId="119" xfId="60" applyFont="1" applyFill="1" applyBorder="1" applyAlignment="1">
      <alignment horizontal="center" vertical="center" wrapText="1"/>
      <protection/>
    </xf>
    <xf numFmtId="0" fontId="8" fillId="25" borderId="74" xfId="60" applyFont="1" applyFill="1" applyBorder="1" applyAlignment="1">
      <alignment horizontal="center" vertical="center" wrapText="1"/>
      <protection/>
    </xf>
    <xf numFmtId="2" fontId="9" fillId="8" borderId="23" xfId="60" applyNumberFormat="1" applyFont="1" applyFill="1" applyBorder="1" applyAlignment="1">
      <alignment horizontal="left" vertical="center" wrapText="1"/>
      <protection/>
    </xf>
    <xf numFmtId="2" fontId="9" fillId="8" borderId="105" xfId="60" applyNumberFormat="1" applyFont="1" applyFill="1" applyBorder="1" applyAlignment="1">
      <alignment horizontal="left" vertical="center" wrapText="1"/>
      <protection/>
    </xf>
    <xf numFmtId="2" fontId="9" fillId="8" borderId="24" xfId="60" applyNumberFormat="1" applyFont="1" applyFill="1" applyBorder="1" applyAlignment="1">
      <alignment horizontal="left" vertical="center" wrapText="1"/>
      <protection/>
    </xf>
    <xf numFmtId="0" fontId="1" fillId="0" borderId="45" xfId="57" applyFont="1" applyBorder="1" applyAlignment="1">
      <alignment horizontal="center"/>
      <protection/>
    </xf>
    <xf numFmtId="0" fontId="1" fillId="0" borderId="46" xfId="57" applyFont="1" applyBorder="1" applyAlignment="1">
      <alignment horizontal="center"/>
      <protection/>
    </xf>
    <xf numFmtId="0" fontId="1" fillId="0" borderId="47" xfId="57" applyFont="1" applyBorder="1" applyAlignment="1">
      <alignment horizontal="center"/>
      <protection/>
    </xf>
    <xf numFmtId="0" fontId="42" fillId="0" borderId="76" xfId="66" applyFont="1" applyFill="1" applyBorder="1" applyAlignment="1">
      <alignment horizontal="center" vertical="center" wrapText="1"/>
      <protection/>
    </xf>
    <xf numFmtId="0" fontId="42" fillId="0" borderId="14" xfId="66" applyFont="1" applyFill="1" applyBorder="1" applyAlignment="1">
      <alignment horizontal="center" vertical="center" wrapText="1"/>
      <protection/>
    </xf>
    <xf numFmtId="0" fontId="42" fillId="0" borderId="65" xfId="66" applyFont="1" applyFill="1" applyBorder="1" applyAlignment="1">
      <alignment horizontal="center" vertical="center" wrapText="1"/>
      <protection/>
    </xf>
    <xf numFmtId="0" fontId="42" fillId="0" borderId="50" xfId="0" applyFont="1" applyBorder="1" applyAlignment="1">
      <alignment horizontal="center" vertical="center" wrapText="1"/>
    </xf>
    <xf numFmtId="0" fontId="42" fillId="0" borderId="8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54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 wrapText="1"/>
    </xf>
    <xf numFmtId="0" fontId="43" fillId="0" borderId="28" xfId="0" applyFont="1" applyFill="1" applyBorder="1" applyAlignment="1">
      <alignment horizontal="left" vertical="center" wrapText="1"/>
    </xf>
    <xf numFmtId="0" fontId="43" fillId="0" borderId="29" xfId="0" applyFont="1" applyFill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32" fillId="8" borderId="127" xfId="0" applyFont="1" applyFill="1" applyBorder="1" applyAlignment="1">
      <alignment horizontal="center" vertical="center"/>
    </xf>
    <xf numFmtId="0" fontId="32" fillId="8" borderId="67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32" fillId="8" borderId="55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2" fontId="32" fillId="8" borderId="45" xfId="0" applyNumberFormat="1" applyFont="1" applyFill="1" applyBorder="1" applyAlignment="1">
      <alignment horizontal="left" vertical="center"/>
    </xf>
    <xf numFmtId="0" fontId="32" fillId="8" borderId="46" xfId="0" applyFont="1" applyFill="1" applyBorder="1" applyAlignment="1">
      <alignment horizontal="left" vertical="center"/>
    </xf>
    <xf numFmtId="0" fontId="32" fillId="8" borderId="47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4" xfId="0" applyFont="1" applyBorder="1" applyAlignment="1">
      <alignment horizontal="left" vertical="center"/>
    </xf>
    <xf numFmtId="0" fontId="43" fillId="0" borderId="63" xfId="0" applyFont="1" applyBorder="1" applyAlignment="1">
      <alignment horizontal="left" vertical="center"/>
    </xf>
    <xf numFmtId="0" fontId="74" fillId="0" borderId="0" xfId="0" applyFont="1" applyBorder="1" applyAlignment="1">
      <alignment horizontal="left"/>
    </xf>
    <xf numFmtId="0" fontId="74" fillId="0" borderId="51" xfId="0" applyFont="1" applyBorder="1" applyAlignment="1">
      <alignment horizontal="center" vertical="center" wrapText="1"/>
    </xf>
    <xf numFmtId="0" fontId="74" fillId="0" borderId="53" xfId="0" applyFont="1" applyBorder="1" applyAlignment="1">
      <alignment horizontal="center" vertical="center" wrapText="1"/>
    </xf>
    <xf numFmtId="0" fontId="74" fillId="0" borderId="45" xfId="0" applyFont="1" applyBorder="1" applyAlignment="1">
      <alignment horizontal="center" vertical="center" wrapText="1"/>
    </xf>
    <xf numFmtId="0" fontId="74" fillId="0" borderId="46" xfId="0" applyFont="1" applyBorder="1" applyAlignment="1">
      <alignment horizontal="center" vertical="center" wrapText="1"/>
    </xf>
    <xf numFmtId="0" fontId="74" fillId="0" borderId="47" xfId="0" applyFont="1" applyBorder="1" applyAlignment="1">
      <alignment horizontal="center" vertical="center" wrapText="1"/>
    </xf>
    <xf numFmtId="172" fontId="74" fillId="0" borderId="51" xfId="0" applyNumberFormat="1" applyFont="1" applyBorder="1" applyAlignment="1">
      <alignment horizontal="center" vertical="center" wrapText="1"/>
    </xf>
    <xf numFmtId="172" fontId="74" fillId="0" borderId="53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2" fontId="47" fillId="0" borderId="45" xfId="59" applyNumberFormat="1" applyFont="1" applyFill="1" applyBorder="1" applyAlignment="1">
      <alignment horizontal="center" vertical="center"/>
      <protection/>
    </xf>
    <xf numFmtId="2" fontId="47" fillId="0" borderId="46" xfId="59" applyNumberFormat="1" applyFont="1" applyFill="1" applyBorder="1" applyAlignment="1">
      <alignment horizontal="center" vertical="center"/>
      <protection/>
    </xf>
    <xf numFmtId="2" fontId="47" fillId="0" borderId="47" xfId="59" applyNumberFormat="1" applyFont="1" applyFill="1" applyBorder="1" applyAlignment="1">
      <alignment horizontal="center" vertical="center"/>
      <protection/>
    </xf>
    <xf numFmtId="0" fontId="42" fillId="0" borderId="28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103" xfId="0" applyFont="1" applyFill="1" applyBorder="1" applyAlignment="1" applyProtection="1">
      <alignment horizontal="center" vertical="center"/>
      <protection locked="0"/>
    </xf>
    <xf numFmtId="0" fontId="42" fillId="0" borderId="80" xfId="0" applyFont="1" applyFill="1" applyBorder="1" applyAlignment="1" applyProtection="1">
      <alignment horizontal="center" vertical="center"/>
      <protection locked="0"/>
    </xf>
    <xf numFmtId="0" fontId="42" fillId="25" borderId="118" xfId="59" applyFont="1" applyFill="1" applyBorder="1" applyAlignment="1">
      <alignment horizontal="center" vertical="center" wrapText="1"/>
      <protection/>
    </xf>
    <xf numFmtId="0" fontId="42" fillId="25" borderId="119" xfId="59" applyFont="1" applyFill="1" applyBorder="1" applyAlignment="1">
      <alignment horizontal="center" vertical="center" wrapText="1"/>
      <protection/>
    </xf>
    <xf numFmtId="0" fontId="42" fillId="25" borderId="74" xfId="59" applyFont="1" applyFill="1" applyBorder="1" applyAlignment="1">
      <alignment horizontal="center" vertical="center" wrapText="1"/>
      <protection/>
    </xf>
    <xf numFmtId="2" fontId="47" fillId="8" borderId="10" xfId="59" applyNumberFormat="1" applyFont="1" applyFill="1" applyBorder="1" applyAlignment="1">
      <alignment horizontal="center" vertical="center" wrapText="1"/>
      <protection/>
    </xf>
    <xf numFmtId="0" fontId="43" fillId="0" borderId="104" xfId="0" applyFont="1" applyBorder="1" applyAlignment="1">
      <alignment/>
    </xf>
    <xf numFmtId="0" fontId="43" fillId="0" borderId="63" xfId="0" applyFont="1" applyBorder="1" applyAlignment="1">
      <alignment/>
    </xf>
    <xf numFmtId="2" fontId="47" fillId="0" borderId="10" xfId="59" applyNumberFormat="1" applyFont="1" applyFill="1" applyBorder="1" applyAlignment="1">
      <alignment horizontal="center" vertical="center"/>
      <protection/>
    </xf>
    <xf numFmtId="2" fontId="47" fillId="0" borderId="104" xfId="59" applyNumberFormat="1" applyFont="1" applyFill="1" applyBorder="1" applyAlignment="1">
      <alignment horizontal="center" vertical="center"/>
      <protection/>
    </xf>
    <xf numFmtId="2" fontId="47" fillId="0" borderId="62" xfId="59" applyNumberFormat="1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42" fillId="0" borderId="63" xfId="0" applyFont="1" applyFill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62" xfId="0" applyFont="1" applyFill="1" applyBorder="1" applyAlignment="1" applyProtection="1">
      <alignment horizontal="center" vertical="center"/>
      <protection locked="0"/>
    </xf>
    <xf numFmtId="2" fontId="47" fillId="8" borderId="104" xfId="59" applyNumberFormat="1" applyFont="1" applyFill="1" applyBorder="1" applyAlignment="1">
      <alignment horizontal="center" vertical="center" wrapText="1"/>
      <protection/>
    </xf>
    <xf numFmtId="2" fontId="47" fillId="8" borderId="63" xfId="59" applyNumberFormat="1" applyFont="1" applyFill="1" applyBorder="1" applyAlignment="1">
      <alignment horizontal="center" vertical="center" wrapText="1"/>
      <protection/>
    </xf>
    <xf numFmtId="0" fontId="43" fillId="0" borderId="104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0" fontId="43" fillId="0" borderId="106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102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2" fontId="42" fillId="0" borderId="51" xfId="0" applyNumberFormat="1" applyFont="1" applyBorder="1" applyAlignment="1">
      <alignment horizontal="left" vertical="center"/>
    </xf>
    <xf numFmtId="0" fontId="42" fillId="0" borderId="52" xfId="0" applyFont="1" applyBorder="1" applyAlignment="1">
      <alignment horizontal="left" vertical="center"/>
    </xf>
    <xf numFmtId="0" fontId="42" fillId="0" borderId="59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03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_PAIF 2017. Modelo Ordinario (Normal)" xfId="56"/>
    <cellStyle name="Normal 3" xfId="57"/>
    <cellStyle name="Normal_1CF-94 (2)" xfId="58"/>
    <cellStyle name="Normal_AGBOD-94" xfId="59"/>
    <cellStyle name="Normal_AGBOD-94 2" xfId="60"/>
    <cellStyle name="Normal_AGBOD-94_Modelos PIAF 2014 (flujo+inversiones+deuda)" xfId="61"/>
    <cellStyle name="Normal_AGBOD-94_PLANTILLAS EPEL+INTEGRA+MAYORITARIA" xfId="62"/>
    <cellStyle name="Normal_AGBOD-94_PLANTILLAS EPEL+INTEGRA+MAYORITARIA_PAIF 2017. Modelo Ordinario (Normal)" xfId="63"/>
    <cellStyle name="Normal_CONSOLIDADO-2002" xfId="64"/>
    <cellStyle name="Normal_CS-96" xfId="65"/>
    <cellStyle name="Normal_CS-96_PAIF EMPRESAS PARA ENVIAR" xfId="66"/>
    <cellStyle name="Normal_PF1-INV" xfId="67"/>
    <cellStyle name="Normal_PF1-INV_1. CASINO TAORO PAIF 2009" xfId="68"/>
    <cellStyle name="Normal_PYG96" xfId="69"/>
    <cellStyle name="Normal_PYG96_Modelos PIAF 2014 (flujo+inversiones+deuda)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  <cellStyle name="Währung" xfId="8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1104900</xdr:colOff>
      <xdr:row>89</xdr:row>
      <xdr:rowOff>85725</xdr:rowOff>
    </xdr:from>
    <xdr:ext cx="19050" cy="200025"/>
    <xdr:sp>
      <xdr:nvSpPr>
        <xdr:cNvPr id="1" name="Text Box 1"/>
        <xdr:cNvSpPr txBox="1">
          <a:spLocks noChangeArrowheads="1"/>
        </xdr:cNvSpPr>
      </xdr:nvSpPr>
      <xdr:spPr>
        <a:xfrm>
          <a:off x="8963025" y="23736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1</xdr:row>
      <xdr:rowOff>85725</xdr:rowOff>
    </xdr:from>
    <xdr:to>
      <xdr:col>1</xdr:col>
      <xdr:colOff>114300</xdr:colOff>
      <xdr:row>1</xdr:row>
      <xdr:rowOff>314325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476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</xdr:row>
      <xdr:rowOff>85725</xdr:rowOff>
    </xdr:from>
    <xdr:to>
      <xdr:col>1</xdr:col>
      <xdr:colOff>114300</xdr:colOff>
      <xdr:row>1</xdr:row>
      <xdr:rowOff>314325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476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</xdr:row>
      <xdr:rowOff>85725</xdr:rowOff>
    </xdr:from>
    <xdr:to>
      <xdr:col>1</xdr:col>
      <xdr:colOff>114300</xdr:colOff>
      <xdr:row>1</xdr:row>
      <xdr:rowOff>314325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2476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</xdr:row>
      <xdr:rowOff>85725</xdr:rowOff>
    </xdr:from>
    <xdr:to>
      <xdr:col>1</xdr:col>
      <xdr:colOff>114300</xdr:colOff>
      <xdr:row>1</xdr:row>
      <xdr:rowOff>314325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476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IF%202017\CPI%202016_2017\Grupo%2070_75_78_DUL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Users\Kra\AppData\Local\Microsoft\Windows\INetCache\Content.Outlook\965NHKYQ\CUADROS%20MEMORIA%202016%20(sucio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Users\VPS\AppData\Local\Microsoft\Windows\INetCache\Content.Outlook\GAGONPZW\CUADROS%20MEMORIA%202016%20(sucio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IF%202017\CPI%202016_2017\Paif%202017%20Ordinario%20(fichas%20person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E2016"/>
      <sheetName val="E2017"/>
      <sheetName val="Viajeros"/>
      <sheetName val="Viajeros (2)"/>
      <sheetName val="Política Tpte"/>
      <sheetName val="Tarifa plana"/>
      <sheetName val="Comisión"/>
      <sheetName val="escolar"/>
      <sheetName val="tabla viajeros"/>
      <sheetName val="origen líneas 231 y 232"/>
      <sheetName val="origen"/>
      <sheetName val="tabla dinámica"/>
      <sheetName val="PREV. VIAJEROS 2016"/>
      <sheetName val="DATOS VIAJEROS2016"/>
      <sheetName val="DATOS VIAJEROS2015"/>
      <sheetName val="DATOS VIAJEROS 2014"/>
    </sheetNames>
    <sheetDataSet>
      <sheetData sheetId="1">
        <row r="66">
          <cell r="M66">
            <v>833401.9371428571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en pyg"/>
      <sheetName val="PDAS Y GCIAS"/>
      <sheetName val="origen balance"/>
      <sheetName val="ACTIVO (DIC2016)"/>
      <sheetName val="PASIVO (DIC2016)"/>
      <sheetName val="BALANCE"/>
      <sheetName val="INDICE"/>
      <sheetName val="3A"/>
      <sheetName val="3B"/>
      <sheetName val="1"/>
      <sheetName val="4"/>
      <sheetName val="5 y 6"/>
      <sheetName val="7"/>
      <sheetName val="8"/>
      <sheetName val="9"/>
      <sheetName val="10"/>
      <sheetName val="11"/>
      <sheetName val="Hoja1"/>
      <sheetName val="12"/>
      <sheetName val="12b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´bis"/>
      <sheetName val="32 (2)"/>
      <sheetName val="32´bis (2)"/>
      <sheetName val="33"/>
    </sheetNames>
    <sheetDataSet>
      <sheetData sheetId="3">
        <row r="9">
          <cell r="D9">
            <v>333967.34</v>
          </cell>
        </row>
        <row r="13">
          <cell r="D13">
            <v>1550865.1099999992</v>
          </cell>
          <cell r="G13">
            <v>1577033.3099999991</v>
          </cell>
        </row>
        <row r="16">
          <cell r="D16">
            <v>-333967.34</v>
          </cell>
        </row>
        <row r="19">
          <cell r="D19">
            <v>-1501295.71</v>
          </cell>
          <cell r="G19">
            <v>-1537654.96</v>
          </cell>
        </row>
        <row r="21">
          <cell r="D21">
            <v>34154347.54999996</v>
          </cell>
        </row>
        <row r="22">
          <cell r="D22">
            <v>2291671.46</v>
          </cell>
        </row>
        <row r="38">
          <cell r="D38">
            <v>5947.34</v>
          </cell>
        </row>
        <row r="55">
          <cell r="D55">
            <v>20378.13</v>
          </cell>
          <cell r="G55">
            <v>20863.950000000004</v>
          </cell>
          <cell r="I55">
            <v>20863.950000000004</v>
          </cell>
        </row>
        <row r="68">
          <cell r="D68">
            <v>1973879.1400000004</v>
          </cell>
        </row>
        <row r="78">
          <cell r="D78">
            <v>0</v>
          </cell>
        </row>
        <row r="79">
          <cell r="D79">
            <v>0</v>
          </cell>
        </row>
        <row r="83">
          <cell r="D83">
            <v>965721.4700002598</v>
          </cell>
          <cell r="G83">
            <v>956232.0699999962</v>
          </cell>
          <cell r="I83">
            <v>956232.0699999962</v>
          </cell>
        </row>
        <row r="136">
          <cell r="D136">
            <v>1960</v>
          </cell>
          <cell r="I136">
            <v>0</v>
          </cell>
        </row>
        <row r="139">
          <cell r="D139">
            <v>50166.86000000001</v>
          </cell>
          <cell r="G139">
            <v>49310.77000000001</v>
          </cell>
          <cell r="I139">
            <v>49310.77000000001</v>
          </cell>
        </row>
        <row r="156">
          <cell r="D156">
            <v>45633.17000000109</v>
          </cell>
          <cell r="G156">
            <v>56634.77000000002</v>
          </cell>
          <cell r="I156">
            <v>56634.77000000002</v>
          </cell>
        </row>
        <row r="159">
          <cell r="D159">
            <v>2164844.3599999323</v>
          </cell>
          <cell r="G159">
            <v>2757459.539999949</v>
          </cell>
        </row>
      </sheetData>
      <sheetData sheetId="4">
        <row r="11">
          <cell r="D11">
            <v>-5409100</v>
          </cell>
          <cell r="G11">
            <v>-5409100</v>
          </cell>
          <cell r="I11">
            <v>-5409100</v>
          </cell>
        </row>
        <row r="15">
          <cell r="D15">
            <v>-1081821.79</v>
          </cell>
          <cell r="G15">
            <v>-1081821.79</v>
          </cell>
          <cell r="I15">
            <v>-1081821.79</v>
          </cell>
        </row>
        <row r="16">
          <cell r="D16">
            <v>-16582279.53</v>
          </cell>
          <cell r="G16">
            <v>-16582279.53</v>
          </cell>
          <cell r="I16">
            <v>-16582279.53</v>
          </cell>
        </row>
        <row r="18">
          <cell r="D18">
            <v>-8.94</v>
          </cell>
          <cell r="G18">
            <v>-8.94</v>
          </cell>
          <cell r="I18">
            <v>-8.94</v>
          </cell>
        </row>
        <row r="22">
          <cell r="D22">
            <v>7541960.27</v>
          </cell>
          <cell r="G22">
            <v>7086358.71</v>
          </cell>
          <cell r="I22">
            <v>7086358.71</v>
          </cell>
        </row>
        <row r="23">
          <cell r="D23">
            <v>-54885.78999999999</v>
          </cell>
          <cell r="G23">
            <v>-54885.79</v>
          </cell>
          <cell r="I23">
            <v>-54885.79</v>
          </cell>
        </row>
        <row r="38">
          <cell r="D38">
            <v>-18095699.83</v>
          </cell>
        </row>
        <row r="53">
          <cell r="D53">
            <v>-9710.929999999998</v>
          </cell>
          <cell r="G53">
            <v>-9710.93</v>
          </cell>
          <cell r="I53">
            <v>-9710.93</v>
          </cell>
        </row>
        <row r="58">
          <cell r="D58">
            <v>-83068.12000000002</v>
          </cell>
          <cell r="G58">
            <v>-52877.38</v>
          </cell>
          <cell r="I58">
            <v>0</v>
          </cell>
        </row>
        <row r="61">
          <cell r="D61">
            <v>-233539.90000000002</v>
          </cell>
        </row>
        <row r="70">
          <cell r="D70">
            <v>-165875.77000000002</v>
          </cell>
          <cell r="G70">
            <v>-173562.91</v>
          </cell>
          <cell r="I70">
            <v>-173562.91</v>
          </cell>
        </row>
        <row r="76">
          <cell r="D76">
            <v>-5833694.59</v>
          </cell>
        </row>
        <row r="81">
          <cell r="D81">
            <v>-2052</v>
          </cell>
          <cell r="G81">
            <v>-2052</v>
          </cell>
          <cell r="I81">
            <v>-2052</v>
          </cell>
        </row>
        <row r="86">
          <cell r="D86">
            <v>-4803071.3</v>
          </cell>
        </row>
        <row r="88">
          <cell r="D88">
            <v>-4834.03</v>
          </cell>
        </row>
        <row r="91">
          <cell r="D91">
            <v>-60461.37000000002</v>
          </cell>
          <cell r="G91">
            <v>-61698.74000000001</v>
          </cell>
        </row>
        <row r="93">
          <cell r="D93">
            <v>-330698.75000000006</v>
          </cell>
          <cell r="G93">
            <v>-350003.92999999993</v>
          </cell>
          <cell r="I93">
            <v>-350003.92999999993</v>
          </cell>
        </row>
        <row r="114">
          <cell r="D114">
            <v>-2442075.1000000127</v>
          </cell>
        </row>
        <row r="121">
          <cell r="D121">
            <v>-1857277.2700000023</v>
          </cell>
        </row>
        <row r="134">
          <cell r="D134">
            <v>-3599080.690000007</v>
          </cell>
        </row>
        <row r="136">
          <cell r="D136">
            <v>-3017120.280000005</v>
          </cell>
        </row>
        <row r="144">
          <cell r="D144">
            <v>-31401.820000000003</v>
          </cell>
        </row>
        <row r="148">
          <cell r="D148">
            <v>-2039287.4099999995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igen pyg"/>
      <sheetName val="PDAS Y GCIAS"/>
      <sheetName val="origen balance"/>
      <sheetName val="ACTIVO (DIC2016)"/>
      <sheetName val="PASIVO (DIC2016)"/>
      <sheetName val="BALANCE"/>
      <sheetName val="INDICE"/>
      <sheetName val="3A"/>
      <sheetName val="3B"/>
      <sheetName val="1"/>
      <sheetName val="4"/>
      <sheetName val="5 y 6"/>
      <sheetName val="7"/>
      <sheetName val="8"/>
      <sheetName val="9"/>
      <sheetName val="10"/>
      <sheetName val="11"/>
      <sheetName val="Hoja1"/>
      <sheetName val="12"/>
      <sheetName val="12b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´bis"/>
      <sheetName val="32 (2)"/>
      <sheetName val="32´bis (2)"/>
      <sheetName val="33"/>
    </sheetNames>
    <sheetDataSet>
      <sheetData sheetId="3">
        <row r="22">
          <cell r="G22">
            <v>5575244.1343</v>
          </cell>
          <cell r="I22">
            <v>5575244.1343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 rellenar Consolidación"/>
      <sheetName val="No rellenar EP-5 "/>
      <sheetName val="EP7 A"/>
      <sheetName val="Personal"/>
      <sheetName val="PD 2017 (Personal)"/>
      <sheetName val="LF 2017 (Personal)"/>
      <sheetName val="LT 2017 (Personal)"/>
      <sheetName val="PRESTACIONES Y GASTOS SOCIALES"/>
      <sheetName val="COMPARATIVA 2016-2017"/>
    </sheetNames>
    <sheetDataSet>
      <sheetData sheetId="3">
        <row r="51">
          <cell r="F51">
            <v>209336</v>
          </cell>
        </row>
      </sheetData>
      <sheetData sheetId="4">
        <row r="10">
          <cell r="E10">
            <v>79305</v>
          </cell>
          <cell r="J10">
            <v>7137</v>
          </cell>
        </row>
      </sheetData>
      <sheetData sheetId="6">
        <row r="10">
          <cell r="I10">
            <v>4800.9</v>
          </cell>
        </row>
        <row r="11">
          <cell r="I11">
            <v>20680.799999999996</v>
          </cell>
        </row>
        <row r="12">
          <cell r="I12">
            <v>369.29999999999995</v>
          </cell>
        </row>
        <row r="13">
          <cell r="I13">
            <v>369.29999999999995</v>
          </cell>
        </row>
        <row r="14">
          <cell r="I14">
            <v>369.29999999999995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421875" style="2" customWidth="1"/>
    <col min="2" max="2" width="37.42187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57421875" style="2" customWidth="1"/>
    <col min="10" max="16384" width="11.421875" style="2" customWidth="1"/>
  </cols>
  <sheetData>
    <row r="1" spans="1:3" s="4" customFormat="1" ht="12.75">
      <c r="A1" s="4" t="s">
        <v>344</v>
      </c>
      <c r="C1" s="15"/>
    </row>
    <row r="2" spans="1:3" s="4" customFormat="1" ht="12.75">
      <c r="A2" s="4" t="s">
        <v>343</v>
      </c>
      <c r="C2" s="15"/>
    </row>
    <row r="3" ht="12.75"/>
    <row r="4" ht="12.75"/>
    <row r="5" spans="1:4" ht="12.75">
      <c r="A5" s="1139">
        <f>CPYG!A2</f>
        <v>0</v>
      </c>
      <c r="B5" s="1139"/>
      <c r="C5" s="1139"/>
      <c r="D5" s="1139"/>
    </row>
    <row r="6" ht="12.75"/>
    <row r="7" ht="13.5" thickBot="1"/>
    <row r="8" spans="1:3" ht="12.75">
      <c r="A8" s="1140" t="s">
        <v>306</v>
      </c>
      <c r="B8" s="1141"/>
      <c r="C8" s="1149" t="s">
        <v>307</v>
      </c>
    </row>
    <row r="9" spans="1:3" ht="12.75">
      <c r="A9" s="1142"/>
      <c r="B9" s="1143"/>
      <c r="C9" s="1150"/>
    </row>
    <row r="10" spans="1:3" ht="12.75">
      <c r="A10" s="1142"/>
      <c r="B10" s="1143"/>
      <c r="C10" s="1150"/>
    </row>
    <row r="11" spans="1:3" ht="12.75">
      <c r="A11" s="1144"/>
      <c r="B11" s="1145"/>
      <c r="C11" s="1151"/>
    </row>
    <row r="12" spans="1:3" ht="12.75">
      <c r="A12" s="50"/>
      <c r="B12" s="51"/>
      <c r="C12" s="52"/>
    </row>
    <row r="13" spans="1:3" ht="12.75">
      <c r="A13" s="53" t="s">
        <v>308</v>
      </c>
      <c r="B13" s="54" t="s">
        <v>394</v>
      </c>
      <c r="C13" s="55">
        <v>0</v>
      </c>
    </row>
    <row r="14" spans="1:10" ht="12.75" customHeight="1">
      <c r="A14" s="53" t="s">
        <v>309</v>
      </c>
      <c r="B14" s="54" t="s">
        <v>395</v>
      </c>
      <c r="C14" s="55">
        <v>0</v>
      </c>
      <c r="F14" s="1138" t="s">
        <v>346</v>
      </c>
      <c r="G14" s="1138"/>
      <c r="H14" s="1138"/>
      <c r="I14" s="1138"/>
      <c r="J14" s="107"/>
    </row>
    <row r="15" spans="1:10" ht="12.75">
      <c r="A15" s="53" t="s">
        <v>310</v>
      </c>
      <c r="B15" s="54" t="s">
        <v>396</v>
      </c>
      <c r="C15" s="55">
        <f>CPYG!E7</f>
        <v>56228153.96</v>
      </c>
      <c r="F15" s="1138"/>
      <c r="G15" s="1138"/>
      <c r="H15" s="1138"/>
      <c r="I15" s="1138"/>
      <c r="J15" s="107"/>
    </row>
    <row r="16" spans="1:10" ht="12.75">
      <c r="A16" s="53" t="s">
        <v>311</v>
      </c>
      <c r="B16" s="54" t="s">
        <v>397</v>
      </c>
      <c r="C16" s="55" t="e">
        <f>'No rellenar EP-5 '!E29+#REF!</f>
        <v>#REF!</v>
      </c>
      <c r="F16" s="1138"/>
      <c r="G16" s="1138"/>
      <c r="H16" s="1138"/>
      <c r="I16" s="1138"/>
      <c r="J16" s="107"/>
    </row>
    <row r="17" spans="1:9" ht="12.75">
      <c r="A17" s="53" t="s">
        <v>312</v>
      </c>
      <c r="B17" s="54" t="s">
        <v>398</v>
      </c>
      <c r="C17" s="55">
        <f>CPYG!E17+CPYG!E66+CPYG!E62</f>
        <v>31633607.648383297</v>
      </c>
      <c r="F17" s="1138"/>
      <c r="G17" s="1138"/>
      <c r="H17" s="1138"/>
      <c r="I17" s="1138"/>
    </row>
    <row r="18" spans="1:9" ht="12.75">
      <c r="A18" s="56"/>
      <c r="B18" s="57"/>
      <c r="C18" s="58"/>
      <c r="F18" s="1138"/>
      <c r="G18" s="1138"/>
      <c r="H18" s="1138"/>
      <c r="I18" s="1138"/>
    </row>
    <row r="19" spans="1:9" ht="12.75">
      <c r="A19" s="92" t="s">
        <v>313</v>
      </c>
      <c r="B19" s="93"/>
      <c r="C19" s="94" t="e">
        <f>SUM(C13:C17)</f>
        <v>#REF!</v>
      </c>
      <c r="F19" s="1138"/>
      <c r="G19" s="1138"/>
      <c r="H19" s="1138"/>
      <c r="I19" s="1138"/>
    </row>
    <row r="20" spans="1:9" ht="12.75">
      <c r="A20" s="59"/>
      <c r="B20" s="60"/>
      <c r="C20" s="61"/>
      <c r="F20" s="1138"/>
      <c r="G20" s="1138"/>
      <c r="H20" s="1138"/>
      <c r="I20" s="1138"/>
    </row>
    <row r="21" spans="1:9" ht="12.75">
      <c r="A21" s="56"/>
      <c r="B21" s="57"/>
      <c r="C21" s="58"/>
      <c r="F21" s="1138"/>
      <c r="G21" s="1138"/>
      <c r="H21" s="1138"/>
      <c r="I21" s="1138"/>
    </row>
    <row r="22" spans="1:9" ht="12.75">
      <c r="A22" s="53" t="s">
        <v>314</v>
      </c>
      <c r="B22" s="54" t="s">
        <v>399</v>
      </c>
      <c r="C22" s="58">
        <f>'Inv. NO FIN'!I17+'Inv. NO FIN'!I18+'Inv. NO FIN'!I19+'Inv. NO FIN'!I20</f>
        <v>0</v>
      </c>
      <c r="F22" s="1138"/>
      <c r="G22" s="1138"/>
      <c r="H22" s="1138"/>
      <c r="I22" s="1138"/>
    </row>
    <row r="23" spans="1:9" ht="12.75">
      <c r="A23" s="53" t="s">
        <v>315</v>
      </c>
      <c r="B23" s="54" t="s">
        <v>400</v>
      </c>
      <c r="C23" s="58" t="e">
        <f>'Transf. y subv.'!F16+'Transf. y subv.'!#REF!</f>
        <v>#REF!</v>
      </c>
      <c r="F23" s="1138"/>
      <c r="G23" s="1138"/>
      <c r="H23" s="1138"/>
      <c r="I23" s="1138"/>
    </row>
    <row r="24" spans="1:3" ht="12.75">
      <c r="A24" s="56"/>
      <c r="B24" s="57"/>
      <c r="C24" s="58"/>
    </row>
    <row r="25" spans="1:3" ht="12.75">
      <c r="A25" s="92" t="s">
        <v>316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317</v>
      </c>
      <c r="B28" s="54" t="s">
        <v>401</v>
      </c>
      <c r="C28" s="55">
        <f>'Inv. FIN'!F40</f>
        <v>0</v>
      </c>
    </row>
    <row r="29" spans="1:3" ht="12.75">
      <c r="A29" s="53" t="s">
        <v>318</v>
      </c>
      <c r="B29" s="54" t="s">
        <v>402</v>
      </c>
      <c r="C29" s="55">
        <f>'Deuda L.P.'!J24</f>
        <v>316608.02</v>
      </c>
    </row>
    <row r="30" spans="1:3" ht="12.75">
      <c r="A30" s="56"/>
      <c r="B30" s="57"/>
      <c r="C30" s="58"/>
    </row>
    <row r="31" spans="1:3" ht="12.75">
      <c r="A31" s="92" t="s">
        <v>319</v>
      </c>
      <c r="B31" s="93"/>
      <c r="C31" s="95">
        <f>SUM(C28:C29)</f>
        <v>316608.02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320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1134" t="s">
        <v>321</v>
      </c>
      <c r="C38" s="1152">
        <f>CPYG!E81</f>
        <v>0</v>
      </c>
    </row>
    <row r="39" spans="1:3" ht="13.5" thickBot="1">
      <c r="A39" s="77"/>
      <c r="B39" s="1135"/>
      <c r="C39" s="1153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320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1140" t="s">
        <v>306</v>
      </c>
      <c r="B49" s="1141"/>
      <c r="C49" s="1146" t="s">
        <v>307</v>
      </c>
    </row>
    <row r="50" spans="1:3" ht="12.75">
      <c r="A50" s="1142"/>
      <c r="B50" s="1143"/>
      <c r="C50" s="1147"/>
    </row>
    <row r="51" spans="1:3" ht="12.75">
      <c r="A51" s="1142"/>
      <c r="B51" s="1143"/>
      <c r="C51" s="1147"/>
    </row>
    <row r="52" spans="1:3" ht="12.75">
      <c r="A52" s="1144"/>
      <c r="B52" s="1145"/>
      <c r="C52" s="1148"/>
    </row>
    <row r="53" spans="1:3" ht="12.75">
      <c r="A53" s="62"/>
      <c r="B53" s="51"/>
      <c r="C53" s="64"/>
    </row>
    <row r="54" spans="1:3" ht="12.75">
      <c r="A54" s="53" t="s">
        <v>308</v>
      </c>
      <c r="B54" s="82" t="s">
        <v>322</v>
      </c>
      <c r="C54" s="83">
        <f>-CPYG!E29</f>
        <v>56632924.019999996</v>
      </c>
    </row>
    <row r="55" spans="1:3" ht="12.75">
      <c r="A55" s="53" t="s">
        <v>309</v>
      </c>
      <c r="B55" s="82" t="s">
        <v>323</v>
      </c>
      <c r="C55" s="83">
        <f>-CPYG!E12-CPYG!E37+CPYG!E40-CPYG!E90</f>
        <v>30697880.635115393</v>
      </c>
    </row>
    <row r="56" spans="1:3" ht="12.75">
      <c r="A56" s="53" t="s">
        <v>310</v>
      </c>
      <c r="B56" s="82" t="s">
        <v>816</v>
      </c>
      <c r="C56" s="83">
        <f>-CPYG!E74</f>
        <v>78890.54000000001</v>
      </c>
    </row>
    <row r="57" spans="1:3" ht="12.75">
      <c r="A57" s="53" t="s">
        <v>311</v>
      </c>
      <c r="B57" s="82" t="s">
        <v>324</v>
      </c>
      <c r="C57" s="83"/>
    </row>
    <row r="58" spans="1:3" ht="12.75">
      <c r="A58" s="62"/>
      <c r="B58" s="63"/>
      <c r="C58" s="83"/>
    </row>
    <row r="59" spans="1:6" ht="12.75">
      <c r="A59" s="92" t="s">
        <v>325</v>
      </c>
      <c r="B59" s="93"/>
      <c r="C59" s="95">
        <f>SUM(C54:C58)</f>
        <v>87409695.1951154</v>
      </c>
      <c r="E59" s="37" t="e">
        <f>C19-C59</f>
        <v>#REF!</v>
      </c>
      <c r="F59" s="2" t="s">
        <v>326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314</v>
      </c>
      <c r="B62" s="82" t="s">
        <v>327</v>
      </c>
      <c r="C62" s="83">
        <f>'Inv. NO FIN'!D17+'Inv. NO FIN'!D18+'Inv. NO FIN'!D19+'Inv. NO FIN'!D20</f>
        <v>6259698.2</v>
      </c>
      <c r="E62" s="2" t="e">
        <f>-#REF!</f>
        <v>#REF!</v>
      </c>
    </row>
    <row r="63" spans="1:7" ht="12.75">
      <c r="A63" s="53" t="s">
        <v>315</v>
      </c>
      <c r="B63" s="82" t="s">
        <v>328</v>
      </c>
      <c r="C63" s="83"/>
      <c r="E63" s="37" t="e">
        <f>SUM(E59:E62)</f>
        <v>#REF!</v>
      </c>
      <c r="F63" s="2">
        <f>CPYG!E94</f>
        <v>24851.763267910326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329</v>
      </c>
      <c r="B65" s="93"/>
      <c r="C65" s="95">
        <f>SUM(C62:C63)</f>
        <v>6259698.2</v>
      </c>
      <c r="E65" s="37" t="e">
        <f>C25+C31-C65-C71</f>
        <v>#REF!</v>
      </c>
      <c r="F65" s="2" t="s">
        <v>330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317</v>
      </c>
      <c r="B68" s="82" t="s">
        <v>331</v>
      </c>
      <c r="C68" s="83">
        <f>'Inv. FIN'!H40</f>
        <v>0</v>
      </c>
    </row>
    <row r="69" spans="1:3" ht="12.75">
      <c r="A69" s="53" t="s">
        <v>318</v>
      </c>
      <c r="B69" s="82" t="s">
        <v>332</v>
      </c>
      <c r="C69" s="83"/>
    </row>
    <row r="70" spans="1:3" ht="12.75">
      <c r="A70" s="62"/>
      <c r="B70" s="63"/>
      <c r="C70" s="64"/>
    </row>
    <row r="71" spans="1:6" ht="12.75">
      <c r="A71" s="92" t="s">
        <v>333</v>
      </c>
      <c r="B71" s="93"/>
      <c r="C71" s="95">
        <f>SUM(C68:C69)</f>
        <v>0</v>
      </c>
      <c r="E71" s="37" t="e">
        <f>SUM(E59:E66)</f>
        <v>#REF!</v>
      </c>
      <c r="F71" s="2" t="s">
        <v>334</v>
      </c>
    </row>
    <row r="72" spans="1:3" ht="13.5" thickBot="1">
      <c r="A72" s="85"/>
      <c r="B72" s="86"/>
      <c r="C72" s="87"/>
    </row>
    <row r="73" spans="1:3" ht="13.5" thickTop="1">
      <c r="A73" s="1132"/>
      <c r="B73" s="1134" t="s">
        <v>335</v>
      </c>
      <c r="C73" s="1136" t="e">
        <f>#REF!+#REF!</f>
        <v>#REF!</v>
      </c>
    </row>
    <row r="74" spans="1:6" ht="13.5" thickBot="1">
      <c r="A74" s="1133"/>
      <c r="B74" s="1135"/>
      <c r="C74" s="1137"/>
      <c r="E74" s="37"/>
      <c r="F74" s="2" t="s">
        <v>817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336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1132"/>
      <c r="B80" s="1134" t="s">
        <v>337</v>
      </c>
      <c r="C80" s="1136" t="e">
        <f>-D97</f>
        <v>#REF!</v>
      </c>
      <c r="E80" s="37" t="e">
        <f>E71-E74</f>
        <v>#REF!</v>
      </c>
      <c r="F80" s="2" t="s">
        <v>235</v>
      </c>
    </row>
    <row r="81" spans="1:3" ht="13.5" thickBot="1">
      <c r="A81" s="1133"/>
      <c r="B81" s="1135"/>
      <c r="C81" s="1137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338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393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345</v>
      </c>
      <c r="C94" s="2"/>
      <c r="D94" s="38" t="e">
        <f>-#REF!</f>
        <v>#REF!</v>
      </c>
      <c r="E94" s="2" t="s">
        <v>339</v>
      </c>
    </row>
    <row r="95" spans="2:4" ht="12.75">
      <c r="B95" s="49" t="s">
        <v>340</v>
      </c>
      <c r="C95" s="2"/>
      <c r="D95" s="38"/>
    </row>
    <row r="96" spans="2:5" ht="12.75">
      <c r="B96" s="4" t="s">
        <v>341</v>
      </c>
      <c r="C96" s="2"/>
      <c r="D96" s="38" t="e">
        <f>#REF!+#REF!</f>
        <v>#REF!</v>
      </c>
      <c r="E96" s="2" t="s">
        <v>342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F14:I23"/>
    <mergeCell ref="A5:D5"/>
    <mergeCell ref="A49:B52"/>
    <mergeCell ref="C49:C52"/>
    <mergeCell ref="A8:B11"/>
    <mergeCell ref="C8:C11"/>
    <mergeCell ref="B38:B39"/>
    <mergeCell ref="C38:C39"/>
    <mergeCell ref="A80:A81"/>
    <mergeCell ref="B80:B81"/>
    <mergeCell ref="C80:C81"/>
    <mergeCell ref="A73:A74"/>
    <mergeCell ref="B73:B74"/>
    <mergeCell ref="C73:C74"/>
  </mergeCells>
  <printOptions/>
  <pageMargins left="0.75" right="0.75" top="0.36" bottom="0.22" header="0" footer="0"/>
  <pageSetup fitToHeight="1" fitToWidth="1"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S36"/>
  <sheetViews>
    <sheetView zoomScale="70" zoomScaleNormal="70" zoomScalePageLayoutView="0" workbookViewId="0" topLeftCell="A1">
      <selection activeCell="B3" sqref="B2:Q33"/>
    </sheetView>
  </sheetViews>
  <sheetFormatPr defaultColWidth="11.57421875" defaultRowHeight="12.75"/>
  <cols>
    <col min="1" max="1" width="11.57421875" style="133" customWidth="1"/>
    <col min="2" max="2" width="15.57421875" style="133" customWidth="1"/>
    <col min="3" max="3" width="43.421875" style="133" customWidth="1"/>
    <col min="4" max="4" width="10.57421875" style="965" bestFit="1" customWidth="1"/>
    <col min="5" max="5" width="8.140625" style="965" bestFit="1" customWidth="1"/>
    <col min="6" max="6" width="19.421875" style="133" bestFit="1" customWidth="1"/>
    <col min="7" max="7" width="21.140625" style="133" bestFit="1" customWidth="1"/>
    <col min="8" max="8" width="19.421875" style="133" bestFit="1" customWidth="1"/>
    <col min="9" max="11" width="13.8515625" style="133" bestFit="1" customWidth="1"/>
    <col min="12" max="12" width="16.00390625" style="133" bestFit="1" customWidth="1"/>
    <col min="13" max="14" width="11.57421875" style="133" customWidth="1"/>
    <col min="15" max="15" width="13.00390625" style="133" bestFit="1" customWidth="1"/>
    <col min="16" max="16384" width="11.57421875" style="133" customWidth="1"/>
  </cols>
  <sheetData>
    <row r="1" ht="13.5" thickBot="1"/>
    <row r="2" spans="2:17" ht="12.75">
      <c r="B2" s="1165" t="s">
        <v>1001</v>
      </c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5">
        <v>2017</v>
      </c>
      <c r="P2" s="1166"/>
      <c r="Q2" s="1297"/>
    </row>
    <row r="3" spans="2:17" ht="15.75" customHeight="1">
      <c r="B3" s="1298" t="s">
        <v>1022</v>
      </c>
      <c r="C3" s="1299"/>
      <c r="D3" s="1299"/>
      <c r="E3" s="1299"/>
      <c r="F3" s="1299"/>
      <c r="G3" s="1299"/>
      <c r="H3" s="1299"/>
      <c r="I3" s="1299"/>
      <c r="J3" s="1299"/>
      <c r="K3" s="1299"/>
      <c r="L3" s="1299"/>
      <c r="M3" s="1299"/>
      <c r="N3" s="1299"/>
      <c r="O3" s="1298"/>
      <c r="P3" s="1299"/>
      <c r="Q3" s="1300"/>
    </row>
    <row r="4" spans="2:17" ht="19.5" customHeight="1" thickBot="1">
      <c r="B4" s="1308" t="str">
        <f>CPYG!B3</f>
        <v>ENTIDAD: TRANSPORTES INTERURBANOS DE TENERIFE, S.A.</v>
      </c>
      <c r="C4" s="1309"/>
      <c r="D4" s="1309"/>
      <c r="E4" s="1309"/>
      <c r="F4" s="1309"/>
      <c r="G4" s="1309"/>
      <c r="H4" s="1309"/>
      <c r="I4" s="1309"/>
      <c r="J4" s="1309"/>
      <c r="K4" s="1309"/>
      <c r="L4" s="1309"/>
      <c r="M4" s="1309"/>
      <c r="N4" s="1309"/>
      <c r="O4" s="1294" t="s">
        <v>1002</v>
      </c>
      <c r="P4" s="1295"/>
      <c r="Q4" s="1296"/>
    </row>
    <row r="5" spans="2:17" ht="23.25" customHeight="1">
      <c r="B5" s="1301" t="s">
        <v>1003</v>
      </c>
      <c r="C5" s="1302"/>
      <c r="D5" s="215"/>
      <c r="E5" s="215"/>
      <c r="F5" s="215"/>
      <c r="G5" s="216"/>
      <c r="H5" s="1301" t="s">
        <v>1004</v>
      </c>
      <c r="I5" s="1302"/>
      <c r="J5" s="1302"/>
      <c r="K5" s="1302"/>
      <c r="L5" s="1303"/>
      <c r="M5" s="1304" t="s">
        <v>114</v>
      </c>
      <c r="N5" s="1305"/>
      <c r="O5" s="1305"/>
      <c r="P5" s="1305"/>
      <c r="Q5" s="1306"/>
    </row>
    <row r="6" spans="2:17" ht="53.25" customHeight="1" thickBot="1">
      <c r="B6" s="217" t="s">
        <v>1005</v>
      </c>
      <c r="C6" s="218" t="s">
        <v>1006</v>
      </c>
      <c r="D6" s="219" t="s">
        <v>1007</v>
      </c>
      <c r="E6" s="219" t="s">
        <v>1008</v>
      </c>
      <c r="F6" s="219" t="s">
        <v>1009</v>
      </c>
      <c r="G6" s="220" t="s">
        <v>109</v>
      </c>
      <c r="H6" s="218">
        <v>2017</v>
      </c>
      <c r="I6" s="218">
        <v>2018</v>
      </c>
      <c r="J6" s="218">
        <v>2019</v>
      </c>
      <c r="K6" s="218">
        <v>2020</v>
      </c>
      <c r="L6" s="221" t="s">
        <v>1010</v>
      </c>
      <c r="M6" s="823">
        <v>2017</v>
      </c>
      <c r="N6" s="823">
        <v>2018</v>
      </c>
      <c r="O6" s="823">
        <v>2019</v>
      </c>
      <c r="P6" s="823">
        <v>2020</v>
      </c>
      <c r="Q6" s="824" t="s">
        <v>1010</v>
      </c>
    </row>
    <row r="7" spans="2:19" ht="19.5" customHeight="1">
      <c r="B7" s="597"/>
      <c r="C7" s="598" t="s">
        <v>490</v>
      </c>
      <c r="D7" s="1062">
        <v>2015</v>
      </c>
      <c r="E7" s="1063">
        <v>2016</v>
      </c>
      <c r="F7" s="1058">
        <v>551335.81</v>
      </c>
      <c r="G7" s="956">
        <f>+F7</f>
        <v>551335.81</v>
      </c>
      <c r="H7" s="601"/>
      <c r="I7" s="599"/>
      <c r="J7" s="599"/>
      <c r="K7" s="599"/>
      <c r="L7" s="600"/>
      <c r="M7" s="601"/>
      <c r="N7" s="599"/>
      <c r="O7" s="599"/>
      <c r="P7" s="599"/>
      <c r="Q7" s="600"/>
      <c r="S7" s="957"/>
    </row>
    <row r="8" spans="2:19" ht="19.5" customHeight="1">
      <c r="B8" s="597"/>
      <c r="C8" s="598"/>
      <c r="D8" s="1062"/>
      <c r="E8" s="1063"/>
      <c r="F8" s="1058"/>
      <c r="G8" s="958"/>
      <c r="H8" s="601"/>
      <c r="I8" s="599"/>
      <c r="J8" s="599"/>
      <c r="K8" s="599"/>
      <c r="L8" s="600"/>
      <c r="M8" s="601"/>
      <c r="N8" s="599"/>
      <c r="O8" s="599"/>
      <c r="P8" s="599"/>
      <c r="Q8" s="600"/>
      <c r="S8" s="957"/>
    </row>
    <row r="9" spans="2:19" ht="19.5" customHeight="1">
      <c r="B9" s="597"/>
      <c r="C9" s="598" t="s">
        <v>495</v>
      </c>
      <c r="D9" s="1062">
        <v>2016</v>
      </c>
      <c r="E9" s="1063">
        <v>2016</v>
      </c>
      <c r="F9" s="1058">
        <f>874824.43*1.01</f>
        <v>883572.6743000001</v>
      </c>
      <c r="G9" s="958">
        <f>+F9</f>
        <v>883572.6743000001</v>
      </c>
      <c r="H9" s="601"/>
      <c r="I9" s="599"/>
      <c r="J9" s="599"/>
      <c r="K9" s="599"/>
      <c r="L9" s="600"/>
      <c r="M9" s="601"/>
      <c r="N9" s="599"/>
      <c r="O9" s="599"/>
      <c r="P9" s="599"/>
      <c r="Q9" s="600"/>
      <c r="S9" s="957"/>
    </row>
    <row r="10" spans="2:19" ht="19.5" customHeight="1">
      <c r="B10" s="597"/>
      <c r="C10" s="598" t="s">
        <v>494</v>
      </c>
      <c r="D10" s="1062">
        <v>2016</v>
      </c>
      <c r="E10" s="1063">
        <v>2016</v>
      </c>
      <c r="F10" s="1058">
        <v>2400000</v>
      </c>
      <c r="G10" s="956">
        <f>+F10</f>
        <v>2400000</v>
      </c>
      <c r="H10" s="601"/>
      <c r="I10" s="599"/>
      <c r="J10" s="599"/>
      <c r="K10" s="599"/>
      <c r="L10" s="600"/>
      <c r="M10" s="601"/>
      <c r="N10" s="599"/>
      <c r="O10" s="599"/>
      <c r="P10" s="599"/>
      <c r="Q10" s="600"/>
      <c r="S10" s="957"/>
    </row>
    <row r="11" spans="2:19" ht="19.5" customHeight="1">
      <c r="B11" s="592"/>
      <c r="C11" s="598"/>
      <c r="D11" s="1064"/>
      <c r="E11" s="1065"/>
      <c r="F11" s="1059"/>
      <c r="G11" s="958"/>
      <c r="H11" s="596"/>
      <c r="I11" s="594"/>
      <c r="J11" s="594"/>
      <c r="K11" s="594"/>
      <c r="L11" s="595"/>
      <c r="M11" s="596"/>
      <c r="N11" s="594"/>
      <c r="O11" s="594"/>
      <c r="P11" s="594"/>
      <c r="Q11" s="595"/>
      <c r="S11" s="957"/>
    </row>
    <row r="12" spans="2:19" ht="19.5" customHeight="1">
      <c r="B12" s="592"/>
      <c r="C12" s="598" t="s">
        <v>496</v>
      </c>
      <c r="D12" s="1064">
        <v>2016</v>
      </c>
      <c r="E12" s="1065">
        <v>2017</v>
      </c>
      <c r="F12" s="1059">
        <f>593850+184489.6</f>
        <v>778339.6</v>
      </c>
      <c r="G12" s="958">
        <v>593850</v>
      </c>
      <c r="H12" s="596">
        <v>311820</v>
      </c>
      <c r="I12" s="594"/>
      <c r="J12" s="594"/>
      <c r="K12" s="594"/>
      <c r="L12" s="595"/>
      <c r="M12" s="596"/>
      <c r="N12" s="594"/>
      <c r="O12" s="594"/>
      <c r="P12" s="594"/>
      <c r="Q12" s="595"/>
      <c r="S12" s="957"/>
    </row>
    <row r="13" spans="2:19" ht="19.5" customHeight="1">
      <c r="B13" s="597"/>
      <c r="C13" s="598" t="s">
        <v>489</v>
      </c>
      <c r="D13" s="1062">
        <v>2016</v>
      </c>
      <c r="E13" s="1063">
        <v>2017</v>
      </c>
      <c r="F13" s="1058">
        <f>259000+229400.07</f>
        <v>488400.07</v>
      </c>
      <c r="G13" s="956">
        <v>259000</v>
      </c>
      <c r="H13" s="601">
        <f>248180/2</f>
        <v>124090</v>
      </c>
      <c r="I13" s="599"/>
      <c r="J13" s="599"/>
      <c r="K13" s="599"/>
      <c r="L13" s="600"/>
      <c r="M13" s="601"/>
      <c r="N13" s="599"/>
      <c r="O13" s="599"/>
      <c r="P13" s="599"/>
      <c r="Q13" s="600"/>
      <c r="S13" s="957"/>
    </row>
    <row r="14" spans="2:19" ht="19.5" customHeight="1">
      <c r="B14" s="597"/>
      <c r="C14" s="598" t="s">
        <v>490</v>
      </c>
      <c r="D14" s="1062">
        <v>2016</v>
      </c>
      <c r="E14" s="1063">
        <v>2017</v>
      </c>
      <c r="F14" s="1058">
        <f>260823+146110.33</f>
        <v>406933.32999999996</v>
      </c>
      <c r="G14" s="956">
        <f>260823</f>
        <v>260823</v>
      </c>
      <c r="H14" s="601">
        <f>+H13</f>
        <v>124090</v>
      </c>
      <c r="I14" s="599"/>
      <c r="J14" s="599"/>
      <c r="K14" s="599"/>
      <c r="L14" s="600"/>
      <c r="M14" s="601"/>
      <c r="N14" s="599"/>
      <c r="O14" s="599"/>
      <c r="P14" s="599"/>
      <c r="Q14" s="600"/>
      <c r="S14" s="957"/>
    </row>
    <row r="15" spans="2:19" ht="19.5" customHeight="1">
      <c r="B15" s="597"/>
      <c r="D15" s="1062"/>
      <c r="E15" s="1063"/>
      <c r="F15" s="1058"/>
      <c r="G15" s="600"/>
      <c r="I15" s="599"/>
      <c r="J15" s="599"/>
      <c r="K15" s="599"/>
      <c r="L15" s="600"/>
      <c r="M15" s="601"/>
      <c r="N15" s="599"/>
      <c r="O15" s="599"/>
      <c r="P15" s="599"/>
      <c r="Q15" s="600"/>
      <c r="S15" s="957"/>
    </row>
    <row r="16" spans="2:19" ht="19.5" customHeight="1">
      <c r="B16" s="597"/>
      <c r="C16" s="598" t="s">
        <v>656</v>
      </c>
      <c r="D16" s="1062">
        <v>2017</v>
      </c>
      <c r="E16" s="1063">
        <v>2017</v>
      </c>
      <c r="F16" s="1058">
        <v>5699698.2</v>
      </c>
      <c r="G16" s="1058"/>
      <c r="H16" s="601">
        <f>+F16-G16</f>
        <v>5699698.2</v>
      </c>
      <c r="I16" s="599"/>
      <c r="J16" s="599"/>
      <c r="K16" s="599"/>
      <c r="L16" s="600"/>
      <c r="M16" s="601"/>
      <c r="N16" s="599"/>
      <c r="O16" s="599"/>
      <c r="P16" s="599"/>
      <c r="Q16" s="600"/>
      <c r="S16" s="957"/>
    </row>
    <row r="17" spans="2:19" ht="19.5" customHeight="1">
      <c r="B17" s="597"/>
      <c r="C17" s="598"/>
      <c r="D17" s="1062"/>
      <c r="E17" s="1063"/>
      <c r="F17" s="1061">
        <f>SUM(F7:F15)</f>
        <v>5508581.484300001</v>
      </c>
      <c r="G17" s="1060">
        <f>SUM(G7:G16)</f>
        <v>4948581.484300001</v>
      </c>
      <c r="H17" s="928">
        <f>SUM(H7:H16)</f>
        <v>6259698.2</v>
      </c>
      <c r="I17" s="599"/>
      <c r="J17" s="599"/>
      <c r="K17" s="599"/>
      <c r="L17" s="600"/>
      <c r="M17" s="601"/>
      <c r="N17" s="599"/>
      <c r="O17" s="599"/>
      <c r="P17" s="599"/>
      <c r="Q17" s="600"/>
      <c r="S17" s="957"/>
    </row>
    <row r="18" spans="2:19" ht="19.5" customHeight="1">
      <c r="B18" s="597"/>
      <c r="C18" s="598"/>
      <c r="D18" s="1062"/>
      <c r="E18" s="1063"/>
      <c r="F18" s="1061"/>
      <c r="G18" s="600"/>
      <c r="H18" s="601"/>
      <c r="I18" s="599"/>
      <c r="J18" s="599"/>
      <c r="K18" s="599"/>
      <c r="L18" s="600"/>
      <c r="M18" s="601"/>
      <c r="N18" s="599"/>
      <c r="O18" s="599"/>
      <c r="P18" s="599"/>
      <c r="Q18" s="600"/>
      <c r="S18" s="957"/>
    </row>
    <row r="19" spans="2:19" ht="19.5" customHeight="1">
      <c r="B19" s="597"/>
      <c r="C19" s="598"/>
      <c r="D19" s="1062"/>
      <c r="E19" s="1063"/>
      <c r="F19" s="1058"/>
      <c r="G19" s="600"/>
      <c r="H19" s="601"/>
      <c r="I19" s="599"/>
      <c r="J19" s="599"/>
      <c r="K19" s="599"/>
      <c r="L19" s="600"/>
      <c r="M19" s="601"/>
      <c r="N19" s="599"/>
      <c r="O19" s="599"/>
      <c r="P19" s="599"/>
      <c r="Q19" s="600"/>
      <c r="S19" s="957"/>
    </row>
    <row r="20" spans="2:19" ht="19.5" customHeight="1">
      <c r="B20" s="597"/>
      <c r="C20" s="598"/>
      <c r="D20" s="1062"/>
      <c r="E20" s="1063"/>
      <c r="F20" s="1058"/>
      <c r="G20" s="600"/>
      <c r="H20" s="601"/>
      <c r="I20" s="599"/>
      <c r="J20" s="599"/>
      <c r="K20" s="599"/>
      <c r="L20" s="600"/>
      <c r="M20" s="601"/>
      <c r="N20" s="599"/>
      <c r="O20" s="599"/>
      <c r="P20" s="599"/>
      <c r="Q20" s="600"/>
      <c r="S20" s="957"/>
    </row>
    <row r="21" spans="2:19" ht="19.5" customHeight="1">
      <c r="B21" s="597"/>
      <c r="C21" s="598"/>
      <c r="D21" s="1062"/>
      <c r="E21" s="1062"/>
      <c r="F21" s="599"/>
      <c r="G21" s="600"/>
      <c r="H21" s="601"/>
      <c r="I21" s="599"/>
      <c r="J21" s="599"/>
      <c r="K21" s="599"/>
      <c r="L21" s="600"/>
      <c r="M21" s="601"/>
      <c r="N21" s="599"/>
      <c r="O21" s="599"/>
      <c r="P21" s="599"/>
      <c r="Q21" s="600"/>
      <c r="S21" s="957"/>
    </row>
    <row r="22" spans="2:19" ht="19.5" customHeight="1">
      <c r="B22" s="597"/>
      <c r="C22" s="598"/>
      <c r="D22" s="1062"/>
      <c r="E22" s="1062"/>
      <c r="F22" s="599"/>
      <c r="G22" s="600"/>
      <c r="H22" s="601"/>
      <c r="I22" s="599"/>
      <c r="J22" s="599"/>
      <c r="K22" s="599"/>
      <c r="L22" s="600"/>
      <c r="M22" s="601"/>
      <c r="N22" s="599"/>
      <c r="O22" s="599"/>
      <c r="P22" s="599"/>
      <c r="Q22" s="600"/>
      <c r="S22" s="957"/>
    </row>
    <row r="23" spans="2:17" ht="19.5" customHeight="1">
      <c r="B23" s="597"/>
      <c r="C23" s="598"/>
      <c r="D23" s="1062"/>
      <c r="E23" s="1062"/>
      <c r="F23" s="599"/>
      <c r="G23" s="600"/>
      <c r="H23" s="601"/>
      <c r="I23" s="599"/>
      <c r="J23" s="599"/>
      <c r="K23" s="599"/>
      <c r="L23" s="600"/>
      <c r="M23" s="601"/>
      <c r="N23" s="599"/>
      <c r="O23" s="599"/>
      <c r="P23" s="599"/>
      <c r="Q23" s="600"/>
    </row>
    <row r="24" spans="2:17" ht="19.5" customHeight="1">
      <c r="B24" s="597"/>
      <c r="C24" s="598"/>
      <c r="D24" s="1062"/>
      <c r="E24" s="1062"/>
      <c r="F24" s="599"/>
      <c r="G24" s="600"/>
      <c r="H24" s="601"/>
      <c r="I24" s="599"/>
      <c r="J24" s="599"/>
      <c r="K24" s="599"/>
      <c r="L24" s="600"/>
      <c r="M24" s="601"/>
      <c r="N24" s="599"/>
      <c r="O24" s="599"/>
      <c r="P24" s="599"/>
      <c r="Q24" s="600"/>
    </row>
    <row r="25" spans="2:17" ht="19.5" customHeight="1">
      <c r="B25" s="597"/>
      <c r="C25" s="598"/>
      <c r="D25" s="1062"/>
      <c r="E25" s="1062"/>
      <c r="F25" s="599"/>
      <c r="G25" s="600"/>
      <c r="H25" s="601"/>
      <c r="I25" s="599"/>
      <c r="J25" s="599"/>
      <c r="K25" s="599"/>
      <c r="L25" s="600"/>
      <c r="M25" s="601"/>
      <c r="N25" s="599"/>
      <c r="O25" s="599"/>
      <c r="P25" s="599"/>
      <c r="Q25" s="600"/>
    </row>
    <row r="26" spans="2:17" ht="19.5" customHeight="1">
      <c r="B26" s="597"/>
      <c r="C26" s="598"/>
      <c r="D26" s="1062"/>
      <c r="E26" s="1062"/>
      <c r="F26" s="599"/>
      <c r="G26" s="600"/>
      <c r="H26" s="601"/>
      <c r="I26" s="599"/>
      <c r="J26" s="599"/>
      <c r="K26" s="599"/>
      <c r="L26" s="600"/>
      <c r="M26" s="601"/>
      <c r="N26" s="599"/>
      <c r="O26" s="599"/>
      <c r="P26" s="599"/>
      <c r="Q26" s="600"/>
    </row>
    <row r="27" spans="2:17" ht="19.5" customHeight="1">
      <c r="B27" s="597"/>
      <c r="C27" s="598"/>
      <c r="D27" s="1062"/>
      <c r="E27" s="1062"/>
      <c r="F27" s="599"/>
      <c r="G27" s="600"/>
      <c r="H27" s="601"/>
      <c r="I27" s="599"/>
      <c r="J27" s="599"/>
      <c r="K27" s="599"/>
      <c r="L27" s="600"/>
      <c r="M27" s="601"/>
      <c r="N27" s="599"/>
      <c r="O27" s="599"/>
      <c r="P27" s="599"/>
      <c r="Q27" s="600"/>
    </row>
    <row r="28" spans="2:17" ht="19.5" customHeight="1">
      <c r="B28" s="597"/>
      <c r="C28" s="598"/>
      <c r="D28" s="1062"/>
      <c r="E28" s="1062"/>
      <c r="F28" s="599"/>
      <c r="G28" s="600"/>
      <c r="H28" s="601"/>
      <c r="I28" s="599"/>
      <c r="J28" s="599"/>
      <c r="K28" s="599"/>
      <c r="L28" s="600"/>
      <c r="M28" s="601"/>
      <c r="N28" s="599"/>
      <c r="O28" s="599"/>
      <c r="P28" s="599"/>
      <c r="Q28" s="600"/>
    </row>
    <row r="29" spans="2:17" ht="19.5" customHeight="1" thickBot="1">
      <c r="B29" s="602"/>
      <c r="C29" s="603"/>
      <c r="D29" s="1066"/>
      <c r="E29" s="1066"/>
      <c r="F29" s="604"/>
      <c r="G29" s="605"/>
      <c r="H29" s="606"/>
      <c r="I29" s="604"/>
      <c r="J29" s="604"/>
      <c r="K29" s="604"/>
      <c r="L29" s="605"/>
      <c r="M29" s="606"/>
      <c r="N29" s="604"/>
      <c r="O29" s="604"/>
      <c r="P29" s="604"/>
      <c r="Q29" s="605"/>
    </row>
    <row r="30" spans="2:7" ht="12.75">
      <c r="B30" s="158"/>
      <c r="C30" s="158"/>
      <c r="D30" s="1051"/>
      <c r="E30" s="1051"/>
      <c r="F30" s="158"/>
      <c r="G30" s="158"/>
    </row>
    <row r="31" ht="12.75">
      <c r="B31" s="133" t="s">
        <v>1011</v>
      </c>
    </row>
    <row r="32" spans="2:11" ht="12.75">
      <c r="B32" s="1307" t="s">
        <v>1012</v>
      </c>
      <c r="C32" s="1307"/>
      <c r="D32" s="1307"/>
      <c r="E32" s="1307"/>
      <c r="F32" s="1307"/>
      <c r="G32" s="1307"/>
      <c r="H32" s="1307"/>
      <c r="I32" s="1307"/>
      <c r="J32" s="1307"/>
      <c r="K32" s="1307"/>
    </row>
    <row r="33" spans="2:10" ht="12.75">
      <c r="B33" s="1307" t="s">
        <v>1013</v>
      </c>
      <c r="C33" s="1307"/>
      <c r="D33" s="1307"/>
      <c r="E33" s="1307"/>
      <c r="F33" s="1307"/>
      <c r="G33" s="1307"/>
      <c r="H33" s="1307"/>
      <c r="I33" s="1307"/>
      <c r="J33" s="1307"/>
    </row>
    <row r="36" spans="6:7" ht="12.75">
      <c r="F36" s="957"/>
      <c r="G36" s="957"/>
    </row>
  </sheetData>
  <sheetProtection/>
  <mergeCells count="10">
    <mergeCell ref="O4:Q4"/>
    <mergeCell ref="O2:Q3"/>
    <mergeCell ref="B5:C5"/>
    <mergeCell ref="H5:L5"/>
    <mergeCell ref="M5:Q5"/>
    <mergeCell ref="B33:J33"/>
    <mergeCell ref="B2:N2"/>
    <mergeCell ref="B3:N3"/>
    <mergeCell ref="B4:N4"/>
    <mergeCell ref="B32:K3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P38"/>
  <sheetViews>
    <sheetView zoomScale="75" zoomScaleNormal="75" zoomScalePageLayoutView="0" workbookViewId="0" topLeftCell="A1">
      <selection activeCell="P16" sqref="P1:P16384"/>
    </sheetView>
  </sheetViews>
  <sheetFormatPr defaultColWidth="11.421875" defaultRowHeight="12.75"/>
  <cols>
    <col min="1" max="1" width="1.421875" style="223" customWidth="1"/>
    <col min="2" max="2" width="26.00390625" style="223" customWidth="1"/>
    <col min="3" max="3" width="21.140625" style="223" customWidth="1"/>
    <col min="4" max="4" width="18.57421875" style="223" customWidth="1"/>
    <col min="5" max="5" width="15.421875" style="223" customWidth="1"/>
    <col min="6" max="6" width="14.140625" style="223" customWidth="1"/>
    <col min="7" max="7" width="18.57421875" style="223" customWidth="1"/>
    <col min="8" max="8" width="14.8515625" style="223" customWidth="1"/>
    <col min="9" max="9" width="16.421875" style="223" bestFit="1" customWidth="1"/>
    <col min="10" max="10" width="17.8515625" style="223" customWidth="1"/>
    <col min="11" max="11" width="17.140625" style="223" customWidth="1"/>
    <col min="12" max="12" width="21.57421875" style="223" customWidth="1"/>
    <col min="13" max="13" width="2.8515625" style="223" customWidth="1"/>
    <col min="14" max="14" width="17.140625" style="223" hidden="1" customWidth="1"/>
    <col min="15" max="15" width="16.57421875" style="223" hidden="1" customWidth="1"/>
    <col min="16" max="16" width="17.28125" style="223" hidden="1" customWidth="1"/>
    <col min="17" max="16384" width="11.421875" style="223" customWidth="1"/>
  </cols>
  <sheetData>
    <row r="1" spans="2:12" ht="42" customHeight="1">
      <c r="B1" s="1310" t="s">
        <v>893</v>
      </c>
      <c r="C1" s="1311"/>
      <c r="D1" s="1311"/>
      <c r="E1" s="1311"/>
      <c r="F1" s="1311"/>
      <c r="G1" s="1311"/>
      <c r="H1" s="1311"/>
      <c r="I1" s="1311"/>
      <c r="J1" s="1311"/>
      <c r="K1" s="1312">
        <f>CPYG!E2</f>
        <v>2017</v>
      </c>
      <c r="L1" s="1313"/>
    </row>
    <row r="2" spans="2:12" ht="51" customHeight="1">
      <c r="B2" s="1323" t="str">
        <f>CPYG!B3</f>
        <v>ENTIDAD: TRANSPORTES INTERURBANOS DE TENERIFE, S.A.</v>
      </c>
      <c r="C2" s="1324"/>
      <c r="D2" s="1324"/>
      <c r="E2" s="1324"/>
      <c r="F2" s="1324"/>
      <c r="G2" s="1324"/>
      <c r="H2" s="1324"/>
      <c r="I2" s="1324"/>
      <c r="J2" s="1324"/>
      <c r="K2" s="1325" t="s">
        <v>880</v>
      </c>
      <c r="L2" s="1326"/>
    </row>
    <row r="3" spans="2:12" s="224" customFormat="1" ht="27" customHeight="1">
      <c r="B3" s="1314" t="s">
        <v>404</v>
      </c>
      <c r="C3" s="1315"/>
      <c r="D3" s="1315"/>
      <c r="E3" s="1315"/>
      <c r="F3" s="1315"/>
      <c r="G3" s="1315"/>
      <c r="H3" s="1315"/>
      <c r="I3" s="1315"/>
      <c r="J3" s="1315"/>
      <c r="K3" s="1315"/>
      <c r="L3" s="1316"/>
    </row>
    <row r="4" spans="2:12" ht="19.5" customHeight="1">
      <c r="B4" s="1320" t="s">
        <v>71</v>
      </c>
      <c r="C4" s="1321" t="s">
        <v>115</v>
      </c>
      <c r="D4" s="508"/>
      <c r="E4" s="1321"/>
      <c r="F4" s="1321"/>
      <c r="G4" s="1321"/>
      <c r="H4" s="1321"/>
      <c r="I4" s="1321"/>
      <c r="J4" s="1321"/>
      <c r="K4" s="1321" t="s">
        <v>286</v>
      </c>
      <c r="L4" s="1322" t="s">
        <v>23</v>
      </c>
    </row>
    <row r="5" spans="2:12" ht="64.5" customHeight="1">
      <c r="B5" s="1320"/>
      <c r="C5" s="1321"/>
      <c r="D5" s="508" t="s">
        <v>24</v>
      </c>
      <c r="E5" s="508" t="s">
        <v>224</v>
      </c>
      <c r="F5" s="508" t="s">
        <v>25</v>
      </c>
      <c r="G5" s="508" t="s">
        <v>295</v>
      </c>
      <c r="H5" s="508" t="s">
        <v>26</v>
      </c>
      <c r="I5" s="508" t="s">
        <v>27</v>
      </c>
      <c r="J5" s="508" t="s">
        <v>28</v>
      </c>
      <c r="K5" s="1321"/>
      <c r="L5" s="1322"/>
    </row>
    <row r="6" spans="2:12" ht="12.75">
      <c r="B6" s="1317"/>
      <c r="C6" s="1318"/>
      <c r="D6" s="1318"/>
      <c r="E6" s="1318"/>
      <c r="F6" s="1318"/>
      <c r="G6" s="1318"/>
      <c r="H6" s="1318"/>
      <c r="I6" s="1318"/>
      <c r="J6" s="1318"/>
      <c r="K6" s="1318"/>
      <c r="L6" s="1319"/>
    </row>
    <row r="7" spans="2:14" ht="33" customHeight="1">
      <c r="B7" s="509" t="s">
        <v>29</v>
      </c>
      <c r="C7" s="549">
        <f>+ACTIVO!C7</f>
        <v>49569.39999999921</v>
      </c>
      <c r="D7" s="540">
        <v>26168.2</v>
      </c>
      <c r="E7" s="540">
        <v>0</v>
      </c>
      <c r="F7" s="540">
        <v>0</v>
      </c>
      <c r="G7" s="540">
        <f>+CPYG!D43</f>
        <v>-36359.25</v>
      </c>
      <c r="H7" s="540">
        <v>0</v>
      </c>
      <c r="I7" s="540">
        <v>0</v>
      </c>
      <c r="J7" s="540">
        <v>0</v>
      </c>
      <c r="K7" s="549">
        <f>SUM(C7:J7)</f>
        <v>39378.349999999205</v>
      </c>
      <c r="L7" s="541"/>
      <c r="N7" s="227"/>
    </row>
    <row r="8" spans="2:14" ht="39" customHeight="1">
      <c r="B8" s="509" t="s">
        <v>734</v>
      </c>
      <c r="C8" s="549">
        <f>+ACTIVO!C12-ACTIVO!C13</f>
        <v>31862676.08999995</v>
      </c>
      <c r="D8" s="540">
        <f>5640575.2443-D10-718161.96</f>
        <v>1638840.6100000003</v>
      </c>
      <c r="E8" s="540">
        <v>0</v>
      </c>
      <c r="F8" s="540">
        <v>0</v>
      </c>
      <c r="G8" s="540">
        <f>+CPYG!D44</f>
        <v>-4546464.07</v>
      </c>
      <c r="H8" s="540">
        <v>0</v>
      </c>
      <c r="I8" s="540">
        <v>0</v>
      </c>
      <c r="J8" s="540">
        <v>718161.96</v>
      </c>
      <c r="K8" s="549">
        <f>SUM(C8:J8)</f>
        <v>29673214.58999995</v>
      </c>
      <c r="L8" s="541"/>
      <c r="N8" s="227"/>
    </row>
    <row r="9" spans="2:14" ht="45" customHeight="1">
      <c r="B9" s="510" t="s">
        <v>30</v>
      </c>
      <c r="C9" s="549">
        <f>+ACTIVO!C16-ACTIVO!C17</f>
        <v>0</v>
      </c>
      <c r="D9" s="540">
        <v>0</v>
      </c>
      <c r="E9" s="540">
        <v>0</v>
      </c>
      <c r="F9" s="540">
        <v>0</v>
      </c>
      <c r="G9" s="540">
        <v>0</v>
      </c>
      <c r="H9" s="540">
        <v>0</v>
      </c>
      <c r="I9" s="540">
        <v>0</v>
      </c>
      <c r="J9" s="540">
        <v>0</v>
      </c>
      <c r="K9" s="549">
        <f>SUM(C9:J9)</f>
        <v>0</v>
      </c>
      <c r="L9" s="542"/>
      <c r="N9" s="227"/>
    </row>
    <row r="10" spans="2:15" ht="20.25" customHeight="1">
      <c r="B10" s="510" t="s">
        <v>31</v>
      </c>
      <c r="C10" s="549">
        <f>+ACTIVO!C13+ACTIVO!C17</f>
        <v>2291671.46</v>
      </c>
      <c r="D10" s="540">
        <v>3283572.6743</v>
      </c>
      <c r="E10" s="540">
        <v>0</v>
      </c>
      <c r="F10" s="540">
        <v>0</v>
      </c>
      <c r="G10" s="540">
        <v>0</v>
      </c>
      <c r="H10" s="540">
        <v>0</v>
      </c>
      <c r="I10" s="540">
        <v>0</v>
      </c>
      <c r="J10" s="540">
        <v>0</v>
      </c>
      <c r="K10" s="549">
        <f>SUM(C10:J10)</f>
        <v>5575244.1343</v>
      </c>
      <c r="L10" s="542"/>
      <c r="N10" s="1084"/>
      <c r="O10" s="1085"/>
    </row>
    <row r="11" spans="2:15" s="225" customFormat="1" ht="23.25" customHeight="1">
      <c r="B11" s="510" t="s">
        <v>824</v>
      </c>
      <c r="C11" s="550">
        <f>SUM(C7:C10)</f>
        <v>34203916.94999995</v>
      </c>
      <c r="D11" s="550">
        <f>SUM(D7:D10)</f>
        <v>4948581.484300001</v>
      </c>
      <c r="E11" s="550">
        <f aca="true" t="shared" si="0" ref="E11:J11">SUM(E7:E10)</f>
        <v>0</v>
      </c>
      <c r="F11" s="550">
        <f t="shared" si="0"/>
        <v>0</v>
      </c>
      <c r="G11" s="550">
        <f t="shared" si="0"/>
        <v>-4582823.32</v>
      </c>
      <c r="H11" s="550">
        <f t="shared" si="0"/>
        <v>0</v>
      </c>
      <c r="I11" s="550">
        <f t="shared" si="0"/>
        <v>0</v>
      </c>
      <c r="J11" s="550">
        <f t="shared" si="0"/>
        <v>718161.96</v>
      </c>
      <c r="K11" s="550">
        <f>SUM(K7:K10)</f>
        <v>35287837.07429995</v>
      </c>
      <c r="L11" s="543"/>
      <c r="N11" s="1086"/>
      <c r="O11" s="1087"/>
    </row>
    <row r="12" spans="2:15" ht="20.25" customHeight="1">
      <c r="B12" s="510" t="s">
        <v>32</v>
      </c>
      <c r="C12" s="549">
        <f>ACTIVO!C30</f>
        <v>1973879.1400000004</v>
      </c>
      <c r="D12" s="540">
        <f>13009759.31+300000</f>
        <v>13309759.31</v>
      </c>
      <c r="E12" s="540">
        <v>0</v>
      </c>
      <c r="F12" s="540">
        <v>0</v>
      </c>
      <c r="G12" s="540">
        <v>0</v>
      </c>
      <c r="H12" s="540">
        <v>0</v>
      </c>
      <c r="I12" s="540">
        <v>-13423203.206694</v>
      </c>
      <c r="J12" s="540"/>
      <c r="K12" s="549">
        <f>SUM(C12:J12)</f>
        <v>1860435.2433060016</v>
      </c>
      <c r="L12" s="542"/>
      <c r="N12" s="1084"/>
      <c r="O12" s="1085"/>
    </row>
    <row r="13" spans="2:15" ht="26.25" customHeight="1">
      <c r="B13" s="511"/>
      <c r="C13" s="544"/>
      <c r="D13" s="544"/>
      <c r="E13" s="544"/>
      <c r="F13" s="544"/>
      <c r="G13" s="544"/>
      <c r="H13" s="544"/>
      <c r="I13" s="544"/>
      <c r="J13" s="544"/>
      <c r="K13" s="545"/>
      <c r="L13" s="546"/>
      <c r="N13" s="1085"/>
      <c r="O13" s="1085"/>
    </row>
    <row r="14" spans="2:15" ht="19.5" customHeight="1">
      <c r="B14" s="1320" t="s">
        <v>112</v>
      </c>
      <c r="C14" s="1321" t="s">
        <v>116</v>
      </c>
      <c r="D14" s="508"/>
      <c r="E14" s="1321"/>
      <c r="F14" s="1321"/>
      <c r="G14" s="1321"/>
      <c r="H14" s="1321"/>
      <c r="I14" s="1321"/>
      <c r="J14" s="1321"/>
      <c r="K14" s="1321" t="s">
        <v>117</v>
      </c>
      <c r="L14" s="1322" t="s">
        <v>23</v>
      </c>
      <c r="N14" s="1085"/>
      <c r="O14" s="1085"/>
    </row>
    <row r="15" spans="2:15" ht="63.75">
      <c r="B15" s="1320"/>
      <c r="C15" s="1321"/>
      <c r="D15" s="508" t="s">
        <v>24</v>
      </c>
      <c r="E15" s="508" t="s">
        <v>224</v>
      </c>
      <c r="F15" s="508" t="s">
        <v>25</v>
      </c>
      <c r="G15" s="508" t="s">
        <v>295</v>
      </c>
      <c r="H15" s="508" t="s">
        <v>26</v>
      </c>
      <c r="I15" s="508" t="s">
        <v>27</v>
      </c>
      <c r="J15" s="508" t="s">
        <v>28</v>
      </c>
      <c r="K15" s="1321"/>
      <c r="L15" s="1322"/>
      <c r="N15" s="1085"/>
      <c r="O15" s="1085"/>
    </row>
    <row r="16" spans="2:15" ht="12.75">
      <c r="B16" s="1317"/>
      <c r="C16" s="1318"/>
      <c r="D16" s="1318"/>
      <c r="E16" s="1318"/>
      <c r="F16" s="1318"/>
      <c r="G16" s="1318"/>
      <c r="H16" s="1318"/>
      <c r="I16" s="1318"/>
      <c r="J16" s="1318"/>
      <c r="K16" s="1318"/>
      <c r="L16" s="1319"/>
      <c r="N16" s="1085"/>
      <c r="O16" s="1085"/>
    </row>
    <row r="17" spans="2:15" ht="36.75" customHeight="1">
      <c r="B17" s="509" t="s">
        <v>29</v>
      </c>
      <c r="C17" s="549">
        <f>+K7</f>
        <v>39378.349999999205</v>
      </c>
      <c r="D17" s="699">
        <v>184489.60306968883</v>
      </c>
      <c r="E17" s="699">
        <v>0</v>
      </c>
      <c r="F17" s="699">
        <v>0</v>
      </c>
      <c r="G17" s="699">
        <f>+CPYG!E43</f>
        <v>-23021.16</v>
      </c>
      <c r="H17" s="699">
        <v>0</v>
      </c>
      <c r="I17" s="699">
        <v>0</v>
      </c>
      <c r="J17" s="699">
        <v>0</v>
      </c>
      <c r="K17" s="549">
        <f>SUM(C17:J17)</f>
        <v>200846.79306968805</v>
      </c>
      <c r="L17" s="541"/>
      <c r="N17" s="1088"/>
      <c r="O17" s="1085"/>
    </row>
    <row r="18" spans="2:15" ht="39" customHeight="1">
      <c r="B18" s="509" t="s">
        <v>734</v>
      </c>
      <c r="C18" s="549">
        <f>+K8</f>
        <v>29673214.58999995</v>
      </c>
      <c r="D18" s="699">
        <v>6075208.596930311</v>
      </c>
      <c r="E18" s="699">
        <v>0</v>
      </c>
      <c r="F18" s="699">
        <v>0</v>
      </c>
      <c r="G18" s="699">
        <f>+CPYG!E44</f>
        <v>-4391203.91</v>
      </c>
      <c r="H18" s="699">
        <v>0</v>
      </c>
      <c r="I18" s="699">
        <v>0</v>
      </c>
      <c r="J18" s="699">
        <v>0</v>
      </c>
      <c r="K18" s="549">
        <f>SUM(C18:J18)</f>
        <v>31357219.27693026</v>
      </c>
      <c r="L18" s="541"/>
      <c r="N18" s="1088"/>
      <c r="O18" s="1085"/>
    </row>
    <row r="19" spans="2:15" ht="38.25">
      <c r="B19" s="510" t="s">
        <v>30</v>
      </c>
      <c r="C19" s="549">
        <f>+K9</f>
        <v>0</v>
      </c>
      <c r="D19" s="699">
        <v>0</v>
      </c>
      <c r="E19" s="699">
        <v>0</v>
      </c>
      <c r="F19" s="699">
        <v>0</v>
      </c>
      <c r="G19" s="699">
        <v>0</v>
      </c>
      <c r="H19" s="699">
        <v>0</v>
      </c>
      <c r="I19" s="699">
        <v>0</v>
      </c>
      <c r="J19" s="699">
        <v>0</v>
      </c>
      <c r="K19" s="549">
        <f>SUM(C19:J19)</f>
        <v>0</v>
      </c>
      <c r="L19" s="542"/>
      <c r="N19" s="1085"/>
      <c r="O19" s="1085"/>
    </row>
    <row r="20" spans="2:15" ht="21.75" customHeight="1">
      <c r="B20" s="510" t="s">
        <v>31</v>
      </c>
      <c r="C20" s="549">
        <f>+K10</f>
        <v>5575244.1343</v>
      </c>
      <c r="D20" s="699">
        <v>0</v>
      </c>
      <c r="E20" s="699">
        <v>0</v>
      </c>
      <c r="F20" s="699">
        <v>0</v>
      </c>
      <c r="G20" s="699">
        <v>0</v>
      </c>
      <c r="H20" s="699">
        <v>0</v>
      </c>
      <c r="I20" s="699">
        <v>0</v>
      </c>
      <c r="J20" s="699">
        <v>0</v>
      </c>
      <c r="K20" s="549">
        <f>SUM(C20:J20)</f>
        <v>5575244.1343</v>
      </c>
      <c r="L20" s="542"/>
      <c r="N20" s="1088"/>
      <c r="O20" s="1085"/>
    </row>
    <row r="21" spans="2:15" s="225" customFormat="1" ht="22.5" customHeight="1">
      <c r="B21" s="510" t="s">
        <v>824</v>
      </c>
      <c r="C21" s="550">
        <f aca="true" t="shared" si="1" ref="C21:I21">SUM(C17:C20)</f>
        <v>35287837.07429995</v>
      </c>
      <c r="D21" s="568">
        <f t="shared" si="1"/>
        <v>6259698.2</v>
      </c>
      <c r="E21" s="568">
        <f t="shared" si="1"/>
        <v>0</v>
      </c>
      <c r="F21" s="568">
        <f t="shared" si="1"/>
        <v>0</v>
      </c>
      <c r="G21" s="568">
        <f t="shared" si="1"/>
        <v>-4414225.07</v>
      </c>
      <c r="H21" s="568">
        <f t="shared" si="1"/>
        <v>0</v>
      </c>
      <c r="I21" s="568">
        <f t="shared" si="1"/>
        <v>0</v>
      </c>
      <c r="J21" s="568">
        <f>SUM(J17:J20)</f>
        <v>0</v>
      </c>
      <c r="K21" s="568">
        <f>SUM(K17:K20)</f>
        <v>37133310.20429995</v>
      </c>
      <c r="L21" s="547"/>
      <c r="N21" s="1086">
        <f>+ACTIVO!E12+ACTIVO!E7-K21</f>
        <v>8.940696716308594E-08</v>
      </c>
      <c r="O21" s="1087"/>
    </row>
    <row r="22" spans="2:15" ht="20.25" customHeight="1" thickBot="1">
      <c r="B22" s="512" t="s">
        <v>32</v>
      </c>
      <c r="C22" s="551">
        <f>+K12</f>
        <v>1860435.2433060016</v>
      </c>
      <c r="D22" s="700">
        <v>13650893.999999998</v>
      </c>
      <c r="E22" s="700">
        <v>0</v>
      </c>
      <c r="F22" s="700">
        <v>0</v>
      </c>
      <c r="G22" s="700">
        <v>0</v>
      </c>
      <c r="H22" s="700">
        <v>0</v>
      </c>
      <c r="I22" s="700">
        <v>-13674494</v>
      </c>
      <c r="J22" s="700">
        <v>0</v>
      </c>
      <c r="K22" s="551">
        <f>SUM(C22:J22)</f>
        <v>1836835.2433059998</v>
      </c>
      <c r="L22" s="548"/>
      <c r="N22" s="1084"/>
      <c r="O22" s="1085"/>
    </row>
    <row r="23" spans="4:15" ht="12.75">
      <c r="D23" s="1079"/>
      <c r="N23" s="1085"/>
      <c r="O23" s="1085"/>
    </row>
    <row r="24" spans="2:15" ht="12.75">
      <c r="B24" s="222" t="s">
        <v>33</v>
      </c>
      <c r="C24" s="226"/>
      <c r="L24" s="227"/>
      <c r="N24" s="1085"/>
      <c r="O24" s="1085"/>
    </row>
    <row r="25" spans="2:16" ht="12.75">
      <c r="B25" s="1327" t="s">
        <v>34</v>
      </c>
      <c r="C25" s="1327"/>
      <c r="D25" s="1327"/>
      <c r="E25" s="1327"/>
      <c r="F25" s="1327"/>
      <c r="G25" s="1327"/>
      <c r="H25" s="1327"/>
      <c r="I25" s="1327"/>
      <c r="J25" s="1327"/>
      <c r="K25" s="1327"/>
      <c r="L25" s="1327"/>
      <c r="N25" s="1085"/>
      <c r="O25" s="568">
        <v>37133310.20430004</v>
      </c>
      <c r="P25" s="568">
        <v>35287837.074300036</v>
      </c>
    </row>
    <row r="26" spans="2:15" ht="12.75">
      <c r="B26" s="1327" t="s">
        <v>35</v>
      </c>
      <c r="C26" s="1327"/>
      <c r="D26" s="1327"/>
      <c r="E26" s="1327"/>
      <c r="F26" s="1327"/>
      <c r="G26" s="1327"/>
      <c r="H26" s="1327"/>
      <c r="I26" s="1327"/>
      <c r="J26" s="1327"/>
      <c r="K26" s="1327"/>
      <c r="L26" s="1327"/>
      <c r="N26" s="1085"/>
      <c r="O26" s="1085"/>
    </row>
    <row r="27" spans="2:15" ht="12.75">
      <c r="B27" s="1327" t="s">
        <v>40</v>
      </c>
      <c r="C27" s="1327"/>
      <c r="D27" s="1327"/>
      <c r="E27" s="1327"/>
      <c r="F27" s="1327"/>
      <c r="G27" s="1327"/>
      <c r="H27" s="1327"/>
      <c r="I27" s="1327"/>
      <c r="J27" s="1327"/>
      <c r="K27" s="1327"/>
      <c r="L27" s="1327"/>
      <c r="N27" s="1085"/>
      <c r="O27" s="1085"/>
    </row>
    <row r="28" spans="2:15" ht="12.75">
      <c r="B28" s="1327" t="s">
        <v>41</v>
      </c>
      <c r="C28" s="1327"/>
      <c r="D28" s="1327"/>
      <c r="E28" s="1327"/>
      <c r="F28" s="1327"/>
      <c r="G28" s="1327"/>
      <c r="H28" s="1327"/>
      <c r="I28" s="1327"/>
      <c r="J28" s="1327"/>
      <c r="K28" s="1327"/>
      <c r="L28" s="1327"/>
      <c r="N28" s="1085"/>
      <c r="O28" s="1085"/>
    </row>
    <row r="29" spans="2:15" ht="12.75">
      <c r="B29" s="1327" t="s">
        <v>57</v>
      </c>
      <c r="C29" s="1327"/>
      <c r="D29" s="1327"/>
      <c r="E29" s="1327"/>
      <c r="F29" s="1327"/>
      <c r="G29" s="1327"/>
      <c r="H29" s="1327"/>
      <c r="I29" s="1327"/>
      <c r="J29" s="1327"/>
      <c r="K29" s="1327"/>
      <c r="L29" s="1327"/>
      <c r="N29" s="1085"/>
      <c r="O29" s="1085"/>
    </row>
    <row r="30" spans="2:15" ht="12.75">
      <c r="B30" s="1327" t="s">
        <v>58</v>
      </c>
      <c r="C30" s="1327"/>
      <c r="D30" s="1327"/>
      <c r="E30" s="1327"/>
      <c r="F30" s="1327"/>
      <c r="G30" s="1327"/>
      <c r="H30" s="1327"/>
      <c r="I30" s="1327"/>
      <c r="J30" s="1327"/>
      <c r="K30" s="1327"/>
      <c r="L30" s="1327"/>
      <c r="N30" s="1085"/>
      <c r="O30" s="1085"/>
    </row>
    <row r="31" spans="2:15" ht="12.75">
      <c r="B31" s="1327" t="s">
        <v>59</v>
      </c>
      <c r="C31" s="1327"/>
      <c r="D31" s="1327"/>
      <c r="E31" s="1327"/>
      <c r="F31" s="1327"/>
      <c r="G31" s="1327"/>
      <c r="H31" s="1327"/>
      <c r="I31" s="1327"/>
      <c r="J31" s="1327"/>
      <c r="K31" s="1327"/>
      <c r="L31" s="1327"/>
      <c r="N31" s="1085"/>
      <c r="O31" s="1085"/>
    </row>
    <row r="32" spans="2:15" ht="12.75">
      <c r="B32" s="1327" t="s">
        <v>186</v>
      </c>
      <c r="C32" s="1327"/>
      <c r="D32" s="1327"/>
      <c r="E32" s="1327"/>
      <c r="F32" s="1327"/>
      <c r="G32" s="1327"/>
      <c r="H32" s="1327"/>
      <c r="I32" s="1327"/>
      <c r="J32" s="1327"/>
      <c r="K32" s="1327"/>
      <c r="L32" s="1327"/>
      <c r="N32" s="1085"/>
      <c r="O32" s="1085"/>
    </row>
    <row r="33" spans="2:15" ht="12.75">
      <c r="B33" s="1327" t="s">
        <v>187</v>
      </c>
      <c r="C33" s="1327"/>
      <c r="D33" s="1327"/>
      <c r="E33" s="1327"/>
      <c r="F33" s="1327"/>
      <c r="G33" s="1327"/>
      <c r="H33" s="1327"/>
      <c r="I33" s="1327"/>
      <c r="J33" s="1327"/>
      <c r="K33" s="1327"/>
      <c r="L33" s="1327"/>
      <c r="N33" s="1085"/>
      <c r="O33" s="1085"/>
    </row>
    <row r="34" spans="2:15" ht="12.75">
      <c r="B34" s="1327" t="s">
        <v>189</v>
      </c>
      <c r="C34" s="1327"/>
      <c r="D34" s="1327"/>
      <c r="E34" s="1327"/>
      <c r="F34" s="1327"/>
      <c r="G34" s="1327"/>
      <c r="H34" s="1327"/>
      <c r="I34" s="1327"/>
      <c r="J34" s="1327"/>
      <c r="K34" s="1327"/>
      <c r="L34" s="1327"/>
      <c r="N34" s="1085"/>
      <c r="O34" s="1085"/>
    </row>
    <row r="35" spans="14:15" ht="12.75">
      <c r="N35" s="1085"/>
      <c r="O35" s="1085"/>
    </row>
    <row r="36" spans="14:15" ht="12.75">
      <c r="N36" s="1085"/>
      <c r="O36" s="1085"/>
    </row>
    <row r="37" spans="14:15" ht="12.75">
      <c r="N37" s="1085"/>
      <c r="O37" s="1085"/>
    </row>
    <row r="38" spans="14:15" ht="12.75">
      <c r="N38" s="1085"/>
      <c r="O38" s="1085"/>
    </row>
  </sheetData>
  <sheetProtection formatColumns="0" formatRows="0"/>
  <mergeCells count="27">
    <mergeCell ref="B27:L27"/>
    <mergeCell ref="B32:L32"/>
    <mergeCell ref="B26:L26"/>
    <mergeCell ref="B34:L34"/>
    <mergeCell ref="B28:L28"/>
    <mergeCell ref="B29:L29"/>
    <mergeCell ref="B30:L30"/>
    <mergeCell ref="B31:L31"/>
    <mergeCell ref="B33:L33"/>
    <mergeCell ref="K2:L2"/>
    <mergeCell ref="B16:L16"/>
    <mergeCell ref="B25:L25"/>
    <mergeCell ref="B14:B15"/>
    <mergeCell ref="C14:C15"/>
    <mergeCell ref="E14:J14"/>
    <mergeCell ref="K14:K15"/>
    <mergeCell ref="L14:L15"/>
    <mergeCell ref="B1:J1"/>
    <mergeCell ref="K1:L1"/>
    <mergeCell ref="B3:L3"/>
    <mergeCell ref="B6:L6"/>
    <mergeCell ref="B4:B5"/>
    <mergeCell ref="C4:C5"/>
    <mergeCell ref="E4:J4"/>
    <mergeCell ref="K4:K5"/>
    <mergeCell ref="L4:L5"/>
    <mergeCell ref="B2:J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M55"/>
  <sheetViews>
    <sheetView zoomScale="75" zoomScaleNormal="75" zoomScalePageLayoutView="0" workbookViewId="0" topLeftCell="A1">
      <selection activeCell="B2" sqref="B2:M53"/>
    </sheetView>
  </sheetViews>
  <sheetFormatPr defaultColWidth="11.421875" defaultRowHeight="12.75"/>
  <cols>
    <col min="1" max="1" width="4.421875" style="133" customWidth="1"/>
    <col min="2" max="2" width="1.8515625" style="133" customWidth="1"/>
    <col min="3" max="3" width="28.57421875" style="133" customWidth="1"/>
    <col min="4" max="4" width="30.421875" style="133" customWidth="1"/>
    <col min="5" max="5" width="23.00390625" style="133" bestFit="1" customWidth="1"/>
    <col min="6" max="6" width="16.57421875" style="133" customWidth="1"/>
    <col min="7" max="7" width="25.421875" style="133" hidden="1" customWidth="1"/>
    <col min="8" max="8" width="20.421875" style="133" customWidth="1"/>
    <col min="9" max="9" width="22.00390625" style="133" bestFit="1" customWidth="1"/>
    <col min="10" max="10" width="23.00390625" style="133" bestFit="1" customWidth="1"/>
    <col min="11" max="12" width="20.421875" style="133" customWidth="1"/>
    <col min="13" max="13" width="17.57421875" style="133" customWidth="1"/>
    <col min="14" max="16384" width="11.421875" style="133" customWidth="1"/>
  </cols>
  <sheetData>
    <row r="1" ht="20.25" customHeight="1" thickBot="1"/>
    <row r="2" spans="2:13" s="223" customFormat="1" ht="42" customHeight="1" thickBot="1">
      <c r="B2" s="1355" t="s">
        <v>893</v>
      </c>
      <c r="C2" s="1356"/>
      <c r="D2" s="1356"/>
      <c r="E2" s="1356"/>
      <c r="F2" s="1356"/>
      <c r="G2" s="1356"/>
      <c r="H2" s="1356"/>
      <c r="I2" s="1356"/>
      <c r="J2" s="1356"/>
      <c r="K2" s="1357"/>
      <c r="L2" s="1363">
        <f>CPYG!E2</f>
        <v>2017</v>
      </c>
      <c r="M2" s="1364"/>
    </row>
    <row r="3" spans="2:13" ht="35.25" customHeight="1" thickBot="1">
      <c r="B3" s="1358" t="str">
        <f>CPYG!B3</f>
        <v>ENTIDAD: TRANSPORTES INTERURBANOS DE TENERIFE, S.A.</v>
      </c>
      <c r="C3" s="1359"/>
      <c r="D3" s="1359"/>
      <c r="E3" s="1359"/>
      <c r="F3" s="1359"/>
      <c r="G3" s="1359"/>
      <c r="H3" s="1359"/>
      <c r="I3" s="1359"/>
      <c r="J3" s="1359"/>
      <c r="K3" s="1360"/>
      <c r="L3" s="1361" t="s">
        <v>881</v>
      </c>
      <c r="M3" s="1362"/>
    </row>
    <row r="4" spans="2:13" ht="18" customHeight="1">
      <c r="B4" s="1328" t="s">
        <v>56</v>
      </c>
      <c r="C4" s="1329"/>
      <c r="D4" s="1329"/>
      <c r="E4" s="1329"/>
      <c r="F4" s="1329"/>
      <c r="G4" s="1329"/>
      <c r="H4" s="1329"/>
      <c r="I4" s="1329"/>
      <c r="J4" s="1329"/>
      <c r="K4" s="1329"/>
      <c r="L4" s="1329"/>
      <c r="M4" s="1330"/>
    </row>
    <row r="5" spans="2:13" s="229" customFormat="1" ht="22.5" customHeight="1">
      <c r="B5" s="1333" t="s">
        <v>886</v>
      </c>
      <c r="C5" s="1334"/>
      <c r="D5" s="1334"/>
      <c r="E5" s="1334"/>
      <c r="F5" s="1334"/>
      <c r="G5" s="1334"/>
      <c r="H5" s="1334"/>
      <c r="I5" s="1334"/>
      <c r="J5" s="1334"/>
      <c r="K5" s="1334"/>
      <c r="L5" s="1334"/>
      <c r="M5" s="1335"/>
    </row>
    <row r="6" spans="2:13" ht="25.5" customHeight="1">
      <c r="B6" s="1346" t="s">
        <v>118</v>
      </c>
      <c r="C6" s="1347"/>
      <c r="D6" s="1336" t="s">
        <v>225</v>
      </c>
      <c r="E6" s="1336" t="s">
        <v>119</v>
      </c>
      <c r="F6" s="1336" t="s">
        <v>226</v>
      </c>
      <c r="G6" s="1336"/>
      <c r="H6" s="1336" t="s">
        <v>227</v>
      </c>
      <c r="I6" s="1336"/>
      <c r="J6" s="1340" t="s">
        <v>120</v>
      </c>
      <c r="K6" s="1340" t="s">
        <v>121</v>
      </c>
      <c r="L6" s="1340" t="s">
        <v>122</v>
      </c>
      <c r="M6" s="1339" t="s">
        <v>228</v>
      </c>
    </row>
    <row r="7" spans="2:13" ht="54" customHeight="1" thickBot="1">
      <c r="B7" s="1348"/>
      <c r="C7" s="1349"/>
      <c r="D7" s="1336"/>
      <c r="E7" s="1336"/>
      <c r="F7" s="228" t="s">
        <v>123</v>
      </c>
      <c r="G7" s="228" t="s">
        <v>230</v>
      </c>
      <c r="H7" s="228" t="s">
        <v>231</v>
      </c>
      <c r="I7" s="228" t="s">
        <v>232</v>
      </c>
      <c r="J7" s="1340"/>
      <c r="K7" s="1340"/>
      <c r="L7" s="1340"/>
      <c r="M7" s="1339"/>
    </row>
    <row r="8" spans="2:13" ht="21" customHeight="1" thickBot="1">
      <c r="B8" s="1350" t="s">
        <v>190</v>
      </c>
      <c r="C8" s="1351"/>
      <c r="D8" s="1351"/>
      <c r="E8" s="1351"/>
      <c r="F8" s="1351"/>
      <c r="G8" s="1351"/>
      <c r="H8" s="1351"/>
      <c r="I8" s="1351"/>
      <c r="J8" s="1351"/>
      <c r="K8" s="1351"/>
      <c r="L8" s="1351"/>
      <c r="M8" s="1352"/>
    </row>
    <row r="9" spans="2:13" ht="19.5" customHeight="1" thickBot="1">
      <c r="B9" s="1341"/>
      <c r="C9" s="1342"/>
      <c r="D9" s="521"/>
      <c r="E9" s="522"/>
      <c r="F9" s="523"/>
      <c r="G9" s="523"/>
      <c r="H9" s="523"/>
      <c r="I9" s="524"/>
      <c r="J9" s="539">
        <f>SUM(E9:I9)</f>
        <v>0</v>
      </c>
      <c r="K9" s="525"/>
      <c r="L9" s="526"/>
      <c r="M9" s="527"/>
    </row>
    <row r="10" spans="2:13" ht="19.5" customHeight="1" thickBot="1">
      <c r="B10" s="1331"/>
      <c r="C10" s="1332"/>
      <c r="D10" s="528"/>
      <c r="E10" s="523"/>
      <c r="F10" s="523"/>
      <c r="G10" s="523"/>
      <c r="H10" s="523"/>
      <c r="I10" s="523"/>
      <c r="J10" s="539">
        <f>SUM(E10:I10)</f>
        <v>0</v>
      </c>
      <c r="K10" s="529"/>
      <c r="L10" s="526"/>
      <c r="M10" s="527"/>
    </row>
    <row r="11" spans="2:13" ht="19.5" customHeight="1" thickBot="1">
      <c r="B11" s="1337"/>
      <c r="C11" s="1338"/>
      <c r="D11" s="528"/>
      <c r="E11" s="523"/>
      <c r="F11" s="523"/>
      <c r="G11" s="523"/>
      <c r="H11" s="523"/>
      <c r="I11" s="523"/>
      <c r="J11" s="539">
        <f>SUM(E11:I11)</f>
        <v>0</v>
      </c>
      <c r="K11" s="526"/>
      <c r="L11" s="526"/>
      <c r="M11" s="527"/>
    </row>
    <row r="12" spans="2:13" ht="19.5" customHeight="1" thickBot="1">
      <c r="B12" s="1337"/>
      <c r="C12" s="1338"/>
      <c r="D12" s="528"/>
      <c r="E12" s="523"/>
      <c r="F12" s="523"/>
      <c r="G12" s="523"/>
      <c r="H12" s="523"/>
      <c r="I12" s="523"/>
      <c r="J12" s="539">
        <f>SUM(E12:I12)</f>
        <v>0</v>
      </c>
      <c r="K12" s="526"/>
      <c r="L12" s="526"/>
      <c r="M12" s="527"/>
    </row>
    <row r="13" spans="2:13" ht="19.5" customHeight="1" thickBot="1">
      <c r="B13" s="1337"/>
      <c r="C13" s="1338"/>
      <c r="D13" s="528"/>
      <c r="E13" s="523"/>
      <c r="F13" s="523"/>
      <c r="G13" s="523"/>
      <c r="H13" s="523"/>
      <c r="I13" s="523"/>
      <c r="J13" s="539">
        <f>SUM(E13:I13)</f>
        <v>0</v>
      </c>
      <c r="K13" s="526"/>
      <c r="L13" s="526"/>
      <c r="M13" s="527"/>
    </row>
    <row r="14" spans="2:13" s="132" customFormat="1" ht="19.5" customHeight="1" thickBot="1">
      <c r="B14" s="1353" t="s">
        <v>824</v>
      </c>
      <c r="C14" s="1354"/>
      <c r="D14" s="530"/>
      <c r="E14" s="562">
        <f>SUM(E9:E13)</f>
        <v>0</v>
      </c>
      <c r="F14" s="562">
        <f>SUM(F9:F13)</f>
        <v>0</v>
      </c>
      <c r="G14" s="563"/>
      <c r="H14" s="562">
        <f>SUM(H9:H13)</f>
        <v>0</v>
      </c>
      <c r="I14" s="562">
        <f>SUM(I9:I13)</f>
        <v>0</v>
      </c>
      <c r="J14" s="562">
        <f>SUM(J9:J13)</f>
        <v>0</v>
      </c>
      <c r="K14" s="531"/>
      <c r="L14" s="564">
        <f>SUM(L9:L13)</f>
        <v>0</v>
      </c>
      <c r="M14" s="532"/>
    </row>
    <row r="15" spans="2:13" ht="19.5" customHeight="1" thickBot="1">
      <c r="B15" s="1343" t="s">
        <v>191</v>
      </c>
      <c r="C15" s="1344"/>
      <c r="D15" s="1344"/>
      <c r="E15" s="1344"/>
      <c r="F15" s="1344"/>
      <c r="G15" s="1344"/>
      <c r="H15" s="1344"/>
      <c r="I15" s="1344"/>
      <c r="J15" s="1344"/>
      <c r="K15" s="1344"/>
      <c r="L15" s="1344"/>
      <c r="M15" s="1345"/>
    </row>
    <row r="16" spans="2:13" ht="19.5" customHeight="1" thickBot="1">
      <c r="B16" s="1331"/>
      <c r="C16" s="1332"/>
      <c r="D16" s="528"/>
      <c r="E16" s="523"/>
      <c r="F16" s="523"/>
      <c r="G16" s="523"/>
      <c r="H16" s="523"/>
      <c r="I16" s="523"/>
      <c r="J16" s="539">
        <f>SUM(E16:I16)</f>
        <v>0</v>
      </c>
      <c r="K16" s="529"/>
      <c r="L16" s="526"/>
      <c r="M16" s="527"/>
    </row>
    <row r="17" spans="2:13" ht="19.5" customHeight="1" thickBot="1">
      <c r="B17" s="1331"/>
      <c r="C17" s="1332"/>
      <c r="D17" s="528"/>
      <c r="E17" s="523"/>
      <c r="F17" s="523"/>
      <c r="G17" s="523"/>
      <c r="H17" s="523"/>
      <c r="I17" s="523"/>
      <c r="J17" s="539">
        <f>SUM(E17:I17)</f>
        <v>0</v>
      </c>
      <c r="K17" s="529"/>
      <c r="L17" s="526"/>
      <c r="M17" s="527"/>
    </row>
    <row r="18" spans="2:13" ht="19.5" customHeight="1" thickBot="1">
      <c r="B18" s="1331"/>
      <c r="C18" s="1332"/>
      <c r="D18" s="528"/>
      <c r="E18" s="523"/>
      <c r="F18" s="523"/>
      <c r="G18" s="523"/>
      <c r="H18" s="523"/>
      <c r="I18" s="523"/>
      <c r="J18" s="539">
        <f>SUM(E18:I18)</f>
        <v>0</v>
      </c>
      <c r="K18" s="529"/>
      <c r="L18" s="526"/>
      <c r="M18" s="527"/>
    </row>
    <row r="19" spans="2:13" ht="19.5" customHeight="1" thickBot="1">
      <c r="B19" s="1331"/>
      <c r="C19" s="1332"/>
      <c r="D19" s="528"/>
      <c r="E19" s="523"/>
      <c r="F19" s="523"/>
      <c r="G19" s="523"/>
      <c r="H19" s="523"/>
      <c r="I19" s="523"/>
      <c r="J19" s="539">
        <f>SUM(E19:I19)</f>
        <v>0</v>
      </c>
      <c r="K19" s="529"/>
      <c r="L19" s="526"/>
      <c r="M19" s="527"/>
    </row>
    <row r="20" spans="2:13" ht="19.5" customHeight="1" thickBot="1">
      <c r="B20" s="1337"/>
      <c r="C20" s="1338"/>
      <c r="D20" s="528"/>
      <c r="E20" s="523"/>
      <c r="F20" s="523"/>
      <c r="G20" s="523"/>
      <c r="H20" s="523"/>
      <c r="I20" s="523"/>
      <c r="J20" s="539">
        <f>SUM(E20:I20)</f>
        <v>0</v>
      </c>
      <c r="K20" s="529"/>
      <c r="L20" s="526"/>
      <c r="M20" s="527"/>
    </row>
    <row r="21" spans="2:13" s="132" customFormat="1" ht="19.5" customHeight="1" thickBot="1">
      <c r="B21" s="1353" t="s">
        <v>824</v>
      </c>
      <c r="C21" s="1354"/>
      <c r="D21" s="530"/>
      <c r="E21" s="562">
        <f>SUM(E16:E20)</f>
        <v>0</v>
      </c>
      <c r="F21" s="562">
        <f>SUM(F16:F20)</f>
        <v>0</v>
      </c>
      <c r="G21" s="563"/>
      <c r="H21" s="562">
        <f>SUM(H16:H20)</f>
        <v>0</v>
      </c>
      <c r="I21" s="562">
        <f>SUM(I16:I20)</f>
        <v>0</v>
      </c>
      <c r="J21" s="562">
        <f>SUM(J17:J20)</f>
        <v>0</v>
      </c>
      <c r="K21" s="531"/>
      <c r="L21" s="564">
        <f>SUM(L16:L20)</f>
        <v>0</v>
      </c>
      <c r="M21" s="532"/>
    </row>
    <row r="22" spans="2:13" ht="12.75">
      <c r="B22" s="230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231"/>
    </row>
    <row r="23" spans="2:13" ht="18" customHeight="1">
      <c r="B23" s="1333" t="s">
        <v>888</v>
      </c>
      <c r="C23" s="1334"/>
      <c r="D23" s="1334"/>
      <c r="E23" s="1334"/>
      <c r="F23" s="1334"/>
      <c r="G23" s="1334"/>
      <c r="H23" s="1334"/>
      <c r="I23" s="1334"/>
      <c r="J23" s="1334"/>
      <c r="K23" s="1334"/>
      <c r="L23" s="1334"/>
      <c r="M23" s="1335"/>
    </row>
    <row r="24" spans="2:13" s="229" customFormat="1" ht="22.5" customHeight="1">
      <c r="B24" s="1333" t="s">
        <v>405</v>
      </c>
      <c r="C24" s="1334"/>
      <c r="D24" s="1334"/>
      <c r="E24" s="1334"/>
      <c r="F24" s="1334"/>
      <c r="G24" s="1334"/>
      <c r="H24" s="1334"/>
      <c r="I24" s="1334"/>
      <c r="J24" s="1334"/>
      <c r="K24" s="1334"/>
      <c r="L24" s="1334"/>
      <c r="M24" s="1335"/>
    </row>
    <row r="25" spans="2:13" ht="25.5" customHeight="1">
      <c r="B25" s="1346" t="s">
        <v>118</v>
      </c>
      <c r="C25" s="1347"/>
      <c r="D25" s="1336" t="s">
        <v>225</v>
      </c>
      <c r="E25" s="1336" t="s">
        <v>119</v>
      </c>
      <c r="F25" s="1336" t="s">
        <v>226</v>
      </c>
      <c r="G25" s="1336"/>
      <c r="H25" s="1336" t="s">
        <v>227</v>
      </c>
      <c r="I25" s="1336"/>
      <c r="J25" s="1340" t="s">
        <v>120</v>
      </c>
      <c r="K25" s="1340" t="s">
        <v>124</v>
      </c>
      <c r="L25" s="1340" t="s">
        <v>122</v>
      </c>
      <c r="M25" s="1339" t="s">
        <v>891</v>
      </c>
    </row>
    <row r="26" spans="2:13" ht="54" customHeight="1" thickBot="1">
      <c r="B26" s="1348"/>
      <c r="C26" s="1349"/>
      <c r="D26" s="1336"/>
      <c r="E26" s="1336"/>
      <c r="F26" s="228" t="s">
        <v>229</v>
      </c>
      <c r="G26" s="228" t="s">
        <v>230</v>
      </c>
      <c r="H26" s="228" t="s">
        <v>231</v>
      </c>
      <c r="I26" s="228" t="s">
        <v>232</v>
      </c>
      <c r="J26" s="1340"/>
      <c r="K26" s="1340"/>
      <c r="L26" s="1340"/>
      <c r="M26" s="1339"/>
    </row>
    <row r="27" spans="2:13" ht="13.5" thickBot="1">
      <c r="B27" s="1350" t="s">
        <v>889</v>
      </c>
      <c r="C27" s="1351"/>
      <c r="D27" s="1351"/>
      <c r="E27" s="1351"/>
      <c r="F27" s="1351"/>
      <c r="G27" s="1351"/>
      <c r="H27" s="1351"/>
      <c r="I27" s="1351"/>
      <c r="J27" s="1351"/>
      <c r="K27" s="1351"/>
      <c r="L27" s="1351"/>
      <c r="M27" s="1352"/>
    </row>
    <row r="28" spans="2:13" s="134" customFormat="1" ht="19.5" customHeight="1" thickBot="1">
      <c r="B28" s="1341"/>
      <c r="C28" s="1342"/>
      <c r="D28" s="521"/>
      <c r="E28" s="522"/>
      <c r="F28" s="528"/>
      <c r="G28" s="528"/>
      <c r="H28" s="528"/>
      <c r="I28" s="524"/>
      <c r="J28" s="539">
        <f>SUM(E28:I28)</f>
        <v>0</v>
      </c>
      <c r="K28" s="525"/>
      <c r="L28" s="526"/>
      <c r="M28" s="527"/>
    </row>
    <row r="29" spans="2:13" s="134" customFormat="1" ht="19.5" customHeight="1" thickBot="1">
      <c r="B29" s="1341"/>
      <c r="C29" s="1342"/>
      <c r="D29" s="521"/>
      <c r="E29" s="522"/>
      <c r="F29" s="528"/>
      <c r="G29" s="528"/>
      <c r="H29" s="528"/>
      <c r="I29" s="524"/>
      <c r="J29" s="539">
        <f>SUM(E29:I29)</f>
        <v>0</v>
      </c>
      <c r="K29" s="525"/>
      <c r="L29" s="526"/>
      <c r="M29" s="527"/>
    </row>
    <row r="30" spans="2:13" s="134" customFormat="1" ht="19.5" customHeight="1" thickBot="1">
      <c r="B30" s="1341"/>
      <c r="C30" s="1342"/>
      <c r="D30" s="521"/>
      <c r="E30" s="522"/>
      <c r="F30" s="528"/>
      <c r="G30" s="528"/>
      <c r="H30" s="528"/>
      <c r="I30" s="524"/>
      <c r="J30" s="539">
        <f>SUM(E30:I30)</f>
        <v>0</v>
      </c>
      <c r="K30" s="525"/>
      <c r="L30" s="526"/>
      <c r="M30" s="527"/>
    </row>
    <row r="31" spans="2:13" s="134" customFormat="1" ht="19.5" customHeight="1" thickBot="1">
      <c r="B31" s="1331"/>
      <c r="C31" s="1332"/>
      <c r="D31" s="528"/>
      <c r="E31" s="524"/>
      <c r="F31" s="528"/>
      <c r="G31" s="528"/>
      <c r="H31" s="528"/>
      <c r="I31" s="528"/>
      <c r="J31" s="539">
        <f>SUM(E31:I31)</f>
        <v>0</v>
      </c>
      <c r="K31" s="529"/>
      <c r="L31" s="526"/>
      <c r="M31" s="527"/>
    </row>
    <row r="32" spans="2:13" s="134" customFormat="1" ht="19.5" customHeight="1" thickBot="1">
      <c r="B32" s="1337"/>
      <c r="C32" s="1338"/>
      <c r="D32" s="528"/>
      <c r="E32" s="524"/>
      <c r="F32" s="528"/>
      <c r="G32" s="528"/>
      <c r="H32" s="528"/>
      <c r="I32" s="528"/>
      <c r="J32" s="539">
        <f>SUM(E32:I32)</f>
        <v>0</v>
      </c>
      <c r="K32" s="526"/>
      <c r="L32" s="526"/>
      <c r="M32" s="527"/>
    </row>
    <row r="33" spans="2:13" s="132" customFormat="1" ht="19.5" customHeight="1" thickBot="1">
      <c r="B33" s="1353" t="s">
        <v>824</v>
      </c>
      <c r="C33" s="1354"/>
      <c r="D33" s="530"/>
      <c r="E33" s="562">
        <f>SUM(E28:E32)</f>
        <v>0</v>
      </c>
      <c r="F33" s="562">
        <f>SUM(F28:F32)</f>
        <v>0</v>
      </c>
      <c r="G33" s="563"/>
      <c r="H33" s="562">
        <f>SUM(H28:H32)</f>
        <v>0</v>
      </c>
      <c r="I33" s="562">
        <f>SUM(I28:I32)</f>
        <v>0</v>
      </c>
      <c r="J33" s="562">
        <f>SUM(J28:J32)</f>
        <v>0</v>
      </c>
      <c r="K33" s="531"/>
      <c r="L33" s="564">
        <f>SUM(L27:L32)</f>
        <v>0</v>
      </c>
      <c r="M33" s="532"/>
    </row>
    <row r="34" spans="2:13" s="134" customFormat="1" ht="19.5" customHeight="1" thickBot="1">
      <c r="B34" s="1343" t="s">
        <v>890</v>
      </c>
      <c r="C34" s="1344"/>
      <c r="D34" s="1344"/>
      <c r="E34" s="1344"/>
      <c r="F34" s="1344"/>
      <c r="G34" s="1344"/>
      <c r="H34" s="1344"/>
      <c r="I34" s="1344"/>
      <c r="J34" s="1344"/>
      <c r="K34" s="1344"/>
      <c r="L34" s="1344"/>
      <c r="M34" s="1345"/>
    </row>
    <row r="35" spans="2:13" s="134" customFormat="1" ht="19.5" customHeight="1" thickBot="1">
      <c r="B35" s="1331" t="s">
        <v>218</v>
      </c>
      <c r="C35" s="1332"/>
      <c r="D35" s="929" t="s">
        <v>491</v>
      </c>
      <c r="E35" s="523">
        <v>15096.76</v>
      </c>
      <c r="F35" s="528"/>
      <c r="G35" s="528"/>
      <c r="H35" s="524"/>
      <c r="I35" s="528"/>
      <c r="J35" s="539">
        <f>SUM(E35:I35)</f>
        <v>15096.76</v>
      </c>
      <c r="K35" s="526"/>
      <c r="L35" s="526"/>
      <c r="M35" s="527"/>
    </row>
    <row r="36" spans="2:13" s="134" customFormat="1" ht="19.5" customHeight="1" thickBot="1">
      <c r="B36" s="1331" t="s">
        <v>218</v>
      </c>
      <c r="C36" s="1332"/>
      <c r="D36" s="929" t="s">
        <v>492</v>
      </c>
      <c r="E36" s="523">
        <v>1177.88</v>
      </c>
      <c r="F36" s="524"/>
      <c r="G36" s="528"/>
      <c r="H36" s="524"/>
      <c r="I36" s="528"/>
      <c r="J36" s="539">
        <f>SUM(E36:I36)</f>
        <v>1177.88</v>
      </c>
      <c r="K36" s="526"/>
      <c r="L36" s="526"/>
      <c r="M36" s="527"/>
    </row>
    <row r="37" spans="2:13" s="134" customFormat="1" ht="19.5" customHeight="1" thickBot="1">
      <c r="B37" s="1331" t="s">
        <v>218</v>
      </c>
      <c r="C37" s="1332"/>
      <c r="D37" s="528" t="s">
        <v>493</v>
      </c>
      <c r="E37" s="523">
        <v>37067.640000000014</v>
      </c>
      <c r="F37" s="528"/>
      <c r="G37" s="528"/>
      <c r="H37" s="528"/>
      <c r="I37" s="528"/>
      <c r="J37" s="539">
        <f>SUM(E37:I37)</f>
        <v>37067.640000000014</v>
      </c>
      <c r="K37" s="526"/>
      <c r="L37" s="526"/>
      <c r="M37" s="527"/>
    </row>
    <row r="38" spans="2:13" s="134" customFormat="1" ht="19.5" customHeight="1" thickBot="1">
      <c r="B38" s="1331"/>
      <c r="C38" s="1332"/>
      <c r="D38" s="528"/>
      <c r="E38" s="523"/>
      <c r="F38" s="528"/>
      <c r="G38" s="528"/>
      <c r="H38" s="528"/>
      <c r="I38" s="528"/>
      <c r="J38" s="539">
        <f>SUM(E38:I38)</f>
        <v>0</v>
      </c>
      <c r="K38" s="526"/>
      <c r="L38" s="526"/>
      <c r="M38" s="527"/>
    </row>
    <row r="39" spans="2:13" s="134" customFormat="1" ht="19.5" customHeight="1" thickBot="1">
      <c r="B39" s="1337"/>
      <c r="C39" s="1338"/>
      <c r="D39" s="528"/>
      <c r="E39" s="523"/>
      <c r="F39" s="533"/>
      <c r="G39" s="533"/>
      <c r="H39" s="533"/>
      <c r="I39" s="533"/>
      <c r="J39" s="539">
        <f>SUM(E39:I39)</f>
        <v>0</v>
      </c>
      <c r="K39" s="534"/>
      <c r="L39" s="534"/>
      <c r="M39" s="535"/>
    </row>
    <row r="40" spans="2:13" s="132" customFormat="1" ht="19.5" customHeight="1" thickBot="1">
      <c r="B40" s="1366" t="s">
        <v>824</v>
      </c>
      <c r="C40" s="1367"/>
      <c r="D40" s="536"/>
      <c r="E40" s="565">
        <f>SUM(E35:E39)</f>
        <v>53342.28000000001</v>
      </c>
      <c r="F40" s="565">
        <f>SUM(F35:F39)</f>
        <v>0</v>
      </c>
      <c r="G40" s="566"/>
      <c r="H40" s="565">
        <f>SUM(H35:H39)</f>
        <v>0</v>
      </c>
      <c r="I40" s="565">
        <f>SUM(I35:I39)</f>
        <v>0</v>
      </c>
      <c r="J40" s="565">
        <f>SUM(J35:J39)</f>
        <v>53342.28000000001</v>
      </c>
      <c r="K40" s="537"/>
      <c r="L40" s="567">
        <f>SUM(L35:L39)</f>
        <v>0</v>
      </c>
      <c r="M40" s="538"/>
    </row>
    <row r="43" spans="2:13" ht="12.75">
      <c r="B43" s="1368" t="s">
        <v>33</v>
      </c>
      <c r="C43" s="1368"/>
      <c r="D43" s="1368"/>
      <c r="E43" s="1368"/>
      <c r="F43" s="1368"/>
      <c r="G43" s="1368"/>
      <c r="H43" s="1368"/>
      <c r="I43" s="1368"/>
      <c r="J43" s="1368"/>
      <c r="K43" s="1368"/>
      <c r="L43" s="1368"/>
      <c r="M43" s="1368"/>
    </row>
    <row r="44" spans="2:13" ht="12.75">
      <c r="B44" s="1365" t="s">
        <v>192</v>
      </c>
      <c r="C44" s="1365"/>
      <c r="D44" s="1365"/>
      <c r="E44" s="1365"/>
      <c r="F44" s="1365"/>
      <c r="G44" s="1365"/>
      <c r="H44" s="1365"/>
      <c r="I44" s="1365"/>
      <c r="J44" s="1365"/>
      <c r="K44" s="1365"/>
      <c r="L44" s="1365"/>
      <c r="M44" s="1365"/>
    </row>
    <row r="45" spans="2:13" ht="12.75">
      <c r="B45" s="1365" t="s">
        <v>887</v>
      </c>
      <c r="C45" s="1365"/>
      <c r="D45" s="1365"/>
      <c r="E45" s="1365"/>
      <c r="F45" s="1365"/>
      <c r="G45" s="1365"/>
      <c r="H45" s="1365"/>
      <c r="I45" s="1365"/>
      <c r="J45" s="1365"/>
      <c r="K45" s="1365"/>
      <c r="L45" s="1365"/>
      <c r="M45" s="1365"/>
    </row>
    <row r="46" spans="2:13" ht="12.75">
      <c r="B46" s="1365" t="s">
        <v>193</v>
      </c>
      <c r="C46" s="1365"/>
      <c r="D46" s="1365"/>
      <c r="E46" s="1365"/>
      <c r="F46" s="1365"/>
      <c r="G46" s="1365"/>
      <c r="H46" s="1365"/>
      <c r="I46" s="1365"/>
      <c r="J46" s="1365"/>
      <c r="K46" s="1365"/>
      <c r="L46" s="1365"/>
      <c r="M46" s="1365"/>
    </row>
    <row r="47" spans="2:13" ht="12.75">
      <c r="B47" s="1365" t="s">
        <v>194</v>
      </c>
      <c r="C47" s="1365"/>
      <c r="D47" s="1365"/>
      <c r="E47" s="1365"/>
      <c r="F47" s="1365"/>
      <c r="G47" s="1365"/>
      <c r="H47" s="1365"/>
      <c r="I47" s="1365"/>
      <c r="J47" s="1365"/>
      <c r="K47" s="1365"/>
      <c r="L47" s="1365"/>
      <c r="M47" s="1365"/>
    </row>
    <row r="48" spans="2:13" ht="12.75">
      <c r="B48" s="1365" t="s">
        <v>195</v>
      </c>
      <c r="C48" s="1365"/>
      <c r="D48" s="1365"/>
      <c r="E48" s="1365"/>
      <c r="F48" s="1365"/>
      <c r="G48" s="1365"/>
      <c r="H48" s="1365"/>
      <c r="I48" s="1365"/>
      <c r="J48" s="1365"/>
      <c r="K48" s="1365"/>
      <c r="L48" s="1365"/>
      <c r="M48" s="1365"/>
    </row>
    <row r="49" spans="2:13" ht="12.75">
      <c r="B49" s="1365" t="s">
        <v>1069</v>
      </c>
      <c r="C49" s="1365"/>
      <c r="D49" s="1365"/>
      <c r="E49" s="1365"/>
      <c r="F49" s="1365"/>
      <c r="G49" s="1365"/>
      <c r="H49" s="1365"/>
      <c r="I49" s="1365"/>
      <c r="J49" s="1365"/>
      <c r="K49" s="1365"/>
      <c r="L49" s="1365"/>
      <c r="M49" s="1365"/>
    </row>
    <row r="50" spans="2:13" ht="12.75">
      <c r="B50" s="1365" t="s">
        <v>1070</v>
      </c>
      <c r="C50" s="1365"/>
      <c r="D50" s="1365"/>
      <c r="E50" s="1365"/>
      <c r="F50" s="1365"/>
      <c r="G50" s="1365"/>
      <c r="H50" s="1365"/>
      <c r="I50" s="1365"/>
      <c r="J50" s="1365"/>
      <c r="K50" s="1365"/>
      <c r="L50" s="1365"/>
      <c r="M50" s="1365"/>
    </row>
    <row r="51" spans="2:13" ht="12.75">
      <c r="B51" s="1365" t="s">
        <v>892</v>
      </c>
      <c r="C51" s="1365"/>
      <c r="D51" s="1365"/>
      <c r="E51" s="1365"/>
      <c r="F51" s="1365"/>
      <c r="G51" s="1365"/>
      <c r="H51" s="1365"/>
      <c r="I51" s="1365"/>
      <c r="J51" s="1365"/>
      <c r="K51" s="1365"/>
      <c r="L51" s="1365"/>
      <c r="M51" s="1365"/>
    </row>
    <row r="52" spans="2:13" ht="12.75">
      <c r="B52" s="1365" t="s">
        <v>0</v>
      </c>
      <c r="C52" s="1365"/>
      <c r="D52" s="1365"/>
      <c r="E52" s="1365"/>
      <c r="F52" s="1365"/>
      <c r="G52" s="1365"/>
      <c r="H52" s="1365"/>
      <c r="I52" s="1365"/>
      <c r="J52" s="1365"/>
      <c r="K52" s="1365"/>
      <c r="L52" s="1365"/>
      <c r="M52" s="1365"/>
    </row>
    <row r="53" spans="2:13" ht="12.75">
      <c r="B53" s="1365" t="s">
        <v>1</v>
      </c>
      <c r="C53" s="1365"/>
      <c r="D53" s="1365"/>
      <c r="E53" s="1365"/>
      <c r="F53" s="1365"/>
      <c r="G53" s="1365"/>
      <c r="H53" s="1365"/>
      <c r="I53" s="1365"/>
      <c r="J53" s="1365"/>
      <c r="K53" s="1365"/>
      <c r="L53" s="1365"/>
      <c r="M53" s="1365"/>
    </row>
    <row r="54" spans="4:8" ht="12.75" hidden="1">
      <c r="D54" s="133" t="s">
        <v>766</v>
      </c>
      <c r="E54" s="232">
        <f>+ACTIVO!C20</f>
        <v>20378.13</v>
      </c>
      <c r="F54" s="232">
        <f>+ACTIVO!D20</f>
        <v>20863.950000000004</v>
      </c>
      <c r="G54" s="232">
        <f>+ACTIVO!E20</f>
        <v>20863.950000000004</v>
      </c>
      <c r="H54" s="232">
        <f>+ACTIVO!E20</f>
        <v>20863.950000000004</v>
      </c>
    </row>
    <row r="55" spans="4:8" ht="12.75" hidden="1">
      <c r="D55" s="233" t="s">
        <v>767</v>
      </c>
      <c r="E55" s="234">
        <f>+E53-E54</f>
        <v>-20378.13</v>
      </c>
      <c r="F55" s="234">
        <f>+F53-F54</f>
        <v>-20863.950000000004</v>
      </c>
      <c r="G55" s="234">
        <f>+G53-G54</f>
        <v>-20863.950000000004</v>
      </c>
      <c r="H55" s="234">
        <f>+H53-H54</f>
        <v>-20863.950000000004</v>
      </c>
    </row>
    <row r="56" ht="12.75" hidden="1"/>
    <row r="57" ht="12.75" hidden="1"/>
    <row r="58" ht="12.75" hidden="1"/>
    <row r="59" ht="12.75" hidden="1"/>
  </sheetData>
  <sheetProtection formatColumns="0" formatRows="0"/>
  <mergeCells count="65">
    <mergeCell ref="B18:C18"/>
    <mergeCell ref="B21:C21"/>
    <mergeCell ref="B24:M24"/>
    <mergeCell ref="M25:M26"/>
    <mergeCell ref="L25:L26"/>
    <mergeCell ref="B25:C26"/>
    <mergeCell ref="D25:D26"/>
    <mergeCell ref="E25:E26"/>
    <mergeCell ref="B19:C19"/>
    <mergeCell ref="B20:C20"/>
    <mergeCell ref="B35:C35"/>
    <mergeCell ref="B36:C36"/>
    <mergeCell ref="B34:M34"/>
    <mergeCell ref="B53:M53"/>
    <mergeCell ref="B49:M49"/>
    <mergeCell ref="B50:M50"/>
    <mergeCell ref="B51:M51"/>
    <mergeCell ref="B52:M52"/>
    <mergeCell ref="B38:C38"/>
    <mergeCell ref="B47:M47"/>
    <mergeCell ref="B48:M48"/>
    <mergeCell ref="B40:C40"/>
    <mergeCell ref="B39:C39"/>
    <mergeCell ref="B37:C37"/>
    <mergeCell ref="B43:M43"/>
    <mergeCell ref="B44:M44"/>
    <mergeCell ref="B45:M45"/>
    <mergeCell ref="B46:M46"/>
    <mergeCell ref="B23:M23"/>
    <mergeCell ref="B32:C32"/>
    <mergeCell ref="B33:C33"/>
    <mergeCell ref="B29:C29"/>
    <mergeCell ref="B31:C31"/>
    <mergeCell ref="B30:C30"/>
    <mergeCell ref="F25:G25"/>
    <mergeCell ref="B28:C28"/>
    <mergeCell ref="J25:J26"/>
    <mergeCell ref="K25:K26"/>
    <mergeCell ref="H25:I25"/>
    <mergeCell ref="B27:M27"/>
    <mergeCell ref="B2:K2"/>
    <mergeCell ref="B3:K3"/>
    <mergeCell ref="L3:M3"/>
    <mergeCell ref="L2:M2"/>
    <mergeCell ref="H6:I6"/>
    <mergeCell ref="L6:L7"/>
    <mergeCell ref="B12:C12"/>
    <mergeCell ref="B17:C17"/>
    <mergeCell ref="K6:K7"/>
    <mergeCell ref="B9:C9"/>
    <mergeCell ref="B15:M15"/>
    <mergeCell ref="B10:C10"/>
    <mergeCell ref="B6:C7"/>
    <mergeCell ref="B8:M8"/>
    <mergeCell ref="B14:C14"/>
    <mergeCell ref="B4:M4"/>
    <mergeCell ref="B16:C16"/>
    <mergeCell ref="B5:M5"/>
    <mergeCell ref="D6:D7"/>
    <mergeCell ref="E6:E7"/>
    <mergeCell ref="F6:G6"/>
    <mergeCell ref="B13:C13"/>
    <mergeCell ref="B11:C11"/>
    <mergeCell ref="M6:M7"/>
    <mergeCell ref="J6:J7"/>
  </mergeCells>
  <dataValidations count="8">
    <dataValidation allowBlank="1" showInputMessage="1" showErrorMessage="1" promptTitle="ENTIDAD BENEFICIARIA:" prompt=" Entidad del grupo,asociada o cualquier otra en la cual se realiza la inversión." sqref="B16:B18 C21 B35:B37 C19 C38 C40"/>
    <dataValidation allowBlank="1" showInputMessage="1" showErrorMessage="1" promptTitle="ENTIDAD BENEFICIARIA:" prompt=" Entidad del grupo o asociada en la cual se realiza la inversión." sqref="B10 C32:C33 B31 C11 C14"/>
    <dataValidation allowBlank="1" showInputMessage="1" showErrorMessage="1" promptTitle="SALDO INICIAL:" prompt=" Saldo a 1 de enero del período al que están referidas las estimaciones." sqref="E10:E13 E28:E32 E16:E20 E35:E39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F9:F14 F28:F32 E14 F35:F39 F18:F20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G9:G14 G28:G33 G16:G20 G35:G39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H9:H14 I33:J33 E33:F33 H28:H33 H35:H39 H16:H20 F16:F17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I9:I14 I28:I32 I16:I20 I35:I39"/>
    <dataValidation allowBlank="1" showInputMessage="1" showErrorMessage="1" promptTitle="SALDO FINAL: " prompt="Saldo a 31 de diciembre del ejercicio al que está referidas las estimaciones." sqref="J9:J14 J28:J32 J16:J20 J35:J39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57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1369" t="s">
        <v>810</v>
      </c>
      <c r="B1" s="1370"/>
      <c r="C1" s="1371"/>
      <c r="D1" s="16" t="e">
        <f>#REF!</f>
        <v>#REF!</v>
      </c>
    </row>
    <row r="2" spans="1:4" ht="25.5" customHeight="1">
      <c r="A2" s="1372" t="s">
        <v>296</v>
      </c>
      <c r="B2" s="1373"/>
      <c r="C2" s="1374"/>
      <c r="D2" s="13" t="s">
        <v>294</v>
      </c>
    </row>
    <row r="3" spans="1:4" ht="25.5" customHeight="1">
      <c r="A3" s="1375" t="s">
        <v>403</v>
      </c>
      <c r="B3" s="1376"/>
      <c r="C3" s="1376"/>
      <c r="D3" s="1377"/>
    </row>
    <row r="4" spans="1:4" ht="31.5" customHeight="1">
      <c r="A4" s="19" t="s">
        <v>821</v>
      </c>
      <c r="B4" s="9" t="str">
        <f>ACTIVO!C5</f>
        <v>REAL 2015</v>
      </c>
      <c r="C4" s="17" t="str">
        <f>ACTIVO!D5</f>
        <v>ESTIMACIÓN 2016</v>
      </c>
      <c r="D4" s="18" t="str">
        <f>ACTIVO!E5</f>
        <v>PREVISIÓN 2017</v>
      </c>
    </row>
    <row r="5" spans="1:4" s="3" customFormat="1" ht="19.5" customHeight="1">
      <c r="A5" s="5" t="s">
        <v>857</v>
      </c>
      <c r="B5" s="21"/>
      <c r="C5" s="21"/>
      <c r="D5" s="22"/>
    </row>
    <row r="6" spans="1:4" s="3" customFormat="1" ht="19.5" customHeight="1">
      <c r="A6" s="5" t="s">
        <v>347</v>
      </c>
      <c r="B6" s="23" t="str">
        <f>CPYG!B6</f>
        <v>A) OPERACIONES CONTINUADAS</v>
      </c>
      <c r="C6" s="23" t="e">
        <f>CPYG!#REF!</f>
        <v>#REF!</v>
      </c>
      <c r="D6" s="24">
        <f>CPYG!C6</f>
        <v>0</v>
      </c>
    </row>
    <row r="7" spans="1:4" s="3" customFormat="1" ht="19.5" customHeight="1">
      <c r="A7" s="10" t="s">
        <v>822</v>
      </c>
      <c r="B7" s="25" t="str">
        <f>CPYG!B7</f>
        <v>1.  IMPORTE NETO DE LA CIFRA DE NEGOCIOS.</v>
      </c>
      <c r="C7" s="25" t="e">
        <f>CPYG!#REF!</f>
        <v>#REF!</v>
      </c>
      <c r="D7" s="26">
        <f>CPYG!C7</f>
        <v>55365287.47</v>
      </c>
    </row>
    <row r="8" spans="1:4" s="3" customFormat="1" ht="19.5" customHeight="1">
      <c r="A8" s="10" t="s">
        <v>858</v>
      </c>
      <c r="B8" s="25" t="e">
        <f>CPYG!#REF!</f>
        <v>#REF!</v>
      </c>
      <c r="C8" s="25" t="e">
        <f>CPYG!#REF!</f>
        <v>#REF!</v>
      </c>
      <c r="D8" s="26" t="e">
        <f>CPYG!#REF!</f>
        <v>#REF!</v>
      </c>
    </row>
    <row r="9" spans="1:4" s="3" customFormat="1" ht="19.5" customHeight="1">
      <c r="A9" s="10" t="s">
        <v>348</v>
      </c>
      <c r="B9" s="25" t="e">
        <f>CPYG!#REF!</f>
        <v>#REF!</v>
      </c>
      <c r="C9" s="25" t="e">
        <f>CPYG!#REF!</f>
        <v>#REF!</v>
      </c>
      <c r="D9" s="26" t="e">
        <f>CPYG!#REF!</f>
        <v>#REF!</v>
      </c>
    </row>
    <row r="10" spans="1:4" s="3" customFormat="1" ht="19.5" customHeight="1">
      <c r="A10" s="10" t="s">
        <v>349</v>
      </c>
      <c r="B10" s="25" t="e">
        <f>CPYG!#REF!</f>
        <v>#REF!</v>
      </c>
      <c r="C10" s="27" t="e">
        <f>CPYG!#REF!</f>
        <v>#REF!</v>
      </c>
      <c r="D10" s="26" t="e">
        <f>CPYG!#REF!</f>
        <v>#REF!</v>
      </c>
    </row>
    <row r="11" spans="1:4" s="3" customFormat="1" ht="19.5" customHeight="1">
      <c r="A11" s="10" t="s">
        <v>350</v>
      </c>
      <c r="B11" s="25" t="e">
        <f>CPYG!#REF!</f>
        <v>#REF!</v>
      </c>
      <c r="C11" s="27" t="e">
        <f>CPYG!#REF!</f>
        <v>#REF!</v>
      </c>
      <c r="D11" s="26" t="e">
        <f>CPYG!#REF!</f>
        <v>#REF!</v>
      </c>
    </row>
    <row r="12" spans="1:4" s="3" customFormat="1" ht="19.5" customHeight="1">
      <c r="A12" s="10" t="s">
        <v>860</v>
      </c>
      <c r="B12" s="25" t="e">
        <f>CPYG!#REF!</f>
        <v>#REF!</v>
      </c>
      <c r="C12" s="27" t="e">
        <f>CPYG!#REF!</f>
        <v>#REF!</v>
      </c>
      <c r="D12" s="26" t="e">
        <f>CPYG!#REF!</f>
        <v>#REF!</v>
      </c>
    </row>
    <row r="13" spans="1:4" s="3" customFormat="1" ht="19.5" customHeight="1">
      <c r="A13" s="10" t="s">
        <v>351</v>
      </c>
      <c r="B13" s="25" t="e">
        <f>CPYG!#REF!</f>
        <v>#REF!</v>
      </c>
      <c r="C13" s="25" t="e">
        <f>CPYG!#REF!</f>
        <v>#REF!</v>
      </c>
      <c r="D13" s="26" t="e">
        <f>CPYG!#REF!</f>
        <v>#REF!</v>
      </c>
    </row>
    <row r="14" spans="1:4" s="3" customFormat="1" ht="19.5" customHeight="1">
      <c r="A14" s="10" t="s">
        <v>861</v>
      </c>
      <c r="B14" s="25" t="e">
        <f>CPYG!#REF!</f>
        <v>#REF!</v>
      </c>
      <c r="C14" s="25" t="e">
        <f>CPYG!#REF!</f>
        <v>#REF!</v>
      </c>
      <c r="D14" s="26" t="e">
        <f>CPYG!#REF!</f>
        <v>#REF!</v>
      </c>
    </row>
    <row r="15" spans="1:4" s="3" customFormat="1" ht="19.5" customHeight="1">
      <c r="A15" s="10" t="s">
        <v>353</v>
      </c>
      <c r="B15" s="25" t="e">
        <f>CPYG!#REF!</f>
        <v>#REF!</v>
      </c>
      <c r="C15" s="27" t="e">
        <f>CPYG!#REF!</f>
        <v>#REF!</v>
      </c>
      <c r="D15" s="26" t="e">
        <f>CPYG!#REF!</f>
        <v>#REF!</v>
      </c>
    </row>
    <row r="16" spans="1:4" s="3" customFormat="1" ht="19.5" customHeight="1">
      <c r="A16" s="10" t="s">
        <v>354</v>
      </c>
      <c r="B16" s="25" t="e">
        <f>CPYG!#REF!</f>
        <v>#REF!</v>
      </c>
      <c r="C16" s="27" t="e">
        <f>CPYG!#REF!</f>
        <v>#REF!</v>
      </c>
      <c r="D16" s="26" t="e">
        <f>CPYG!#REF!</f>
        <v>#REF!</v>
      </c>
    </row>
    <row r="17" spans="1:4" s="3" customFormat="1" ht="19.5" customHeight="1">
      <c r="A17" s="10" t="s">
        <v>355</v>
      </c>
      <c r="B17" s="25" t="e">
        <f>CPYG!#REF!</f>
        <v>#REF!</v>
      </c>
      <c r="C17" s="27" t="e">
        <f>CPYG!#REF!</f>
        <v>#REF!</v>
      </c>
      <c r="D17" s="26" t="e">
        <f>CPYG!#REF!</f>
        <v>#REF!</v>
      </c>
    </row>
    <row r="18" spans="1:4" s="3" customFormat="1" ht="19.5" customHeight="1">
      <c r="A18" s="10" t="s">
        <v>862</v>
      </c>
      <c r="B18" s="25" t="e">
        <f>CPYG!#REF!</f>
        <v>#REF!</v>
      </c>
      <c r="C18" s="27" t="e">
        <f>CPYG!#REF!</f>
        <v>#REF!</v>
      </c>
      <c r="D18" s="26" t="e">
        <f>CPYG!#REF!</f>
        <v>#REF!</v>
      </c>
    </row>
    <row r="19" spans="1:4" s="3" customFormat="1" ht="19.5" customHeight="1">
      <c r="A19" s="5" t="s">
        <v>6</v>
      </c>
      <c r="B19" s="23" t="e">
        <f>CPYG!#REF!</f>
        <v>#REF!</v>
      </c>
      <c r="C19" s="23" t="e">
        <f>CPYG!#REF!</f>
        <v>#REF!</v>
      </c>
      <c r="D19" s="24" t="e">
        <f>CPYG!#REF!</f>
        <v>#REF!</v>
      </c>
    </row>
    <row r="20" spans="1:4" s="3" customFormat="1" ht="19.5" customHeight="1">
      <c r="A20" s="5" t="s">
        <v>356</v>
      </c>
      <c r="B20" s="23" t="str">
        <f>CPYG!B8</f>
        <v>2. VARIACIÓN DE EXISTENCIAS DE PRODUCTOS TERMINADOS Y EN CURSO DE FABRICACIÓN</v>
      </c>
      <c r="C20" s="23" t="e">
        <f>CPYG!#REF!</f>
        <v>#REF!</v>
      </c>
      <c r="D20" s="24">
        <f>CPYG!C8</f>
        <v>0</v>
      </c>
    </row>
    <row r="21" spans="1:4" s="3" customFormat="1" ht="19.5" customHeight="1">
      <c r="A21" s="5" t="s">
        <v>357</v>
      </c>
      <c r="B21" s="23" t="str">
        <f>CPYG!B11</f>
        <v>3. TRABAJOS REALIZADOS POR LA EMPRESA PARA SU ACTIVO.</v>
      </c>
      <c r="C21" s="23" t="e">
        <f>CPYG!#REF!</f>
        <v>#REF!</v>
      </c>
      <c r="D21" s="24">
        <f>CPYG!C11</f>
        <v>0</v>
      </c>
    </row>
    <row r="22" spans="1:4" s="3" customFormat="1" ht="19.5" customHeight="1">
      <c r="A22" s="10" t="s">
        <v>358</v>
      </c>
      <c r="B22" s="25" t="str">
        <f>CPYG!B12</f>
        <v>4. APROVISIONAMIENTOS.</v>
      </c>
      <c r="C22" s="25" t="e">
        <f>CPYG!#REF!</f>
        <v>#REF!</v>
      </c>
      <c r="D22" s="26">
        <f>CPYG!C12</f>
        <v>-14684662.38</v>
      </c>
    </row>
    <row r="23" spans="1:4" s="3" customFormat="1" ht="19.5" customHeight="1">
      <c r="A23" s="10" t="s">
        <v>359</v>
      </c>
      <c r="B23" s="25" t="str">
        <f>CPYG!B13</f>
        <v>         a) Consumo de mercaderías.</v>
      </c>
      <c r="C23" s="27" t="e">
        <f>CPYG!#REF!</f>
        <v>#REF!</v>
      </c>
      <c r="D23" s="26">
        <f>CPYG!C13</f>
        <v>0</v>
      </c>
    </row>
    <row r="24" spans="1:4" s="3" customFormat="1" ht="19.5" customHeight="1">
      <c r="A24" s="10" t="s">
        <v>360</v>
      </c>
      <c r="B24" s="25" t="str">
        <f>CPYG!B14</f>
        <v>          b) Consumo de materias primas y otras materias consumibles.</v>
      </c>
      <c r="C24" s="27" t="e">
        <f>CPYG!#REF!</f>
        <v>#REF!</v>
      </c>
      <c r="D24" s="26">
        <f>CPYG!C14</f>
        <v>-14402318.17</v>
      </c>
    </row>
    <row r="25" spans="1:4" s="3" customFormat="1" ht="19.5" customHeight="1">
      <c r="A25" s="10" t="s">
        <v>361</v>
      </c>
      <c r="B25" s="25" t="str">
        <f>CPYG!B15</f>
        <v>          c) Trabajos realizados por otras empresas.</v>
      </c>
      <c r="C25" s="27" t="e">
        <f>CPYG!#REF!</f>
        <v>#REF!</v>
      </c>
      <c r="D25" s="26">
        <f>CPYG!C15</f>
        <v>-282344.21</v>
      </c>
    </row>
    <row r="26" spans="1:4" s="3" customFormat="1" ht="19.5" customHeight="1">
      <c r="A26" s="5" t="s">
        <v>362</v>
      </c>
      <c r="B26" s="23" t="str">
        <f>CPYG!B16</f>
        <v>          d) Deterioro de mercaderías, materias primas y otros aprovisionamientos.</v>
      </c>
      <c r="C26" s="23" t="e">
        <f>CPYG!#REF!</f>
        <v>#REF!</v>
      </c>
      <c r="D26" s="24">
        <f>CPYG!C16</f>
        <v>0</v>
      </c>
    </row>
    <row r="27" spans="1:4" s="3" customFormat="1" ht="19.5" customHeight="1">
      <c r="A27" s="10" t="s">
        <v>363</v>
      </c>
      <c r="B27" s="25" t="str">
        <f>CPYG!B17</f>
        <v>5. OTROS INGRESOS DE EXPLOTACIÓN.</v>
      </c>
      <c r="C27" s="25" t="e">
        <f>CPYG!#REF!</f>
        <v>#REF!</v>
      </c>
      <c r="D27" s="26">
        <f>CPYG!C17</f>
        <v>24937708.54</v>
      </c>
    </row>
    <row r="28" spans="1:4" s="3" customFormat="1" ht="19.5" customHeight="1">
      <c r="A28" s="10" t="s">
        <v>365</v>
      </c>
      <c r="B28" s="25" t="str">
        <f>CPYG!B18</f>
        <v>      a) Ingresos accesorios y otros de gestión corriente.</v>
      </c>
      <c r="C28" s="25" t="e">
        <f>CPYG!#REF!</f>
        <v>#REF!</v>
      </c>
      <c r="D28" s="26">
        <f>CPYG!C18</f>
        <v>1845061.3900000001</v>
      </c>
    </row>
    <row r="29" spans="1:4" s="3" customFormat="1" ht="19.5" customHeight="1">
      <c r="A29" s="10" t="s">
        <v>366</v>
      </c>
      <c r="B29" s="25" t="str">
        <f>CPYG!B22</f>
        <v>      b) Subvenciones de explotación incorporadas al resultado del ejercicio.</v>
      </c>
      <c r="C29" s="27" t="e">
        <f>CPYG!#REF!</f>
        <v>#REF!</v>
      </c>
      <c r="D29" s="28">
        <f>CPYG!C22</f>
        <v>23092647.15</v>
      </c>
    </row>
    <row r="30" spans="1:4" s="3" customFormat="1" ht="19.5" customHeight="1">
      <c r="A30" s="10" t="s">
        <v>7</v>
      </c>
      <c r="B30" s="25" t="str">
        <f>CPYG!B23</f>
        <v>          b.1.) Estado.</v>
      </c>
      <c r="C30" s="27" t="e">
        <f>CPYG!#REF!</f>
        <v>#REF!</v>
      </c>
      <c r="D30" s="28">
        <f>CPYG!C23</f>
        <v>0</v>
      </c>
    </row>
    <row r="31" spans="1:4" s="3" customFormat="1" ht="19.5" customHeight="1">
      <c r="A31" s="10" t="s">
        <v>8</v>
      </c>
      <c r="B31" s="25" t="str">
        <f>CPYG!B24</f>
        <v>          b.2.) Comunidad Autónoma</v>
      </c>
      <c r="C31" s="27" t="e">
        <f>CPYG!#REF!</f>
        <v>#REF!</v>
      </c>
      <c r="D31" s="26">
        <f>CPYG!C24</f>
        <v>0</v>
      </c>
    </row>
    <row r="32" spans="1:4" s="3" customFormat="1" ht="19.5" customHeight="1">
      <c r="A32" s="10" t="s">
        <v>367</v>
      </c>
      <c r="B32" s="25" t="str">
        <f>CPYG!B25</f>
        <v>          b.3. ) Corporaciones Locales</v>
      </c>
      <c r="C32" s="25" t="e">
        <f>CPYG!#REF!</f>
        <v>#REF!</v>
      </c>
      <c r="D32" s="26">
        <f>CPYG!C25</f>
        <v>12828020.87</v>
      </c>
    </row>
    <row r="33" spans="1:4" s="3" customFormat="1" ht="19.5" customHeight="1">
      <c r="A33" s="10" t="s">
        <v>368</v>
      </c>
      <c r="B33" s="25" t="str">
        <f>CPYG!B26</f>
        <v>          b.4. ) Cabildo Insular de Tenerife.</v>
      </c>
      <c r="C33" s="27" t="e">
        <f>CPYG!#REF!</f>
        <v>#REF!</v>
      </c>
      <c r="D33" s="26">
        <f>CPYG!C26</f>
        <v>10264626.280000001</v>
      </c>
    </row>
    <row r="34" spans="1:4" s="3" customFormat="1" ht="19.5" customHeight="1">
      <c r="A34" s="10" t="s">
        <v>369</v>
      </c>
      <c r="B34" s="25" t="str">
        <f>CPYG!B27</f>
        <v>          b.5. ) Otros Entes.</v>
      </c>
      <c r="C34" s="27" t="e">
        <f>CPYG!#REF!</f>
        <v>#REF!</v>
      </c>
      <c r="D34" s="26">
        <f>CPYG!C27</f>
        <v>0</v>
      </c>
    </row>
    <row r="35" spans="1:4" s="3" customFormat="1" ht="19.5" customHeight="1">
      <c r="A35" s="5" t="s">
        <v>370</v>
      </c>
      <c r="B35" s="23" t="str">
        <f>CPYG!B28</f>
        <v>          b.6. ) Imputación de subvenciones de explotación de ejercicios anteriores.</v>
      </c>
      <c r="C35" s="23" t="e">
        <f>CPYG!#REF!</f>
        <v>#REF!</v>
      </c>
      <c r="D35" s="24">
        <f>CPYG!C28</f>
        <v>0</v>
      </c>
    </row>
    <row r="36" spans="1:5" s="3" customFormat="1" ht="19.5" customHeight="1">
      <c r="A36" s="10" t="s">
        <v>371</v>
      </c>
      <c r="B36" s="25" t="str">
        <f>CPYG!B29</f>
        <v>6. GASTOS DE PERSONAL.</v>
      </c>
      <c r="C36" s="25" t="e">
        <f>CPYG!#REF!</f>
        <v>#REF!</v>
      </c>
      <c r="D36" s="26">
        <f>CPYG!C29</f>
        <v>-53320205.09</v>
      </c>
      <c r="E36" s="40"/>
    </row>
    <row r="37" spans="1:4" s="3" customFormat="1" ht="19.5" customHeight="1">
      <c r="A37" s="10" t="s">
        <v>9</v>
      </c>
      <c r="B37" s="25" t="str">
        <f>CPYG!B30</f>
        <v>      a) Sueldos, Salarios y Asimilados. (sin indem)</v>
      </c>
      <c r="C37" s="27" t="e">
        <f>CPYG!#REF!</f>
        <v>#REF!</v>
      </c>
      <c r="D37" s="26">
        <f>CPYG!C30</f>
        <v>-39193544.93</v>
      </c>
    </row>
    <row r="38" spans="1:4" s="3" customFormat="1" ht="19.5" customHeight="1">
      <c r="A38" s="10" t="s">
        <v>10</v>
      </c>
      <c r="B38" s="25" t="str">
        <f>CPYG!B31</f>
        <v>      b) Indemnizaciones</v>
      </c>
      <c r="C38" s="27" t="e">
        <f>CPYG!#REF!</f>
        <v>#REF!</v>
      </c>
      <c r="D38" s="26">
        <f>CPYG!C31</f>
        <v>-191077.42</v>
      </c>
    </row>
    <row r="39" spans="1:4" s="3" customFormat="1" ht="19.5" customHeight="1">
      <c r="A39" s="10" t="s">
        <v>11</v>
      </c>
      <c r="B39" s="25" t="str">
        <f>CPYG!B32</f>
        <v>      c) Seguridad Social a cargo de la empresa</v>
      </c>
      <c r="C39" s="27" t="e">
        <f>CPYG!#REF!</f>
        <v>#REF!</v>
      </c>
      <c r="D39" s="26">
        <f>CPYG!C32</f>
        <v>-13484755.02</v>
      </c>
    </row>
    <row r="40" spans="1:4" s="3" customFormat="1" ht="19.5" customHeight="1">
      <c r="A40" s="10" t="s">
        <v>12</v>
      </c>
      <c r="B40" s="25" t="str">
        <f>CPYG!B33</f>
        <v>      d) Aportaciones a Planes de Pensiones u otros de aportación definida</v>
      </c>
      <c r="C40" s="27" t="e">
        <f>CPYG!#REF!</f>
        <v>#REF!</v>
      </c>
      <c r="D40" s="26">
        <f>CPYG!C33</f>
        <v>0</v>
      </c>
    </row>
    <row r="41" spans="1:4" s="3" customFormat="1" ht="19.5" customHeight="1">
      <c r="A41" s="10" t="s">
        <v>13</v>
      </c>
      <c r="B41" s="25" t="str">
        <f>CPYG!B34</f>
        <v>      e) Otros Gastos Sociales</v>
      </c>
      <c r="C41" s="27" t="e">
        <f>CPYG!#REF!</f>
        <v>#REF!</v>
      </c>
      <c r="D41" s="26">
        <f>CPYG!C34</f>
        <v>-450827.72</v>
      </c>
    </row>
    <row r="42" spans="1:4" s="3" customFormat="1" ht="19.5" customHeight="1">
      <c r="A42" s="5" t="s">
        <v>372</v>
      </c>
      <c r="B42" s="23" t="str">
        <f>CPYG!B35</f>
        <v>      f) Provisiones</v>
      </c>
      <c r="C42" s="23" t="e">
        <f>CPYG!#REF!</f>
        <v>#REF!</v>
      </c>
      <c r="D42" s="24">
        <f>CPYG!C35</f>
        <v>0</v>
      </c>
    </row>
    <row r="43" spans="1:4" s="3" customFormat="1" ht="19.5" customHeight="1">
      <c r="A43" s="10" t="s">
        <v>14</v>
      </c>
      <c r="B43" s="25" t="str">
        <f>CPYG!B37</f>
        <v>7. OTROS GASTOS DE EXPLOTACIÓN.</v>
      </c>
      <c r="C43" s="27" t="e">
        <f>CPYG!#REF!</f>
        <v>#REF!</v>
      </c>
      <c r="D43" s="26">
        <f>CPYG!C37</f>
        <v>-12041370.68</v>
      </c>
    </row>
    <row r="44" spans="1:4" s="3" customFormat="1" ht="19.5" customHeight="1">
      <c r="A44" s="10" t="s">
        <v>15</v>
      </c>
      <c r="B44" s="25" t="str">
        <f>CPYG!B38</f>
        <v>      a) Servicios Exteriores</v>
      </c>
      <c r="C44" s="27" t="e">
        <f>CPYG!#REF!</f>
        <v>#REF!</v>
      </c>
      <c r="D44" s="26">
        <f>CPYG!C38</f>
        <v>-11070915.52</v>
      </c>
    </row>
    <row r="45" spans="1:4" s="3" customFormat="1" ht="19.5" customHeight="1">
      <c r="A45" s="10" t="s">
        <v>373</v>
      </c>
      <c r="B45" s="25" t="str">
        <f>CPYG!B39</f>
        <v>      b) Tributos</v>
      </c>
      <c r="C45" s="25" t="e">
        <f>CPYG!#REF!</f>
        <v>#REF!</v>
      </c>
      <c r="D45" s="26">
        <f>CPYG!C39</f>
        <v>-819843.33</v>
      </c>
    </row>
    <row r="46" spans="1:4" s="3" customFormat="1" ht="19.5" customHeight="1">
      <c r="A46" s="10" t="s">
        <v>374</v>
      </c>
      <c r="B46" s="25" t="str">
        <f>CPYG!B40</f>
        <v>      c) Pérdidas, deterioro y variación de provisiones por operac. Comerciales.</v>
      </c>
      <c r="C46" s="27" t="e">
        <f>CPYG!#REF!</f>
        <v>#REF!</v>
      </c>
      <c r="D46" s="26">
        <f>CPYG!C40</f>
        <v>-8240.88</v>
      </c>
    </row>
    <row r="47" spans="1:4" s="3" customFormat="1" ht="19.5" customHeight="1">
      <c r="A47" s="10" t="s">
        <v>375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376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377</v>
      </c>
      <c r="B49" s="23" t="str">
        <f>CPYG!B41</f>
        <v>      d) Otros gastos de gestión corriente.</v>
      </c>
      <c r="C49" s="39" t="e">
        <f>CPYG!#REF!</f>
        <v>#REF!</v>
      </c>
      <c r="D49" s="24">
        <f>CPYG!C41</f>
        <v>-142370.95</v>
      </c>
    </row>
    <row r="50" spans="1:4" s="3" customFormat="1" ht="19.5" customHeight="1">
      <c r="A50" s="5" t="s">
        <v>378</v>
      </c>
      <c r="B50" s="23" t="str">
        <f>CPYG!B42</f>
        <v>8. AMORTIZACIÓN DEL INMOVILIZADO.</v>
      </c>
      <c r="C50" s="23" t="e">
        <f>CPYG!#REF!</f>
        <v>#REF!</v>
      </c>
      <c r="D50" s="24">
        <f>CPYG!C42</f>
        <v>-5631906.85</v>
      </c>
    </row>
    <row r="51" spans="1:4" s="3" customFormat="1" ht="19.5" customHeight="1">
      <c r="A51" s="5" t="s">
        <v>379</v>
      </c>
      <c r="B51" s="23" t="str">
        <f>CPYG!B46</f>
        <v>9. IMPUTACIÓN DE SUBVENCIONES DE INMOVILIZADO NO FINANCIERO Y OTRAS. (2)</v>
      </c>
      <c r="C51" s="23" t="e">
        <f>CPYG!#REF!</f>
        <v>#REF!</v>
      </c>
      <c r="D51" s="24">
        <f>CPYG!C46</f>
        <v>5213411.06</v>
      </c>
    </row>
    <row r="52" spans="1:4" s="3" customFormat="1" ht="19.5" customHeight="1">
      <c r="A52" s="5" t="s">
        <v>380</v>
      </c>
      <c r="B52" s="23" t="str">
        <f>CPYG!B47</f>
        <v>10. EXCESOS DE PROVISIONES.</v>
      </c>
      <c r="C52" s="23" t="e">
        <f>CPYG!#REF!</f>
        <v>#REF!</v>
      </c>
      <c r="D52" s="24">
        <f>CPYG!C47</f>
        <v>0</v>
      </c>
    </row>
    <row r="53" spans="1:4" s="3" customFormat="1" ht="19.5" customHeight="1">
      <c r="A53" s="10" t="s">
        <v>806</v>
      </c>
      <c r="B53" s="25" t="str">
        <f>CPYG!B48</f>
        <v>11. DETERIORO Y RESULTADO POR ENAJENACIONES DEL INMOVILIZADO.</v>
      </c>
      <c r="C53" s="27" t="e">
        <f>CPYG!#REF!</f>
        <v>#REF!</v>
      </c>
      <c r="D53" s="26">
        <f>CPYG!C48</f>
        <v>0</v>
      </c>
    </row>
    <row r="54" spans="1:4" s="3" customFormat="1" ht="19.5" customHeight="1">
      <c r="A54" s="10" t="s">
        <v>16</v>
      </c>
      <c r="B54" s="25" t="str">
        <f>CPYG!B49</f>
        <v>      a) Deterioros y pérdidas</v>
      </c>
      <c r="C54" s="25" t="e">
        <f>CPYG!#REF!</f>
        <v>#REF!</v>
      </c>
      <c r="D54" s="26">
        <f>CPYG!C49</f>
        <v>0</v>
      </c>
    </row>
    <row r="55" spans="1:4" s="41" customFormat="1" ht="19.5" customHeight="1">
      <c r="A55" s="5" t="s">
        <v>297</v>
      </c>
      <c r="B55" s="23" t="str">
        <f>CPYG!B53</f>
        <v>      b) Resultados por enajenaciones y otras</v>
      </c>
      <c r="C55" s="23" t="e">
        <f>CPYG!#REF!</f>
        <v>#REF!</v>
      </c>
      <c r="D55" s="24">
        <f>CPYG!C53</f>
        <v>0</v>
      </c>
    </row>
    <row r="56" spans="1:4" s="3" customFormat="1" ht="19.5" customHeight="1">
      <c r="A56" s="5" t="s">
        <v>298</v>
      </c>
      <c r="B56" s="23" t="str">
        <f>CPYG!B62</f>
        <v>13. OTROS RESULTADOS</v>
      </c>
      <c r="C56" s="23" t="e">
        <f>CPYG!#REF!</f>
        <v>#REF!</v>
      </c>
      <c r="D56" s="24">
        <f>CPYG!C62</f>
        <v>408321.24</v>
      </c>
    </row>
    <row r="57" spans="1:4" s="3" customFormat="1" ht="19.5" customHeight="1">
      <c r="A57" s="5" t="s">
        <v>381</v>
      </c>
      <c r="B57" s="23" t="str">
        <f>CPYG!B65</f>
        <v>A.1.)  RESULTADO DE EXPLOTACIÓN (∑(1+2+3+4+5+6+7+8+9+10+11+12+12a+13))</v>
      </c>
      <c r="C57" s="23" t="e">
        <f>CPYG!#REF!</f>
        <v>#REF!</v>
      </c>
      <c r="D57" s="24">
        <f>CPYG!C65</f>
        <v>246583.3099999919</v>
      </c>
    </row>
    <row r="58" spans="1:4" s="3" customFormat="1" ht="19.5" customHeight="1">
      <c r="A58" s="10" t="s">
        <v>382</v>
      </c>
      <c r="B58" s="25" t="str">
        <f>CPYG!B66</f>
        <v>14. INGRESOS FINANCIEROS.</v>
      </c>
      <c r="C58" s="25" t="e">
        <f>CPYG!#REF!</f>
        <v>#REF!</v>
      </c>
      <c r="D58" s="26">
        <f>CPYG!C66</f>
        <v>481885.44</v>
      </c>
    </row>
    <row r="59" spans="1:4" s="3" customFormat="1" ht="19.5" customHeight="1">
      <c r="A59" s="10" t="s">
        <v>383</v>
      </c>
      <c r="B59" s="25" t="str">
        <f>CPYG!B67</f>
        <v>      a) De participaciones en instrumentos de patrimonio.</v>
      </c>
      <c r="C59" s="27" t="e">
        <f>CPYG!#REF!</f>
        <v>#REF!</v>
      </c>
      <c r="D59" s="26">
        <f>CPYG!C67</f>
        <v>0</v>
      </c>
    </row>
    <row r="60" spans="1:4" s="3" customFormat="1" ht="19.5" customHeight="1">
      <c r="A60" s="10" t="s">
        <v>384</v>
      </c>
      <c r="B60" s="25" t="str">
        <f>CPYG!B68</f>
        <v>          a.1.) En empresas del grupo y asociadas.</v>
      </c>
      <c r="C60" s="27" t="e">
        <f>CPYG!#REF!</f>
        <v>#REF!</v>
      </c>
      <c r="D60" s="26">
        <f>CPYG!C68</f>
        <v>0</v>
      </c>
    </row>
    <row r="61" spans="1:4" s="3" customFormat="1" ht="19.5" customHeight="1">
      <c r="A61" s="10" t="s">
        <v>17</v>
      </c>
      <c r="B61" s="25" t="str">
        <f>CPYG!B69</f>
        <v>          a.2) En terceros.</v>
      </c>
      <c r="C61" s="25" t="e">
        <f>CPYG!#REF!</f>
        <v>#REF!</v>
      </c>
      <c r="D61" s="26">
        <f>CPYG!C69</f>
        <v>0</v>
      </c>
    </row>
    <row r="62" spans="1:4" s="3" customFormat="1" ht="19.5" customHeight="1">
      <c r="A62" s="10" t="s">
        <v>385</v>
      </c>
      <c r="B62" s="25" t="str">
        <f>CPYG!B70</f>
        <v>      b) De valores negociables y otros instrumentos financieros</v>
      </c>
      <c r="C62" s="27" t="e">
        <f>CPYG!#REF!</f>
        <v>#REF!</v>
      </c>
      <c r="D62" s="26">
        <f>CPYG!C70</f>
        <v>481885.44</v>
      </c>
    </row>
    <row r="63" spans="1:4" s="3" customFormat="1" ht="19.5" customHeight="1">
      <c r="A63" s="10" t="s">
        <v>386</v>
      </c>
      <c r="B63" s="25" t="str">
        <f>CPYG!B71</f>
        <v>          b.1.) En empresas del grupo y asociadas.</v>
      </c>
      <c r="C63" s="25" t="e">
        <f>CPYG!#REF!</f>
        <v>#REF!</v>
      </c>
      <c r="D63" s="26">
        <f>CPYG!C71</f>
        <v>342598.43</v>
      </c>
    </row>
    <row r="64" spans="1:4" s="3" customFormat="1" ht="19.5" customHeight="1">
      <c r="A64" s="5" t="s">
        <v>387</v>
      </c>
      <c r="B64" s="23" t="str">
        <f>CPYG!B72</f>
        <v>          b.2) En terceros.</v>
      </c>
      <c r="C64" s="23" t="e">
        <f>CPYG!#REF!</f>
        <v>#REF!</v>
      </c>
      <c r="D64" s="24">
        <f>CPYG!C72</f>
        <v>139287.01</v>
      </c>
    </row>
    <row r="65" spans="1:4" s="3" customFormat="1" ht="19.5" customHeight="1">
      <c r="A65" s="10" t="s">
        <v>388</v>
      </c>
      <c r="B65" s="25" t="str">
        <f>CPYG!B74</f>
        <v>15. GASTOS FINANCIEROS.</v>
      </c>
      <c r="C65" s="27" t="e">
        <f>CPYG!#REF!</f>
        <v>#REF!</v>
      </c>
      <c r="D65" s="26">
        <f>CPYG!C74</f>
        <v>-347373.16</v>
      </c>
    </row>
    <row r="66" spans="1:4" s="3" customFormat="1" ht="19.5" customHeight="1">
      <c r="A66" s="10" t="s">
        <v>18</v>
      </c>
      <c r="B66" s="29" t="str">
        <f>CPYG!B75</f>
        <v>      a) Por deudas con empresas del grupo y asociadas.</v>
      </c>
      <c r="C66" s="29" t="e">
        <f>CPYG!#REF!</f>
        <v>#REF!</v>
      </c>
      <c r="D66" s="30">
        <f>CPYG!C75</f>
        <v>0</v>
      </c>
    </row>
    <row r="67" spans="1:4" s="3" customFormat="1" ht="19.5" customHeight="1">
      <c r="A67" s="10" t="s">
        <v>19</v>
      </c>
      <c r="B67" s="29" t="str">
        <f>CPYG!B76</f>
        <v>      b) Por deudas con terceros</v>
      </c>
      <c r="C67" s="29" t="e">
        <f>CPYG!#REF!</f>
        <v>#REF!</v>
      </c>
      <c r="D67" s="30">
        <f>CPYG!C76</f>
        <v>-347373.16</v>
      </c>
    </row>
    <row r="68" spans="1:4" s="3" customFormat="1" ht="19.5" customHeight="1">
      <c r="A68" s="5" t="s">
        <v>389</v>
      </c>
      <c r="B68" s="23" t="str">
        <f>CPYG!B77</f>
        <v>      c) Por actualización de provisiones</v>
      </c>
      <c r="C68" s="23" t="e">
        <f>CPYG!#REF!</f>
        <v>#REF!</v>
      </c>
      <c r="D68" s="24">
        <f>CPYG!C77</f>
        <v>0</v>
      </c>
    </row>
    <row r="69" spans="1:4" s="3" customFormat="1" ht="19.5" customHeight="1">
      <c r="A69" s="10" t="s">
        <v>390</v>
      </c>
      <c r="B69" s="29" t="str">
        <f>CPYG!B78</f>
        <v>16. VARIACIÓN DE VALOR RAZONABLE EN INSTRUMENTOS FINANCIEROS.</v>
      </c>
      <c r="C69" s="29" t="e">
        <f>CPYG!#REF!</f>
        <v>#REF!</v>
      </c>
      <c r="D69" s="30">
        <f>CPYG!C78</f>
        <v>0</v>
      </c>
    </row>
    <row r="70" spans="1:4" s="3" customFormat="1" ht="19.5" customHeight="1">
      <c r="A70" s="10" t="s">
        <v>20</v>
      </c>
      <c r="B70" s="29" t="str">
        <f>CPYG!B79</f>
        <v>      a) Cartera de negociación y otros.</v>
      </c>
      <c r="C70" s="29" t="e">
        <f>CPYG!#REF!</f>
        <v>#REF!</v>
      </c>
      <c r="D70" s="30">
        <f>CPYG!C79</f>
        <v>0</v>
      </c>
    </row>
    <row r="71" spans="1:4" s="3" customFormat="1" ht="19.5" customHeight="1">
      <c r="A71" s="5" t="s">
        <v>391</v>
      </c>
      <c r="B71" s="23" t="str">
        <f>CPYG!B80</f>
        <v>      b) Imputación al resultado del ejercicio por activos financieros disponibles para la venta</v>
      </c>
      <c r="C71" s="23" t="e">
        <f>CPYG!#REF!</f>
        <v>#REF!</v>
      </c>
      <c r="D71" s="24">
        <f>CPYG!C80</f>
        <v>0</v>
      </c>
    </row>
    <row r="72" spans="1:4" s="3" customFormat="1" ht="19.5" customHeight="1">
      <c r="A72" s="5" t="s">
        <v>299</v>
      </c>
      <c r="B72" s="23" t="str">
        <f>CPYG!B81</f>
        <v>17. DIFERENCIA DE CAMBIO.</v>
      </c>
      <c r="C72" s="23" t="e">
        <f>CPYG!#REF!</f>
        <v>#REF!</v>
      </c>
      <c r="D72" s="24">
        <f>CPYG!C81</f>
        <v>0</v>
      </c>
    </row>
    <row r="73" spans="1:4" s="3" customFormat="1" ht="20.25" customHeight="1">
      <c r="A73" s="10" t="s">
        <v>392</v>
      </c>
      <c r="B73" s="29" t="str">
        <f>CPYG!B82</f>
        <v>18. DETERIORO Y RESULTADO POR ENAJENACIONES DE INSTRUMENTOS FINANCIEROS</v>
      </c>
      <c r="C73" s="29" t="e">
        <f>CPYG!#REF!</f>
        <v>#REF!</v>
      </c>
      <c r="D73" s="30">
        <f>CPYG!C82</f>
        <v>0</v>
      </c>
    </row>
    <row r="74" spans="1:4" s="3" customFormat="1" ht="17.25" customHeight="1">
      <c r="A74" s="12" t="s">
        <v>16</v>
      </c>
      <c r="B74" s="29" t="str">
        <f>CPYG!B83</f>
        <v>      a) Deterioros y Pérdidas.</v>
      </c>
      <c r="C74" s="29" t="e">
        <f>CPYG!#REF!</f>
        <v>#REF!</v>
      </c>
      <c r="D74" s="30">
        <f>CPYG!C83</f>
        <v>0</v>
      </c>
    </row>
    <row r="75" spans="1:4" s="3" customFormat="1" ht="19.5" customHeight="1">
      <c r="A75" s="5" t="s">
        <v>300</v>
      </c>
      <c r="B75" s="23" t="str">
        <f>CPYG!B84</f>
        <v>      b) Resultados por enajenaciones y otras.</v>
      </c>
      <c r="C75" s="23" t="e">
        <f>CPYG!#REF!</f>
        <v>#REF!</v>
      </c>
      <c r="D75" s="24">
        <f>CPYG!C84</f>
        <v>0</v>
      </c>
    </row>
    <row r="76" spans="1:4" s="3" customFormat="1" ht="19.5" customHeight="1">
      <c r="A76" s="5" t="s">
        <v>21</v>
      </c>
      <c r="B76" s="23" t="str">
        <f>CPYG!B88</f>
        <v>A.2.) RESULTADO FINANCIERO (∑ (14 A 19))</v>
      </c>
      <c r="C76" s="23" t="e">
        <f>CPYG!#REF!</f>
        <v>#REF!</v>
      </c>
      <c r="D76" s="24">
        <f>CPYG!C88</f>
        <v>134512.28000000003</v>
      </c>
    </row>
    <row r="77" spans="1:4" s="3" customFormat="1" ht="19.5" customHeight="1">
      <c r="A77" s="5" t="s">
        <v>804</v>
      </c>
      <c r="B77" s="23" t="str">
        <f>CPYG!B89</f>
        <v>A.3.) RESULTADO ANTES DE IMPUESTOS (A.1 + A.2)</v>
      </c>
      <c r="C77" s="39" t="e">
        <f>CPYG!#REF!</f>
        <v>#REF!</v>
      </c>
      <c r="D77" s="24">
        <f>CPYG!C89</f>
        <v>381095.58999999193</v>
      </c>
    </row>
    <row r="78" spans="1:4" s="3" customFormat="1" ht="25.5" customHeight="1">
      <c r="A78" s="11" t="s">
        <v>301</v>
      </c>
      <c r="B78" s="23" t="str">
        <f>CPYG!B90</f>
        <v>20. IMPUESTOS SOBRE BENEFICIOS.</v>
      </c>
      <c r="C78" s="23" t="e">
        <f>CPYG!#REF!</f>
        <v>#REF!</v>
      </c>
      <c r="D78" s="24">
        <f>CPYG!C90</f>
        <v>0</v>
      </c>
    </row>
    <row r="79" spans="1:4" s="3" customFormat="1" ht="19.5" customHeight="1">
      <c r="A79" s="5" t="s">
        <v>22</v>
      </c>
      <c r="B79" s="23"/>
      <c r="C79" s="23"/>
      <c r="D79" s="24"/>
    </row>
    <row r="80" spans="1:4" s="3" customFormat="1" ht="19.5" customHeight="1">
      <c r="A80" s="5" t="s">
        <v>302</v>
      </c>
      <c r="B80" s="23" t="str">
        <f>CPYG!B92</f>
        <v>B) OPERACIONES INTERRUMPIDAS</v>
      </c>
      <c r="C80" s="23" t="e">
        <f>CPYG!#REF!</f>
        <v>#REF!</v>
      </c>
      <c r="D80" s="24">
        <f>CPYG!C92</f>
        <v>0</v>
      </c>
    </row>
    <row r="81" spans="1:4" s="3" customFormat="1" ht="39.75" customHeight="1" thickBot="1">
      <c r="A81" s="20" t="s">
        <v>303</v>
      </c>
      <c r="B81" s="31" t="str">
        <f>CPYG!B93</f>
        <v>21. RESULTADO DEL EJERCICIO PROCEDENTE DE OPERACIONES INTERRUMPIDAS NETO DE IMPUESTOS.</v>
      </c>
      <c r="C81" s="31" t="e">
        <f>CPYG!#REF!</f>
        <v>#REF!</v>
      </c>
      <c r="D81" s="32">
        <f>CPYG!C93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859</v>
      </c>
      <c r="B84" s="34"/>
      <c r="C84" s="34"/>
      <c r="D84" s="34"/>
    </row>
    <row r="85" spans="1:5" ht="19.5" customHeight="1">
      <c r="A85" s="7" t="s">
        <v>805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PASIVO!C20</f>
        <v>381095.58999999193</v>
      </c>
      <c r="C90" s="33">
        <f>PASIVO!D20</f>
        <v>71716.97518858663</v>
      </c>
      <c r="D90" s="33">
        <f>PASIVO!E20</f>
        <v>24851.763267910326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-24851.763267910326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600" verticalDpi="600" orientation="portrait" paperSize="9" scale="47" r:id="rId1"/>
  <headerFooter alignWithMargins="0">
    <oddHeader>&amp;C&amp;"MS Sans Serif,Negrita"&amp;14
&amp;R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P89"/>
  <sheetViews>
    <sheetView zoomScale="70" zoomScaleNormal="70" zoomScalePageLayoutView="0" workbookViewId="0" topLeftCell="A1">
      <selection activeCell="K1" sqref="K1:K16384"/>
    </sheetView>
  </sheetViews>
  <sheetFormatPr defaultColWidth="11.57421875" defaultRowHeight="12.75"/>
  <cols>
    <col min="1" max="1" width="4.00390625" style="237" customWidth="1"/>
    <col min="2" max="2" width="76.421875" style="237" customWidth="1"/>
    <col min="3" max="3" width="0.42578125" style="237" hidden="1" customWidth="1"/>
    <col min="4" max="4" width="24.57421875" style="237" customWidth="1"/>
    <col min="5" max="5" width="19.57421875" style="237" customWidth="1"/>
    <col min="6" max="6" width="19.421875" style="237" customWidth="1"/>
    <col min="7" max="7" width="7.421875" style="237" bestFit="1" customWidth="1"/>
    <col min="8" max="9" width="7.57421875" style="237" bestFit="1" customWidth="1"/>
    <col min="10" max="10" width="19.421875" style="237" customWidth="1"/>
    <col min="11" max="11" width="21.00390625" style="238" hidden="1" customWidth="1"/>
    <col min="12" max="13" width="11.57421875" style="238" customWidth="1"/>
    <col min="14" max="15" width="11.57421875" style="239" customWidth="1"/>
    <col min="16" max="16384" width="11.57421875" style="237" customWidth="1"/>
  </cols>
  <sheetData>
    <row r="1" spans="2:9" ht="13.5" thickBot="1">
      <c r="B1" s="655"/>
      <c r="I1" s="656"/>
    </row>
    <row r="2" spans="2:9" ht="46.5" customHeight="1">
      <c r="B2" s="1390" t="s">
        <v>894</v>
      </c>
      <c r="C2" s="1391"/>
      <c r="D2" s="1391"/>
      <c r="E2" s="1391"/>
      <c r="F2" s="1391"/>
      <c r="G2" s="1383">
        <f>CPYG!E2</f>
        <v>2017</v>
      </c>
      <c r="H2" s="1383"/>
      <c r="I2" s="1384"/>
    </row>
    <row r="3" spans="2:9" ht="30" customHeight="1" thickBot="1">
      <c r="B3" s="1388" t="str">
        <f>CPYG!B3</f>
        <v>ENTIDAD: TRANSPORTES INTERURBANOS DE TENERIFE, S.A.</v>
      </c>
      <c r="C3" s="1389"/>
      <c r="D3" s="1389"/>
      <c r="E3" s="1389"/>
      <c r="F3" s="1389"/>
      <c r="G3" s="1385" t="s">
        <v>876</v>
      </c>
      <c r="H3" s="1386"/>
      <c r="I3" s="1387"/>
    </row>
    <row r="4" spans="2:9" ht="24.75" customHeight="1" thickBot="1">
      <c r="B4" s="1379" t="s">
        <v>204</v>
      </c>
      <c r="C4" s="1380"/>
      <c r="D4" s="1380"/>
      <c r="E4" s="1380"/>
      <c r="F4" s="1380"/>
      <c r="G4" s="1380"/>
      <c r="H4" s="1380"/>
      <c r="I4" s="1381"/>
    </row>
    <row r="5" spans="2:16" ht="19.5" customHeight="1" thickBot="1">
      <c r="B5" s="607" t="s">
        <v>203</v>
      </c>
      <c r="C5" s="608"/>
      <c r="D5" s="609" t="s">
        <v>197</v>
      </c>
      <c r="E5" s="609">
        <v>2016</v>
      </c>
      <c r="F5" s="609">
        <v>2017</v>
      </c>
      <c r="G5" s="609" t="s">
        <v>825</v>
      </c>
      <c r="H5" s="609" t="s">
        <v>234</v>
      </c>
      <c r="I5" s="610" t="s">
        <v>233</v>
      </c>
      <c r="P5" s="239"/>
    </row>
    <row r="6" spans="2:16" ht="19.5" customHeight="1" thickBot="1">
      <c r="B6" s="611" t="s">
        <v>198</v>
      </c>
      <c r="C6" s="612"/>
      <c r="D6" s="613"/>
      <c r="E6" s="614">
        <f>PASIVO!C27</f>
        <v>18095699.83</v>
      </c>
      <c r="F6" s="615">
        <f>+E20</f>
        <v>18701424.734300002</v>
      </c>
      <c r="G6" s="616"/>
      <c r="H6" s="617"/>
      <c r="I6" s="618"/>
      <c r="P6" s="239"/>
    </row>
    <row r="7" spans="2:16" ht="19.5" customHeight="1">
      <c r="B7" s="636" t="s">
        <v>496</v>
      </c>
      <c r="C7" s="637"/>
      <c r="D7" s="240"/>
      <c r="E7" s="241">
        <v>593850</v>
      </c>
      <c r="F7" s="241">
        <f>+'Inversiones reales'!H12</f>
        <v>311820</v>
      </c>
      <c r="G7" s="705">
        <v>153</v>
      </c>
      <c r="H7" s="705">
        <v>4421</v>
      </c>
      <c r="I7" s="706">
        <v>74050</v>
      </c>
      <c r="P7" s="239"/>
    </row>
    <row r="8" spans="2:16" ht="19.5" customHeight="1">
      <c r="B8" s="638" t="s">
        <v>495</v>
      </c>
      <c r="C8" s="637"/>
      <c r="D8" s="240"/>
      <c r="E8" s="242">
        <v>883572.6743000001</v>
      </c>
      <c r="F8" s="242"/>
      <c r="G8" s="705"/>
      <c r="H8" s="705"/>
      <c r="I8" s="706"/>
      <c r="P8" s="239"/>
    </row>
    <row r="9" spans="2:16" ht="19.5" customHeight="1">
      <c r="B9" s="638" t="s">
        <v>494</v>
      </c>
      <c r="C9" s="637"/>
      <c r="D9" s="240"/>
      <c r="E9" s="242">
        <v>2400000</v>
      </c>
      <c r="F9" s="242"/>
      <c r="G9" s="705"/>
      <c r="H9" s="705"/>
      <c r="I9" s="706"/>
      <c r="P9" s="239"/>
    </row>
    <row r="10" spans="2:16" ht="19.5" customHeight="1">
      <c r="B10" s="684" t="s">
        <v>489</v>
      </c>
      <c r="C10" s="685"/>
      <c r="D10" s="686"/>
      <c r="E10" s="687">
        <v>259000</v>
      </c>
      <c r="F10" s="687">
        <f>+'Inversiones reales'!H13</f>
        <v>124090</v>
      </c>
      <c r="G10" s="705">
        <v>153</v>
      </c>
      <c r="H10" s="705">
        <v>4421</v>
      </c>
      <c r="I10" s="706">
        <v>74050</v>
      </c>
      <c r="P10" s="239"/>
    </row>
    <row r="11" spans="2:16" ht="19.5" customHeight="1">
      <c r="B11" s="684" t="s">
        <v>490</v>
      </c>
      <c r="C11" s="637"/>
      <c r="D11" s="240"/>
      <c r="E11" s="242">
        <v>812158.81</v>
      </c>
      <c r="F11" s="242">
        <f>+'Inversiones reales'!H14</f>
        <v>124090</v>
      </c>
      <c r="G11" s="705">
        <v>153</v>
      </c>
      <c r="H11" s="705">
        <v>4421</v>
      </c>
      <c r="I11" s="706">
        <v>74050</v>
      </c>
      <c r="P11" s="239"/>
    </row>
    <row r="12" spans="2:16" ht="19.5" customHeight="1">
      <c r="B12" s="684" t="s">
        <v>656</v>
      </c>
      <c r="C12" s="637"/>
      <c r="D12" s="240"/>
      <c r="E12" s="242"/>
      <c r="F12" s="242">
        <f>+'Inversiones reales'!H16</f>
        <v>5699698.2</v>
      </c>
      <c r="G12" s="245"/>
      <c r="H12" s="245"/>
      <c r="I12" s="246"/>
      <c r="P12" s="239"/>
    </row>
    <row r="13" spans="2:16" ht="19.5" customHeight="1">
      <c r="B13" s="638"/>
      <c r="C13" s="637"/>
      <c r="D13" s="240"/>
      <c r="E13" s="242"/>
      <c r="F13" s="242"/>
      <c r="G13" s="245"/>
      <c r="H13" s="245"/>
      <c r="I13" s="246"/>
      <c r="P13" s="239"/>
    </row>
    <row r="14" spans="2:16" ht="19.5" customHeight="1">
      <c r="B14" s="638"/>
      <c r="C14" s="637"/>
      <c r="D14" s="240"/>
      <c r="E14" s="242"/>
      <c r="F14" s="242"/>
      <c r="G14" s="245"/>
      <c r="H14" s="245"/>
      <c r="I14" s="246"/>
      <c r="P14" s="239"/>
    </row>
    <row r="15" spans="2:16" ht="19.5" customHeight="1" thickBot="1">
      <c r="B15" s="639"/>
      <c r="C15" s="640"/>
      <c r="D15" s="333"/>
      <c r="E15" s="334"/>
      <c r="F15" s="334"/>
      <c r="G15" s="249"/>
      <c r="H15" s="249"/>
      <c r="I15" s="250"/>
      <c r="P15" s="239"/>
    </row>
    <row r="16" spans="2:16" ht="19.5" customHeight="1" thickBot="1">
      <c r="B16" s="621" t="s">
        <v>206</v>
      </c>
      <c r="C16" s="622"/>
      <c r="D16" s="623"/>
      <c r="E16" s="707">
        <f>SUM(E7:E15)</f>
        <v>4948581.484300001</v>
      </c>
      <c r="F16" s="708">
        <f>SUM(F7:F15)</f>
        <v>6259698.2</v>
      </c>
      <c r="G16" s="657"/>
      <c r="H16" s="657"/>
      <c r="I16" s="657"/>
      <c r="P16" s="239"/>
    </row>
    <row r="17" spans="2:16" ht="19.5" customHeight="1">
      <c r="B17" s="624" t="s">
        <v>199</v>
      </c>
      <c r="C17" s="619"/>
      <c r="D17" s="593"/>
      <c r="E17" s="658">
        <v>-1206403.83</v>
      </c>
      <c r="F17" s="335">
        <v>-1526038.0970548915</v>
      </c>
      <c r="G17" s="657"/>
      <c r="H17" s="657"/>
      <c r="I17" s="657"/>
      <c r="P17" s="239"/>
    </row>
    <row r="18" spans="2:16" ht="19.5" customHeight="1">
      <c r="B18" s="620" t="s">
        <v>200</v>
      </c>
      <c r="C18" s="619"/>
      <c r="D18" s="251"/>
      <c r="E18" s="252">
        <f>-CPYG!D46</f>
        <v>-4147582.89</v>
      </c>
      <c r="F18" s="336">
        <f>-CPYG!E46</f>
        <v>-3987010.42</v>
      </c>
      <c r="G18" s="657"/>
      <c r="H18" s="657"/>
      <c r="I18" s="657"/>
      <c r="J18" s="238"/>
      <c r="P18" s="239"/>
    </row>
    <row r="19" spans="2:16" ht="19.5" customHeight="1" thickBot="1">
      <c r="B19" s="620" t="s">
        <v>201</v>
      </c>
      <c r="C19" s="625"/>
      <c r="D19" s="253"/>
      <c r="E19" s="254">
        <v>1011130.14</v>
      </c>
      <c r="F19" s="337">
        <v>971984.5270295657</v>
      </c>
      <c r="G19" s="657"/>
      <c r="H19" s="657"/>
      <c r="I19" s="657"/>
      <c r="P19" s="239"/>
    </row>
    <row r="20" spans="2:16" ht="19.5" customHeight="1" thickBot="1" thickTop="1">
      <c r="B20" s="626" t="s">
        <v>202</v>
      </c>
      <c r="C20" s="627"/>
      <c r="D20" s="628"/>
      <c r="E20" s="709">
        <f>E6+E16+E17+E18+E19</f>
        <v>18701424.734300002</v>
      </c>
      <c r="F20" s="709">
        <f>F6+F16+F17+F18+F19</f>
        <v>20420058.94427468</v>
      </c>
      <c r="G20" s="657"/>
      <c r="H20" s="657"/>
      <c r="I20" s="657"/>
      <c r="J20" s="688"/>
      <c r="P20" s="239"/>
    </row>
    <row r="21" spans="2:9" s="133" customFormat="1" ht="19.5" customHeight="1">
      <c r="B21" s="657"/>
      <c r="C21" s="657"/>
      <c r="D21" s="657"/>
      <c r="E21" s="953"/>
      <c r="F21" s="953"/>
      <c r="G21" s="657"/>
      <c r="H21" s="657"/>
      <c r="I21" s="657"/>
    </row>
    <row r="22" spans="2:10" s="133" customFormat="1" ht="19.5" customHeight="1" thickBot="1">
      <c r="B22" s="657"/>
      <c r="C22" s="657"/>
      <c r="D22" s="657"/>
      <c r="E22" s="953"/>
      <c r="F22" s="953"/>
      <c r="G22" s="657"/>
      <c r="H22" s="657"/>
      <c r="I22" s="657"/>
      <c r="J22" s="169"/>
    </row>
    <row r="23" spans="2:10" s="133" customFormat="1" ht="19.5" customHeight="1" thickBot="1">
      <c r="B23" s="607" t="s">
        <v>819</v>
      </c>
      <c r="C23" s="608"/>
      <c r="D23" s="609" t="s">
        <v>197</v>
      </c>
      <c r="E23" s="609">
        <v>2016</v>
      </c>
      <c r="F23" s="609">
        <v>2017</v>
      </c>
      <c r="G23" s="609" t="s">
        <v>825</v>
      </c>
      <c r="H23" s="609" t="s">
        <v>234</v>
      </c>
      <c r="I23" s="610" t="s">
        <v>233</v>
      </c>
      <c r="J23" s="169"/>
    </row>
    <row r="24" spans="2:9" s="133" customFormat="1" ht="19.5" customHeight="1" thickBot="1">
      <c r="B24" s="607" t="s">
        <v>1014</v>
      </c>
      <c r="C24" s="608"/>
      <c r="D24" s="629"/>
      <c r="E24" s="630"/>
      <c r="F24" s="630"/>
      <c r="G24" s="629"/>
      <c r="H24" s="629"/>
      <c r="I24" s="631"/>
    </row>
    <row r="25" spans="2:9" s="133" customFormat="1" ht="19.5" customHeight="1">
      <c r="B25" s="636"/>
      <c r="C25" s="637"/>
      <c r="D25" s="240"/>
      <c r="E25" s="241"/>
      <c r="F25" s="241"/>
      <c r="G25" s="729"/>
      <c r="H25" s="729"/>
      <c r="I25" s="730"/>
    </row>
    <row r="26" spans="2:9" s="133" customFormat="1" ht="19.5" customHeight="1">
      <c r="B26" s="638" t="s">
        <v>552</v>
      </c>
      <c r="C26" s="637"/>
      <c r="D26" s="660" t="s">
        <v>214</v>
      </c>
      <c r="E26" s="242">
        <f>-'Anexo Transf.y subv.'!E8</f>
        <v>-36020832.49999999</v>
      </c>
      <c r="F26" s="242">
        <f>'Anexo Transf.y subv.'!F8</f>
        <v>32918462.63</v>
      </c>
      <c r="G26" s="650"/>
      <c r="H26" s="650"/>
      <c r="I26" s="653"/>
    </row>
    <row r="27" spans="2:10" s="133" customFormat="1" ht="19.5" customHeight="1">
      <c r="B27" s="638" t="s">
        <v>552</v>
      </c>
      <c r="C27" s="637"/>
      <c r="D27" s="660" t="s">
        <v>216</v>
      </c>
      <c r="E27" s="242">
        <f>-'Anexo Transf.y subv.'!E80+'Anexo Transf.y subv.'!E8</f>
        <v>-14807516.120000005</v>
      </c>
      <c r="F27" s="242">
        <f>-(-'Anexo Transf.y subv.'!F80+'Anexo Transf.y subv.'!F8)</f>
        <v>15792645.059999999</v>
      </c>
      <c r="G27" s="650"/>
      <c r="H27" s="650"/>
      <c r="I27" s="653"/>
      <c r="J27" s="134"/>
    </row>
    <row r="28" spans="2:11" s="133" customFormat="1" ht="19.5" customHeight="1">
      <c r="B28" s="638"/>
      <c r="C28" s="637"/>
      <c r="D28" s="660"/>
      <c r="E28" s="242"/>
      <c r="F28" s="731"/>
      <c r="G28" s="729"/>
      <c r="H28" s="729"/>
      <c r="I28" s="730"/>
      <c r="J28" s="704"/>
      <c r="K28" s="1106">
        <v>610681.95</v>
      </c>
    </row>
    <row r="29" spans="2:10" s="133" customFormat="1" ht="19.5" customHeight="1">
      <c r="B29" s="638"/>
      <c r="C29" s="637"/>
      <c r="D29" s="240"/>
      <c r="E29" s="242"/>
      <c r="F29" s="242"/>
      <c r="G29" s="650"/>
      <c r="H29" s="650"/>
      <c r="I29" s="653"/>
      <c r="J29" s="704"/>
    </row>
    <row r="30" spans="2:11" s="133" customFormat="1" ht="19.5" customHeight="1">
      <c r="B30" s="638"/>
      <c r="C30" s="637"/>
      <c r="D30" s="240"/>
      <c r="E30" s="242"/>
      <c r="F30" s="242"/>
      <c r="G30" s="650"/>
      <c r="H30" s="650"/>
      <c r="I30" s="653"/>
      <c r="J30" s="704"/>
      <c r="K30" s="751">
        <v>32358462.64</v>
      </c>
    </row>
    <row r="31" spans="2:9" s="133" customFormat="1" ht="19.5" customHeight="1">
      <c r="B31" s="638"/>
      <c r="C31" s="637"/>
      <c r="D31" s="240"/>
      <c r="E31" s="242"/>
      <c r="F31" s="242"/>
      <c r="G31" s="650"/>
      <c r="H31" s="650"/>
      <c r="I31" s="653"/>
    </row>
    <row r="32" spans="2:11" s="133" customFormat="1" ht="19.5" customHeight="1" thickBot="1">
      <c r="B32" s="639"/>
      <c r="C32" s="640"/>
      <c r="D32" s="333"/>
      <c r="E32" s="334"/>
      <c r="F32" s="334"/>
      <c r="G32" s="654"/>
      <c r="H32" s="654"/>
      <c r="I32" s="250"/>
      <c r="K32" s="169">
        <f>K30+K28</f>
        <v>32969144.59</v>
      </c>
    </row>
    <row r="33" spans="2:11" s="133" customFormat="1" ht="19.5" customHeight="1" thickBot="1">
      <c r="B33" s="651" t="s">
        <v>824</v>
      </c>
      <c r="C33" s="612"/>
      <c r="D33" s="652"/>
      <c r="E33" s="710">
        <f>SUM(E25:E32)</f>
        <v>-50828348.62</v>
      </c>
      <c r="F33" s="711">
        <f>SUM(F25:F32)</f>
        <v>48711107.69</v>
      </c>
      <c r="G33" s="657"/>
      <c r="H33" s="657"/>
      <c r="I33" s="657"/>
      <c r="K33" s="169">
        <f>F26+K32</f>
        <v>65887607.22</v>
      </c>
    </row>
    <row r="34" spans="2:9" s="133" customFormat="1" ht="19.5" customHeight="1" thickBot="1">
      <c r="B34" s="657"/>
      <c r="C34" s="657"/>
      <c r="D34" s="657"/>
      <c r="E34" s="657"/>
      <c r="F34" s="657"/>
      <c r="G34" s="657"/>
      <c r="H34" s="657"/>
      <c r="I34" s="657"/>
    </row>
    <row r="35" spans="2:9" s="133" customFormat="1" ht="41.25" customHeight="1" thickBot="1">
      <c r="B35" s="634" t="s">
        <v>1068</v>
      </c>
      <c r="C35" s="608"/>
      <c r="D35" s="609" t="s">
        <v>197</v>
      </c>
      <c r="E35" s="609">
        <v>2016</v>
      </c>
      <c r="F35" s="609">
        <v>2017</v>
      </c>
      <c r="G35" s="609" t="s">
        <v>825</v>
      </c>
      <c r="H35" s="609" t="s">
        <v>234</v>
      </c>
      <c r="I35" s="610" t="s">
        <v>233</v>
      </c>
    </row>
    <row r="36" spans="2:11" s="133" customFormat="1" ht="19.5" customHeight="1">
      <c r="B36" s="645"/>
      <c r="C36" s="646"/>
      <c r="D36" s="647"/>
      <c r="E36" s="648"/>
      <c r="F36" s="649"/>
      <c r="G36" s="732"/>
      <c r="H36" s="732"/>
      <c r="I36" s="733"/>
      <c r="J36" s="659"/>
      <c r="K36" s="659"/>
    </row>
    <row r="37" spans="2:11" s="133" customFormat="1" ht="19.5" customHeight="1">
      <c r="B37" s="638"/>
      <c r="C37" s="637"/>
      <c r="D37" s="240"/>
      <c r="E37" s="242"/>
      <c r="F37" s="242"/>
      <c r="G37" s="734"/>
      <c r="H37" s="734"/>
      <c r="I37" s="735"/>
      <c r="J37" s="659"/>
      <c r="K37" s="659"/>
    </row>
    <row r="38" spans="2:9" s="133" customFormat="1" ht="19.5" customHeight="1">
      <c r="B38" s="638"/>
      <c r="C38" s="637"/>
      <c r="D38" s="240"/>
      <c r="E38" s="242"/>
      <c r="F38" s="242"/>
      <c r="G38" s="245"/>
      <c r="H38" s="245"/>
      <c r="I38" s="246"/>
    </row>
    <row r="39" spans="2:16" ht="24.75" customHeight="1">
      <c r="B39" s="638"/>
      <c r="C39" s="637"/>
      <c r="D39" s="240"/>
      <c r="E39" s="242"/>
      <c r="F39" s="242"/>
      <c r="G39" s="245"/>
      <c r="H39" s="245"/>
      <c r="I39" s="246"/>
      <c r="P39" s="239"/>
    </row>
    <row r="40" spans="2:16" ht="19.5" customHeight="1">
      <c r="B40" s="638"/>
      <c r="C40" s="637"/>
      <c r="D40" s="240"/>
      <c r="E40" s="242"/>
      <c r="F40" s="242"/>
      <c r="G40" s="245"/>
      <c r="H40" s="245"/>
      <c r="I40" s="246"/>
      <c r="P40" s="239"/>
    </row>
    <row r="41" spans="2:16" ht="19.5" customHeight="1">
      <c r="B41" s="638"/>
      <c r="C41" s="637"/>
      <c r="D41" s="240"/>
      <c r="E41" s="242"/>
      <c r="F41" s="242"/>
      <c r="G41" s="245"/>
      <c r="H41" s="245"/>
      <c r="I41" s="246"/>
      <c r="P41" s="239"/>
    </row>
    <row r="42" spans="2:16" ht="19.5" customHeight="1">
      <c r="B42" s="638"/>
      <c r="C42" s="637"/>
      <c r="D42" s="240"/>
      <c r="E42" s="242"/>
      <c r="F42" s="514"/>
      <c r="G42" s="245"/>
      <c r="H42" s="245"/>
      <c r="I42" s="246"/>
      <c r="P42" s="239"/>
    </row>
    <row r="43" spans="2:16" ht="19.5" customHeight="1" thickBot="1">
      <c r="B43" s="639"/>
      <c r="C43" s="640"/>
      <c r="D43" s="333"/>
      <c r="E43" s="334"/>
      <c r="F43" s="334"/>
      <c r="G43" s="249"/>
      <c r="H43" s="249"/>
      <c r="I43" s="250"/>
      <c r="P43" s="239"/>
    </row>
    <row r="44" spans="2:16" ht="19.5" customHeight="1" thickBot="1">
      <c r="B44" s="632" t="s">
        <v>824</v>
      </c>
      <c r="C44" s="608"/>
      <c r="D44" s="633"/>
      <c r="E44" s="712">
        <f>SUM(E36:E43)</f>
        <v>0</v>
      </c>
      <c r="F44" s="708">
        <f>SUM(F36:F43)</f>
        <v>0</v>
      </c>
      <c r="G44" s="657"/>
      <c r="H44" s="657"/>
      <c r="I44" s="657"/>
      <c r="P44" s="239"/>
    </row>
    <row r="45" spans="2:9" s="133" customFormat="1" ht="19.5" customHeight="1">
      <c r="B45" s="657"/>
      <c r="C45" s="657"/>
      <c r="D45" s="657"/>
      <c r="E45" s="657"/>
      <c r="F45" s="657"/>
      <c r="G45" s="657"/>
      <c r="H45" s="657"/>
      <c r="I45" s="657"/>
    </row>
    <row r="46" spans="2:9" s="133" customFormat="1" ht="19.5" customHeight="1" thickBot="1">
      <c r="B46" s="657"/>
      <c r="C46" s="657"/>
      <c r="D46" s="657"/>
      <c r="E46" s="657"/>
      <c r="F46" s="657"/>
      <c r="G46" s="657"/>
      <c r="H46" s="657"/>
      <c r="I46" s="657"/>
    </row>
    <row r="47" spans="2:9" s="133" customFormat="1" ht="19.5" customHeight="1" thickBot="1">
      <c r="B47" s="634" t="s">
        <v>205</v>
      </c>
      <c r="C47" s="608"/>
      <c r="D47" s="609" t="s">
        <v>197</v>
      </c>
      <c r="E47" s="609">
        <v>2016</v>
      </c>
      <c r="F47" s="609">
        <v>2017</v>
      </c>
      <c r="G47" s="609" t="s">
        <v>825</v>
      </c>
      <c r="H47" s="609" t="s">
        <v>234</v>
      </c>
      <c r="I47" s="610" t="s">
        <v>233</v>
      </c>
    </row>
    <row r="48" spans="2:9" s="133" customFormat="1" ht="19.5" customHeight="1">
      <c r="B48" s="636"/>
      <c r="C48" s="637"/>
      <c r="D48" s="240"/>
      <c r="E48" s="241"/>
      <c r="F48" s="241"/>
      <c r="G48" s="243"/>
      <c r="H48" s="243"/>
      <c r="I48" s="244"/>
    </row>
    <row r="49" spans="2:9" s="133" customFormat="1" ht="19.5" customHeight="1">
      <c r="B49" s="638"/>
      <c r="C49" s="637"/>
      <c r="D49" s="240"/>
      <c r="E49" s="242"/>
      <c r="F49" s="242"/>
      <c r="G49" s="245"/>
      <c r="H49" s="245"/>
      <c r="I49" s="246"/>
    </row>
    <row r="50" spans="2:9" s="133" customFormat="1" ht="19.5" customHeight="1">
      <c r="B50" s="638"/>
      <c r="C50" s="637"/>
      <c r="D50" s="240"/>
      <c r="E50" s="242"/>
      <c r="F50" s="242"/>
      <c r="G50" s="245"/>
      <c r="H50" s="245"/>
      <c r="I50" s="246"/>
    </row>
    <row r="51" spans="2:9" s="133" customFormat="1" ht="19.5" customHeight="1">
      <c r="B51" s="638"/>
      <c r="C51" s="637"/>
      <c r="D51" s="240"/>
      <c r="E51" s="242"/>
      <c r="F51" s="242"/>
      <c r="G51" s="245"/>
      <c r="H51" s="245"/>
      <c r="I51" s="246"/>
    </row>
    <row r="52" spans="2:9" s="133" customFormat="1" ht="19.5" customHeight="1">
      <c r="B52" s="638"/>
      <c r="C52" s="637"/>
      <c r="D52" s="240"/>
      <c r="E52" s="242"/>
      <c r="F52" s="242"/>
      <c r="G52" s="245"/>
      <c r="H52" s="245"/>
      <c r="I52" s="246"/>
    </row>
    <row r="53" spans="2:9" s="133" customFormat="1" ht="19.5" customHeight="1">
      <c r="B53" s="638"/>
      <c r="C53" s="637"/>
      <c r="D53" s="240"/>
      <c r="E53" s="242"/>
      <c r="F53" s="242"/>
      <c r="G53" s="245"/>
      <c r="H53" s="245"/>
      <c r="I53" s="246"/>
    </row>
    <row r="54" spans="2:9" s="133" customFormat="1" ht="19.5" customHeight="1">
      <c r="B54" s="638"/>
      <c r="C54" s="637"/>
      <c r="D54" s="240"/>
      <c r="E54" s="242"/>
      <c r="F54" s="242"/>
      <c r="G54" s="245"/>
      <c r="H54" s="245"/>
      <c r="I54" s="246"/>
    </row>
    <row r="55" spans="2:9" s="133" customFormat="1" ht="19.5" customHeight="1" thickBot="1">
      <c r="B55" s="638"/>
      <c r="C55" s="641"/>
      <c r="D55" s="247"/>
      <c r="E55" s="248"/>
      <c r="F55" s="248"/>
      <c r="G55" s="249"/>
      <c r="H55" s="249"/>
      <c r="I55" s="250"/>
    </row>
    <row r="56" spans="2:9" s="133" customFormat="1" ht="19.5" customHeight="1" thickBot="1">
      <c r="B56" s="632" t="s">
        <v>212</v>
      </c>
      <c r="C56" s="608"/>
      <c r="D56" s="633"/>
      <c r="E56" s="635">
        <f>SUM(E48:E55)</f>
        <v>0</v>
      </c>
      <c r="F56" s="635">
        <f>SUM(F48:F55)</f>
        <v>0</v>
      </c>
      <c r="G56" s="657"/>
      <c r="H56" s="657"/>
      <c r="I56" s="657"/>
    </row>
    <row r="57" spans="2:6" s="133" customFormat="1" ht="19.5" customHeight="1">
      <c r="B57" s="255"/>
      <c r="C57" s="256"/>
      <c r="D57" s="257"/>
      <c r="E57" s="257"/>
      <c r="F57" s="257"/>
    </row>
    <row r="58" spans="2:9" s="133" customFormat="1" ht="45.75" customHeight="1">
      <c r="B58" s="1382"/>
      <c r="C58" s="1382"/>
      <c r="D58" s="1382"/>
      <c r="E58" s="1382"/>
      <c r="F58" s="1382"/>
      <c r="G58" s="1382"/>
      <c r="H58" s="1382"/>
      <c r="I58" s="1382"/>
    </row>
    <row r="59" spans="2:9" s="133" customFormat="1" ht="19.5" customHeight="1">
      <c r="B59" s="1378"/>
      <c r="C59" s="1378"/>
      <c r="D59" s="1378"/>
      <c r="E59" s="1378"/>
      <c r="F59" s="1378"/>
      <c r="G59" s="1378"/>
      <c r="H59" s="1378"/>
      <c r="I59" s="1378"/>
    </row>
    <row r="60" spans="2:9" s="133" customFormat="1" ht="18.75" customHeight="1">
      <c r="B60" s="1378"/>
      <c r="C60" s="1378"/>
      <c r="D60" s="1378"/>
      <c r="E60" s="1378"/>
      <c r="F60" s="1378"/>
      <c r="G60" s="1378"/>
      <c r="H60" s="1378"/>
      <c r="I60" s="1378"/>
    </row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  <row r="67" s="133" customFormat="1" ht="19.5" customHeight="1"/>
    <row r="68" s="133" customFormat="1" ht="19.5" customHeight="1"/>
    <row r="69" s="133" customFormat="1" ht="19.5" customHeight="1"/>
    <row r="70" s="133" customFormat="1" ht="19.5" customHeight="1"/>
    <row r="71" s="133" customFormat="1" ht="19.5" customHeight="1"/>
    <row r="72" s="133" customFormat="1" ht="19.5" customHeight="1"/>
    <row r="73" s="133" customFormat="1" ht="12.75"/>
    <row r="74" s="133" customFormat="1" ht="12.75"/>
    <row r="75" s="133" customFormat="1" ht="12.75"/>
    <row r="76" s="133" customFormat="1" ht="12.75"/>
    <row r="77" s="133" customFormat="1" ht="12.75"/>
    <row r="78" s="133" customFormat="1" ht="12.75"/>
    <row r="84" ht="12.75">
      <c r="D84" s="237" t="s">
        <v>213</v>
      </c>
    </row>
    <row r="85" ht="12.75">
      <c r="D85" s="237" t="s">
        <v>214</v>
      </c>
    </row>
    <row r="86" ht="12.75">
      <c r="D86" s="237" t="s">
        <v>215</v>
      </c>
    </row>
    <row r="87" ht="12.75">
      <c r="D87" s="237" t="s">
        <v>216</v>
      </c>
    </row>
    <row r="88" ht="12.75">
      <c r="D88" s="237" t="s">
        <v>217</v>
      </c>
    </row>
    <row r="89" ht="12.75">
      <c r="D89" s="237" t="s">
        <v>218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59:I59"/>
    <mergeCell ref="B60:I60"/>
    <mergeCell ref="B4:I4"/>
    <mergeCell ref="B58:I58"/>
    <mergeCell ref="G2:I2"/>
    <mergeCell ref="G3:I3"/>
    <mergeCell ref="B3:F3"/>
    <mergeCell ref="B2:F2"/>
  </mergeCells>
  <dataValidations count="3">
    <dataValidation type="list" allowBlank="1" showInputMessage="1" showErrorMessage="1" promptTitle="Especifique la Entidad" sqref="D84:E84">
      <formula1>$D$6:$D$11</formula1>
    </dataValidation>
    <dataValidation type="list" allowBlank="1" showInputMessage="1" showErrorMessage="1" promptTitle="TENER EN CUENTA" prompt="Indicar Entidad Pública" sqref="D36:D43 D25:D32 D7:D15">
      <formula1>$D$84:$D$89</formula1>
    </dataValidation>
    <dataValidation allowBlank="1" showInputMessage="1" showErrorMessage="1" promptTitle="ENTRADA" prompt="Antes de Estimar esta Celda debes incluir en Celda Naranja el Dato Inicial" sqref="E36:F36 E7:F7 E25:F25"/>
  </dataValidations>
  <printOptions horizontalCentered="1" verticalCentered="1"/>
  <pageMargins left="0.3937007874015748" right="0.3937007874015748" top="0.3937007874015748" bottom="0.3937007874015748" header="0.5118110236220472" footer="0.275590551181102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C4:J84"/>
  <sheetViews>
    <sheetView zoomScalePageLayoutView="0" workbookViewId="0" topLeftCell="A1">
      <selection activeCell="A82" sqref="A82:IV82"/>
    </sheetView>
  </sheetViews>
  <sheetFormatPr defaultColWidth="11.421875" defaultRowHeight="12.75"/>
  <cols>
    <col min="3" max="3" width="63.140625" style="0" bestFit="1" customWidth="1"/>
    <col min="4" max="4" width="12.8515625" style="0" bestFit="1" customWidth="1"/>
    <col min="5" max="5" width="16.00390625" style="0" bestFit="1" customWidth="1"/>
    <col min="6" max="6" width="17.00390625" style="0" bestFit="1" customWidth="1"/>
    <col min="7" max="7" width="12.421875" style="0" bestFit="1" customWidth="1"/>
    <col min="8" max="8" width="13.28125" style="0" hidden="1" customWidth="1"/>
    <col min="9" max="13" width="0" style="0" hidden="1" customWidth="1"/>
  </cols>
  <sheetData>
    <row r="4" ht="12.75">
      <c r="C4" s="936" t="s">
        <v>507</v>
      </c>
    </row>
    <row r="5" ht="13.5" thickBot="1"/>
    <row r="6" spans="3:6" ht="13.5" thickBot="1">
      <c r="C6" s="937" t="s">
        <v>508</v>
      </c>
      <c r="D6" s="938" t="s">
        <v>509</v>
      </c>
      <c r="E6" s="609">
        <v>2016</v>
      </c>
      <c r="F6" s="939">
        <v>2017</v>
      </c>
    </row>
    <row r="7" spans="3:6" ht="12.75">
      <c r="C7" s="940"/>
      <c r="D7" s="941"/>
      <c r="E7" s="942"/>
      <c r="F7" s="942"/>
    </row>
    <row r="8" spans="3:6" ht="12.75">
      <c r="C8" s="943" t="s">
        <v>510</v>
      </c>
      <c r="D8" s="884"/>
      <c r="E8" s="1067">
        <f>SUM(E11:E61)</f>
        <v>36020832.49999999</v>
      </c>
      <c r="F8" s="1067">
        <f>SUM(F12:F60)</f>
        <v>32918462.63</v>
      </c>
    </row>
    <row r="9" spans="3:6" ht="12.75">
      <c r="C9" s="943"/>
      <c r="D9" s="884"/>
      <c r="E9" s="1067"/>
      <c r="F9" s="1067"/>
    </row>
    <row r="10" spans="3:6" ht="12.75">
      <c r="C10" s="943" t="s">
        <v>650</v>
      </c>
      <c r="D10" s="884"/>
      <c r="E10" s="1067"/>
      <c r="F10" s="1067"/>
    </row>
    <row r="11" spans="3:6" ht="12.75">
      <c r="C11" s="944" t="s">
        <v>557</v>
      </c>
      <c r="D11" s="944" t="s">
        <v>511</v>
      </c>
      <c r="E11" s="1068">
        <v>432215.32</v>
      </c>
      <c r="F11" s="1074">
        <v>0</v>
      </c>
    </row>
    <row r="12" spans="3:6" ht="12.75">
      <c r="C12" s="944" t="s">
        <v>651</v>
      </c>
      <c r="D12" s="944" t="s">
        <v>511</v>
      </c>
      <c r="E12" s="1068">
        <v>574848.69</v>
      </c>
      <c r="F12" s="1074">
        <v>0</v>
      </c>
    </row>
    <row r="13" spans="3:6" ht="12.75">
      <c r="C13" s="944" t="s">
        <v>512</v>
      </c>
      <c r="D13" s="944" t="s">
        <v>511</v>
      </c>
      <c r="E13" s="1068">
        <v>1461907.58</v>
      </c>
      <c r="F13" s="1074">
        <v>0</v>
      </c>
    </row>
    <row r="14" spans="3:6" ht="12.75">
      <c r="C14" s="944" t="s">
        <v>533</v>
      </c>
      <c r="D14" s="944" t="s">
        <v>511</v>
      </c>
      <c r="E14" s="1070">
        <v>27837.82</v>
      </c>
      <c r="F14" s="1074">
        <v>0</v>
      </c>
    </row>
    <row r="15" spans="3:6" ht="12.75">
      <c r="C15" s="944"/>
      <c r="D15" s="944"/>
      <c r="E15" s="1070"/>
      <c r="F15" s="1074"/>
    </row>
    <row r="16" spans="3:6" ht="12.75">
      <c r="C16" s="949" t="s">
        <v>652</v>
      </c>
      <c r="D16" s="944"/>
      <c r="E16" s="1070"/>
      <c r="F16" s="1074"/>
    </row>
    <row r="17" spans="3:6" ht="12.75">
      <c r="C17" s="944" t="s">
        <v>520</v>
      </c>
      <c r="D17" s="944"/>
      <c r="E17" s="1070">
        <v>14413.23</v>
      </c>
      <c r="F17" s="1074">
        <v>0</v>
      </c>
    </row>
    <row r="18" spans="3:6" ht="12.75">
      <c r="C18" s="944" t="s">
        <v>519</v>
      </c>
      <c r="D18" s="944" t="s">
        <v>511</v>
      </c>
      <c r="E18" s="1070">
        <v>41076.54</v>
      </c>
      <c r="F18" s="1074">
        <v>0</v>
      </c>
    </row>
    <row r="19" spans="3:6" ht="12.75">
      <c r="C19" s="944" t="s">
        <v>515</v>
      </c>
      <c r="D19" s="944" t="s">
        <v>511</v>
      </c>
      <c r="E19" s="1068">
        <v>873496</v>
      </c>
      <c r="F19" s="1074">
        <v>0</v>
      </c>
    </row>
    <row r="20" spans="3:6" ht="12.75">
      <c r="C20" s="944" t="s">
        <v>516</v>
      </c>
      <c r="D20" s="944" t="s">
        <v>511</v>
      </c>
      <c r="E20" s="1070">
        <v>614295</v>
      </c>
      <c r="F20" s="1074">
        <v>0</v>
      </c>
    </row>
    <row r="21" spans="3:7" ht="12.75">
      <c r="C21" s="944" t="s">
        <v>517</v>
      </c>
      <c r="D21" s="944" t="s">
        <v>511</v>
      </c>
      <c r="E21" s="1068">
        <v>11374508.737864077</v>
      </c>
      <c r="F21" s="1074">
        <v>0</v>
      </c>
      <c r="G21" s="751"/>
    </row>
    <row r="22" spans="3:7" ht="12.75">
      <c r="C22" s="944" t="s">
        <v>518</v>
      </c>
      <c r="D22" s="944" t="s">
        <v>511</v>
      </c>
      <c r="E22" s="1068">
        <v>341235.2621359223</v>
      </c>
      <c r="F22" s="1074">
        <v>0</v>
      </c>
      <c r="G22" s="751"/>
    </row>
    <row r="23" spans="3:7" ht="12.75">
      <c r="C23" s="944" t="s">
        <v>534</v>
      </c>
      <c r="D23" s="944" t="s">
        <v>511</v>
      </c>
      <c r="E23" s="1070">
        <v>109054.82</v>
      </c>
      <c r="F23" s="1074">
        <v>0</v>
      </c>
      <c r="G23" s="751"/>
    </row>
    <row r="24" spans="3:6" ht="12.75">
      <c r="C24" s="947" t="s">
        <v>513</v>
      </c>
      <c r="D24" s="947" t="s">
        <v>511</v>
      </c>
      <c r="E24" s="1110">
        <v>449892</v>
      </c>
      <c r="F24" s="1111">
        <v>0</v>
      </c>
    </row>
    <row r="25" spans="3:7" ht="12.75">
      <c r="C25" s="884"/>
      <c r="D25" s="884"/>
      <c r="E25" s="885"/>
      <c r="F25" s="1067"/>
      <c r="G25" s="751"/>
    </row>
    <row r="26" spans="3:7" ht="12.75">
      <c r="C26" s="949" t="s">
        <v>653</v>
      </c>
      <c r="D26" s="884"/>
      <c r="E26" s="885"/>
      <c r="F26" s="1067"/>
      <c r="G26" s="751"/>
    </row>
    <row r="27" spans="3:7" ht="12.75">
      <c r="C27" s="944" t="s">
        <v>522</v>
      </c>
      <c r="D27" s="944" t="s">
        <v>511</v>
      </c>
      <c r="E27" s="1068">
        <v>10587846</v>
      </c>
      <c r="F27" s="1068">
        <v>0</v>
      </c>
      <c r="G27" s="751"/>
    </row>
    <row r="28" spans="3:7" ht="12.75">
      <c r="C28" s="944" t="s">
        <v>662</v>
      </c>
      <c r="D28" s="944" t="s">
        <v>511</v>
      </c>
      <c r="E28" s="1068">
        <v>478634.15</v>
      </c>
      <c r="F28" s="1068">
        <v>0</v>
      </c>
      <c r="G28" s="751"/>
    </row>
    <row r="29" spans="3:6" ht="12.75">
      <c r="C29" s="944" t="s">
        <v>556</v>
      </c>
      <c r="D29" s="944" t="s">
        <v>511</v>
      </c>
      <c r="E29" s="1068">
        <v>0</v>
      </c>
      <c r="F29" s="1068">
        <v>13614610</v>
      </c>
    </row>
    <row r="30" spans="3:6" ht="12.75">
      <c r="C30" s="944" t="s">
        <v>535</v>
      </c>
      <c r="D30" s="944" t="s">
        <v>511</v>
      </c>
      <c r="E30" s="1068">
        <v>559967.38</v>
      </c>
      <c r="F30" s="1068">
        <v>0</v>
      </c>
    </row>
    <row r="31" spans="3:6" ht="12.75">
      <c r="C31" s="884" t="s">
        <v>543</v>
      </c>
      <c r="D31" s="947" t="s">
        <v>511</v>
      </c>
      <c r="E31" s="1068">
        <v>10000</v>
      </c>
      <c r="F31" s="1068">
        <v>0</v>
      </c>
    </row>
    <row r="32" spans="3:6" ht="12.75">
      <c r="C32" s="948" t="s">
        <v>539</v>
      </c>
      <c r="D32" s="947" t="s">
        <v>511</v>
      </c>
      <c r="E32" s="1068">
        <v>8511.34</v>
      </c>
      <c r="F32" s="1068">
        <v>0</v>
      </c>
    </row>
    <row r="33" spans="3:6" ht="12.75">
      <c r="C33" s="946" t="s">
        <v>540</v>
      </c>
      <c r="D33" s="947" t="s">
        <v>511</v>
      </c>
      <c r="E33" s="1068">
        <v>15056.97</v>
      </c>
      <c r="F33" s="1068">
        <v>0</v>
      </c>
    </row>
    <row r="34" spans="3:6" ht="12.75">
      <c r="C34" s="884" t="s">
        <v>542</v>
      </c>
      <c r="D34" s="947" t="s">
        <v>511</v>
      </c>
      <c r="E34" s="1068">
        <v>9692.91</v>
      </c>
      <c r="F34" s="1068">
        <v>0</v>
      </c>
    </row>
    <row r="35" spans="3:6" ht="12.75">
      <c r="C35" s="944" t="s">
        <v>514</v>
      </c>
      <c r="D35" s="944" t="s">
        <v>511</v>
      </c>
      <c r="E35" s="1068">
        <v>842941.13</v>
      </c>
      <c r="F35" s="1068">
        <v>0</v>
      </c>
    </row>
    <row r="36" spans="3:6" ht="12.75">
      <c r="C36" s="947" t="s">
        <v>523</v>
      </c>
      <c r="D36" s="947" t="s">
        <v>511</v>
      </c>
      <c r="E36" s="1110">
        <v>1113673</v>
      </c>
      <c r="F36" s="1068">
        <v>0</v>
      </c>
    </row>
    <row r="37" spans="3:6" ht="12.75">
      <c r="C37" s="947" t="s">
        <v>524</v>
      </c>
      <c r="D37" s="947" t="s">
        <v>511</v>
      </c>
      <c r="E37" s="1110">
        <v>874824.43</v>
      </c>
      <c r="F37" s="1068">
        <v>0</v>
      </c>
    </row>
    <row r="38" spans="3:6" ht="12.75">
      <c r="C38" s="947" t="s">
        <v>525</v>
      </c>
      <c r="D38" s="947" t="s">
        <v>511</v>
      </c>
      <c r="E38" s="1110">
        <v>2400000</v>
      </c>
      <c r="F38" s="1068">
        <v>0</v>
      </c>
    </row>
    <row r="39" spans="3:6" ht="12.75">
      <c r="C39" s="1075"/>
      <c r="D39" s="947"/>
      <c r="E39" s="1068"/>
      <c r="F39" s="1068"/>
    </row>
    <row r="40" spans="3:6" ht="12.75">
      <c r="C40" s="1073" t="s">
        <v>654</v>
      </c>
      <c r="D40" s="944"/>
      <c r="E40" s="1070"/>
      <c r="F40" s="1068"/>
    </row>
    <row r="41" spans="3:6" ht="12.75">
      <c r="C41" s="945" t="s">
        <v>526</v>
      </c>
      <c r="D41" s="944" t="s">
        <v>511</v>
      </c>
      <c r="E41" s="1070">
        <v>0</v>
      </c>
      <c r="F41" s="1068">
        <f>10589186</f>
        <v>10589186</v>
      </c>
    </row>
    <row r="42" spans="3:6" ht="12.75">
      <c r="C42" s="1099" t="s">
        <v>668</v>
      </c>
      <c r="D42" s="944" t="s">
        <v>511</v>
      </c>
      <c r="E42" s="1070">
        <v>0</v>
      </c>
      <c r="F42" s="1068">
        <v>50000</v>
      </c>
    </row>
    <row r="43" spans="3:6" ht="12.75">
      <c r="C43" s="944" t="s">
        <v>662</v>
      </c>
      <c r="D43" s="944" t="s">
        <v>511</v>
      </c>
      <c r="E43" s="1070">
        <v>0</v>
      </c>
      <c r="F43" s="1068">
        <v>489751.98</v>
      </c>
    </row>
    <row r="44" spans="3:6" ht="12.75">
      <c r="C44" s="945" t="s">
        <v>536</v>
      </c>
      <c r="D44" s="944" t="s">
        <v>511</v>
      </c>
      <c r="E44" s="1070">
        <v>0</v>
      </c>
      <c r="F44" s="1068">
        <v>577034.38</v>
      </c>
    </row>
    <row r="45" spans="3:6" ht="12.75">
      <c r="C45" s="945" t="s">
        <v>543</v>
      </c>
      <c r="D45" s="944" t="s">
        <v>511</v>
      </c>
      <c r="E45" s="1070">
        <v>0</v>
      </c>
      <c r="F45" s="1068">
        <v>10000</v>
      </c>
    </row>
    <row r="46" spans="3:6" ht="12.75">
      <c r="C46" s="945" t="s">
        <v>541</v>
      </c>
      <c r="D46" s="944" t="s">
        <v>511</v>
      </c>
      <c r="E46" s="1070">
        <v>0</v>
      </c>
      <c r="F46" s="1068">
        <v>689189</v>
      </c>
    </row>
    <row r="47" spans="3:6" ht="12.75">
      <c r="C47" s="945" t="s">
        <v>537</v>
      </c>
      <c r="D47" s="944" t="s">
        <v>511</v>
      </c>
      <c r="E47" s="1106">
        <v>924386</v>
      </c>
      <c r="F47" s="1068">
        <v>924386</v>
      </c>
    </row>
    <row r="48" spans="3:6" ht="12.75">
      <c r="C48" s="1099" t="s">
        <v>667</v>
      </c>
      <c r="D48" s="944" t="s">
        <v>511</v>
      </c>
      <c r="E48" s="1106">
        <v>0</v>
      </c>
      <c r="F48" s="1068">
        <v>720000</v>
      </c>
    </row>
    <row r="49" spans="3:6" ht="12.75">
      <c r="C49" s="947" t="s">
        <v>658</v>
      </c>
      <c r="D49" s="947" t="s">
        <v>511</v>
      </c>
      <c r="E49" s="1068">
        <v>0</v>
      </c>
      <c r="F49" s="1068">
        <v>560000</v>
      </c>
    </row>
    <row r="50" spans="3:6" ht="12.75">
      <c r="C50" s="945"/>
      <c r="D50" s="944"/>
      <c r="E50" s="1070"/>
      <c r="F50" s="1068"/>
    </row>
    <row r="51" spans="3:6" ht="12.75">
      <c r="C51" s="1073" t="s">
        <v>655</v>
      </c>
      <c r="D51" s="944"/>
      <c r="E51" s="1070"/>
      <c r="F51" s="1068"/>
    </row>
    <row r="52" spans="3:6" ht="12.75">
      <c r="C52" s="945" t="s">
        <v>521</v>
      </c>
      <c r="D52" s="944" t="s">
        <v>511</v>
      </c>
      <c r="E52" s="1106">
        <v>14413.23</v>
      </c>
      <c r="F52" s="1068">
        <v>14413.23</v>
      </c>
    </row>
    <row r="53" spans="3:6" ht="12.75">
      <c r="C53" s="945" t="s">
        <v>527</v>
      </c>
      <c r="D53" s="944" t="s">
        <v>511</v>
      </c>
      <c r="E53" s="1106">
        <v>1279842</v>
      </c>
      <c r="F53" s="1068">
        <v>1250084</v>
      </c>
    </row>
    <row r="54" spans="3:10" ht="12.75">
      <c r="C54" s="945" t="s">
        <v>528</v>
      </c>
      <c r="D54" s="944" t="s">
        <v>511</v>
      </c>
      <c r="E54" s="1106">
        <v>386262.96</v>
      </c>
      <c r="F54" s="1068">
        <v>1379714.37</v>
      </c>
      <c r="H54" s="751">
        <v>1379714.37</v>
      </c>
      <c r="I54">
        <v>0</v>
      </c>
      <c r="J54" t="s">
        <v>669</v>
      </c>
    </row>
    <row r="55" spans="3:10" ht="12.75">
      <c r="C55" s="944" t="s">
        <v>529</v>
      </c>
      <c r="D55" s="944" t="s">
        <v>511</v>
      </c>
      <c r="E55" s="1070">
        <v>0</v>
      </c>
      <c r="F55" s="1106">
        <v>1055717</v>
      </c>
      <c r="H55" s="751">
        <v>1055717</v>
      </c>
      <c r="I55">
        <v>0</v>
      </c>
      <c r="J55" t="s">
        <v>670</v>
      </c>
    </row>
    <row r="56" spans="3:6" ht="12.75">
      <c r="C56" s="944" t="s">
        <v>530</v>
      </c>
      <c r="D56" s="944" t="s">
        <v>511</v>
      </c>
      <c r="E56" s="1070">
        <v>0</v>
      </c>
      <c r="F56" s="1106">
        <v>234917.5</v>
      </c>
    </row>
    <row r="57" spans="3:6" ht="12.75">
      <c r="C57" s="944" t="s">
        <v>531</v>
      </c>
      <c r="D57" s="944" t="s">
        <v>511</v>
      </c>
      <c r="E57" s="1070">
        <v>0</v>
      </c>
      <c r="F57" s="1106">
        <v>148777.22</v>
      </c>
    </row>
    <row r="58" spans="3:9" ht="12.75">
      <c r="C58" s="944" t="s">
        <v>532</v>
      </c>
      <c r="D58" s="944" t="s">
        <v>511</v>
      </c>
      <c r="E58" s="1070">
        <v>0</v>
      </c>
      <c r="F58" s="1106">
        <v>610681.95</v>
      </c>
      <c r="H58" t="s">
        <v>671</v>
      </c>
      <c r="I58" t="s">
        <v>672</v>
      </c>
    </row>
    <row r="59" spans="3:6" ht="12.75">
      <c r="C59" s="946" t="s">
        <v>538</v>
      </c>
      <c r="D59" s="947" t="s">
        <v>511</v>
      </c>
      <c r="E59" s="1068">
        <v>200000</v>
      </c>
      <c r="F59" s="1068">
        <v>0</v>
      </c>
    </row>
    <row r="60" spans="3:6" ht="12.75">
      <c r="C60" s="884"/>
      <c r="D60" s="884"/>
      <c r="E60" s="1068"/>
      <c r="F60" s="1068"/>
    </row>
    <row r="61" spans="3:6" ht="12.75">
      <c r="C61" s="884"/>
      <c r="D61" s="884"/>
      <c r="E61" s="885"/>
      <c r="F61" s="1068"/>
    </row>
    <row r="62" spans="3:6" ht="15">
      <c r="C62" s="949" t="s">
        <v>544</v>
      </c>
      <c r="D62" s="950"/>
      <c r="E62" s="1072">
        <f>SUM(E63:E71)</f>
        <v>12708911.63</v>
      </c>
      <c r="F62" s="1072">
        <f>SUM(F64:F71)</f>
        <v>14505703.02</v>
      </c>
    </row>
    <row r="63" spans="3:6" ht="12.75">
      <c r="C63" s="944"/>
      <c r="D63" s="944"/>
      <c r="E63" s="885"/>
      <c r="F63" s="885"/>
    </row>
    <row r="64" spans="3:8" ht="12.75">
      <c r="C64" s="944" t="s">
        <v>545</v>
      </c>
      <c r="D64" s="944" t="s">
        <v>216</v>
      </c>
      <c r="E64" s="885">
        <v>122867.43</v>
      </c>
      <c r="F64" s="885">
        <v>0</v>
      </c>
      <c r="H64">
        <v>689189</v>
      </c>
    </row>
    <row r="65" spans="3:8" ht="12.75">
      <c r="C65" s="944"/>
      <c r="D65" s="944"/>
      <c r="E65" s="885"/>
      <c r="F65" s="885"/>
      <c r="H65" s="751">
        <f>H64-F58</f>
        <v>78507.05000000005</v>
      </c>
    </row>
    <row r="66" spans="3:8" ht="12.75">
      <c r="C66" s="944" t="s">
        <v>546</v>
      </c>
      <c r="D66" s="944" t="s">
        <v>216</v>
      </c>
      <c r="E66" s="885">
        <v>79137.4</v>
      </c>
      <c r="F66" s="885">
        <v>0</v>
      </c>
      <c r="H66" s="751">
        <f>'Transf. y subv.'!K33</f>
        <v>65887607.22</v>
      </c>
    </row>
    <row r="67" spans="3:8" ht="12.75">
      <c r="C67" s="944" t="s">
        <v>547</v>
      </c>
      <c r="D67" s="944" t="s">
        <v>216</v>
      </c>
      <c r="E67" s="885">
        <v>254906.8</v>
      </c>
      <c r="F67" s="885">
        <v>0</v>
      </c>
      <c r="H67" s="751">
        <f>H65-H66</f>
        <v>-65809100.17</v>
      </c>
    </row>
    <row r="68" spans="3:6" ht="12.75">
      <c r="C68" s="944"/>
      <c r="D68" s="944"/>
      <c r="E68" s="885"/>
      <c r="F68" s="885"/>
    </row>
    <row r="69" spans="3:6" ht="12.75">
      <c r="C69" s="944" t="s">
        <v>548</v>
      </c>
      <c r="D69" s="944" t="s">
        <v>216</v>
      </c>
      <c r="E69" s="885">
        <v>12252000</v>
      </c>
      <c r="F69" s="885">
        <v>1249640</v>
      </c>
    </row>
    <row r="70" spans="3:6" ht="12.75">
      <c r="C70" s="944"/>
      <c r="D70" s="944"/>
      <c r="E70" s="885"/>
      <c r="F70" s="885"/>
    </row>
    <row r="71" spans="3:6" ht="12.75">
      <c r="C71" s="944" t="s">
        <v>549</v>
      </c>
      <c r="D71" s="944" t="s">
        <v>216</v>
      </c>
      <c r="E71" s="885">
        <v>0</v>
      </c>
      <c r="F71" s="885">
        <f>14505703.02-1249640</f>
        <v>13256063.02</v>
      </c>
    </row>
    <row r="72" spans="3:6" ht="12.75">
      <c r="C72" s="944"/>
      <c r="D72" s="944"/>
      <c r="E72" s="885"/>
      <c r="F72" s="885"/>
    </row>
    <row r="73" spans="3:6" ht="12.75">
      <c r="C73" s="944"/>
      <c r="D73" s="944"/>
      <c r="E73" s="885"/>
      <c r="F73" s="885"/>
    </row>
    <row r="74" spans="3:6" ht="15">
      <c r="C74" s="949" t="s">
        <v>550</v>
      </c>
      <c r="D74" s="944"/>
      <c r="E74" s="1072">
        <f>SUM(E76:E77)</f>
        <v>2098604.49</v>
      </c>
      <c r="F74" s="1072">
        <f>SUM(F76:F78)</f>
        <v>1286942.04</v>
      </c>
    </row>
    <row r="75" spans="3:6" ht="15">
      <c r="C75" s="949"/>
      <c r="D75" s="944"/>
      <c r="E75" s="1072"/>
      <c r="F75" s="1072"/>
    </row>
    <row r="76" spans="3:6" ht="12.75">
      <c r="C76" s="944" t="s">
        <v>551</v>
      </c>
      <c r="D76" s="944" t="s">
        <v>216</v>
      </c>
      <c r="E76" s="1069">
        <v>950000</v>
      </c>
      <c r="F76" s="885">
        <v>0</v>
      </c>
    </row>
    <row r="77" spans="3:6" ht="15">
      <c r="C77" s="944" t="s">
        <v>515</v>
      </c>
      <c r="D77" s="944" t="s">
        <v>216</v>
      </c>
      <c r="E77" s="1069">
        <v>1148604.49</v>
      </c>
      <c r="F77" s="1107">
        <v>0</v>
      </c>
    </row>
    <row r="78" spans="3:6" ht="12.75">
      <c r="C78" s="944" t="s">
        <v>522</v>
      </c>
      <c r="D78" s="944" t="s">
        <v>216</v>
      </c>
      <c r="E78" s="1069">
        <v>0</v>
      </c>
      <c r="F78" s="885">
        <v>1286942.04</v>
      </c>
    </row>
    <row r="79" spans="3:6" ht="12.75">
      <c r="C79" s="884"/>
      <c r="D79" s="944"/>
      <c r="E79" s="1069"/>
      <c r="F79" s="885"/>
    </row>
    <row r="80" spans="3:6" ht="12.75">
      <c r="C80" s="951" t="s">
        <v>824</v>
      </c>
      <c r="D80" s="952"/>
      <c r="E80" s="1071">
        <f>+E8+E62+E74</f>
        <v>50828348.62</v>
      </c>
      <c r="F80" s="1071">
        <f>+F8+F62+F74</f>
        <v>48711107.69</v>
      </c>
    </row>
    <row r="82" spans="5:6" ht="12.75" hidden="1">
      <c r="E82" s="1076">
        <f>50828348.62-E80</f>
        <v>0</v>
      </c>
      <c r="F82" s="1076">
        <f>48711107.69-F80</f>
        <v>0</v>
      </c>
    </row>
    <row r="84" ht="12.75">
      <c r="F84" s="751"/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3:L29"/>
  <sheetViews>
    <sheetView zoomScalePageLayoutView="0" workbookViewId="0" topLeftCell="A1">
      <selection activeCell="B3" sqref="B3:L29"/>
    </sheetView>
  </sheetViews>
  <sheetFormatPr defaultColWidth="11.57421875" defaultRowHeight="12.75"/>
  <cols>
    <col min="1" max="1" width="11.57421875" style="133" customWidth="1"/>
    <col min="2" max="2" width="2.421875" style="133" customWidth="1"/>
    <col min="3" max="6" width="11.57421875" style="133" customWidth="1"/>
    <col min="7" max="7" width="14.57421875" style="133" customWidth="1"/>
    <col min="8" max="8" width="11.57421875" style="133" customWidth="1"/>
    <col min="9" max="9" width="14.57421875" style="133" customWidth="1"/>
    <col min="10" max="16384" width="11.57421875" style="133" customWidth="1"/>
  </cols>
  <sheetData>
    <row r="2" ht="13.5" thickBot="1"/>
    <row r="3" spans="2:12" ht="21.75" customHeight="1">
      <c r="B3" s="1165" t="s">
        <v>1001</v>
      </c>
      <c r="C3" s="1166"/>
      <c r="D3" s="1166"/>
      <c r="E3" s="1166"/>
      <c r="F3" s="1166"/>
      <c r="G3" s="1166"/>
      <c r="H3" s="1166"/>
      <c r="I3" s="1166"/>
      <c r="J3" s="1166"/>
      <c r="K3" s="1297"/>
      <c r="L3" s="1392">
        <v>2017</v>
      </c>
    </row>
    <row r="4" spans="2:12" ht="19.5" customHeight="1" thickBot="1">
      <c r="B4" s="1170" t="s">
        <v>1022</v>
      </c>
      <c r="C4" s="1171"/>
      <c r="D4" s="1171"/>
      <c r="E4" s="1171"/>
      <c r="F4" s="1171"/>
      <c r="G4" s="1171"/>
      <c r="H4" s="1171"/>
      <c r="I4" s="1171"/>
      <c r="J4" s="1171"/>
      <c r="K4" s="1400"/>
      <c r="L4" s="1393"/>
    </row>
    <row r="5" spans="2:12" ht="27.75" customHeight="1" thickBot="1">
      <c r="B5" s="1394" t="str">
        <f>CPYG!B3</f>
        <v>ENTIDAD: TRANSPORTES INTERURBANOS DE TENERIFE, S.A.</v>
      </c>
      <c r="C5" s="1395"/>
      <c r="D5" s="1395"/>
      <c r="E5" s="1395"/>
      <c r="F5" s="1395"/>
      <c r="G5" s="1395"/>
      <c r="H5" s="1395"/>
      <c r="I5" s="1396"/>
      <c r="J5" s="1406" t="s">
        <v>125</v>
      </c>
      <c r="K5" s="1406"/>
      <c r="L5" s="1407"/>
    </row>
    <row r="6" ht="13.5" thickBot="1"/>
    <row r="7" spans="2:12" ht="17.25" customHeight="1" thickBot="1">
      <c r="B7" s="1403" t="s">
        <v>126</v>
      </c>
      <c r="C7" s="1404"/>
      <c r="D7" s="1404"/>
      <c r="E7" s="1404"/>
      <c r="F7" s="1404"/>
      <c r="G7" s="1404"/>
      <c r="H7" s="1405"/>
      <c r="I7" s="1401" t="s">
        <v>127</v>
      </c>
      <c r="J7" s="1403" t="s">
        <v>128</v>
      </c>
      <c r="K7" s="1404"/>
      <c r="L7" s="1405"/>
    </row>
    <row r="8" spans="2:12" ht="30" customHeight="1" thickBot="1">
      <c r="B8" s="1410"/>
      <c r="C8" s="1411"/>
      <c r="D8" s="1411"/>
      <c r="E8" s="1411"/>
      <c r="F8" s="1411"/>
      <c r="G8" s="1411"/>
      <c r="H8" s="1412"/>
      <c r="I8" s="1402"/>
      <c r="J8" s="825">
        <v>42736</v>
      </c>
      <c r="K8" s="826">
        <v>42767</v>
      </c>
      <c r="L8" s="827">
        <v>42795</v>
      </c>
    </row>
    <row r="9" spans="2:12" ht="17.25" customHeight="1">
      <c r="B9" s="1397" t="s">
        <v>129</v>
      </c>
      <c r="C9" s="1398"/>
      <c r="D9" s="1398"/>
      <c r="E9" s="1398"/>
      <c r="F9" s="1398"/>
      <c r="G9" s="1398"/>
      <c r="H9" s="1399"/>
      <c r="I9" s="923">
        <f>+'Deuda C.P.'!N7+PASIVO!E52</f>
        <v>2033799.6325950501</v>
      </c>
      <c r="J9" s="828">
        <v>0</v>
      </c>
      <c r="K9" s="829">
        <v>0</v>
      </c>
      <c r="L9" s="830">
        <v>0</v>
      </c>
    </row>
    <row r="10" spans="2:12" ht="6.75" customHeight="1">
      <c r="B10" s="737"/>
      <c r="C10" s="736"/>
      <c r="D10" s="736"/>
      <c r="E10" s="736"/>
      <c r="F10" s="736"/>
      <c r="G10" s="736"/>
      <c r="H10" s="231"/>
      <c r="I10" s="230"/>
      <c r="J10" s="230"/>
      <c r="K10" s="158"/>
      <c r="L10" s="231"/>
    </row>
    <row r="11" spans="2:12" ht="17.25" customHeight="1">
      <c r="B11" s="1397" t="s">
        <v>130</v>
      </c>
      <c r="C11" s="1398"/>
      <c r="D11" s="1398"/>
      <c r="E11" s="1398"/>
      <c r="F11" s="1398"/>
      <c r="G11" s="1398"/>
      <c r="H11" s="1399"/>
      <c r="I11" s="828"/>
      <c r="J11" s="828"/>
      <c r="K11" s="829"/>
      <c r="L11" s="830"/>
    </row>
    <row r="12" spans="2:12" ht="6.75" customHeight="1">
      <c r="B12" s="831"/>
      <c r="C12" s="158"/>
      <c r="D12" s="158"/>
      <c r="E12" s="158"/>
      <c r="F12" s="158"/>
      <c r="G12" s="158"/>
      <c r="H12" s="231"/>
      <c r="I12" s="230"/>
      <c r="J12" s="230"/>
      <c r="K12" s="158"/>
      <c r="L12" s="231"/>
    </row>
    <row r="13" spans="2:12" ht="12.75">
      <c r="B13" s="230"/>
      <c r="C13" s="158" t="s">
        <v>131</v>
      </c>
      <c r="D13" s="158"/>
      <c r="E13" s="158"/>
      <c r="F13" s="158"/>
      <c r="G13" s="158"/>
      <c r="H13" s="231"/>
      <c r="I13" s="230">
        <v>0</v>
      </c>
      <c r="J13" s="230"/>
      <c r="K13" s="158"/>
      <c r="L13" s="231"/>
    </row>
    <row r="14" spans="2:12" ht="12.75">
      <c r="B14" s="230"/>
      <c r="C14" s="158" t="s">
        <v>132</v>
      </c>
      <c r="D14" s="158"/>
      <c r="E14" s="158"/>
      <c r="F14" s="158"/>
      <c r="G14" s="158"/>
      <c r="H14" s="231"/>
      <c r="I14" s="230">
        <v>0</v>
      </c>
      <c r="J14" s="230"/>
      <c r="K14" s="158"/>
      <c r="L14" s="231"/>
    </row>
    <row r="15" spans="2:12" ht="12.75">
      <c r="B15" s="230"/>
      <c r="C15" s="158" t="s">
        <v>133</v>
      </c>
      <c r="D15" s="158"/>
      <c r="E15" s="158"/>
      <c r="F15" s="158"/>
      <c r="G15" s="158"/>
      <c r="H15" s="231"/>
      <c r="I15" s="230">
        <v>0</v>
      </c>
      <c r="J15" s="230"/>
      <c r="K15" s="158"/>
      <c r="L15" s="231"/>
    </row>
    <row r="16" spans="2:12" ht="12.75">
      <c r="B16" s="230"/>
      <c r="C16" s="158" t="s">
        <v>139</v>
      </c>
      <c r="D16" s="158"/>
      <c r="E16" s="158"/>
      <c r="F16" s="158"/>
      <c r="G16" s="158"/>
      <c r="H16" s="231"/>
      <c r="I16" s="230">
        <v>0</v>
      </c>
      <c r="J16" s="230"/>
      <c r="K16" s="158"/>
      <c r="L16" s="231"/>
    </row>
    <row r="17" spans="2:12" ht="12.75">
      <c r="B17" s="230"/>
      <c r="C17" s="158" t="s">
        <v>1016</v>
      </c>
      <c r="D17" s="158"/>
      <c r="E17" s="158"/>
      <c r="F17" s="158"/>
      <c r="G17" s="158"/>
      <c r="H17" s="231"/>
      <c r="I17" s="924">
        <f>+PASIVO!E36</f>
        <v>4381636.28</v>
      </c>
      <c r="J17" s="230"/>
      <c r="K17" s="158"/>
      <c r="L17" s="231"/>
    </row>
    <row r="18" spans="2:12" ht="6.75" customHeight="1">
      <c r="B18" s="831"/>
      <c r="C18" s="158"/>
      <c r="D18" s="158"/>
      <c r="E18" s="158"/>
      <c r="F18" s="158"/>
      <c r="G18" s="158"/>
      <c r="H18" s="231"/>
      <c r="I18" s="230"/>
      <c r="J18" s="230"/>
      <c r="K18" s="158"/>
      <c r="L18" s="231"/>
    </row>
    <row r="19" spans="2:12" ht="17.25" customHeight="1">
      <c r="B19" s="1397" t="s">
        <v>134</v>
      </c>
      <c r="C19" s="1398"/>
      <c r="D19" s="1398"/>
      <c r="E19" s="1398"/>
      <c r="F19" s="1398"/>
      <c r="G19" s="1398"/>
      <c r="H19" s="1399"/>
      <c r="I19" s="828"/>
      <c r="J19" s="828"/>
      <c r="K19" s="829"/>
      <c r="L19" s="830"/>
    </row>
    <row r="20" spans="2:12" ht="6.75" customHeight="1">
      <c r="B20" s="831"/>
      <c r="C20" s="158"/>
      <c r="D20" s="158"/>
      <c r="E20" s="158"/>
      <c r="F20" s="158"/>
      <c r="G20" s="158"/>
      <c r="H20" s="231"/>
      <c r="I20" s="230"/>
      <c r="J20" s="230"/>
      <c r="K20" s="158"/>
      <c r="L20" s="231"/>
    </row>
    <row r="21" spans="2:12" ht="12.75">
      <c r="B21" s="230"/>
      <c r="C21" s="1413" t="s">
        <v>135</v>
      </c>
      <c r="D21" s="1413"/>
      <c r="E21" s="1413"/>
      <c r="F21" s="1413"/>
      <c r="G21" s="1413"/>
      <c r="H21" s="1414"/>
      <c r="I21" s="230">
        <v>0</v>
      </c>
      <c r="J21" s="230"/>
      <c r="K21" s="158"/>
      <c r="L21" s="231"/>
    </row>
    <row r="22" spans="2:12" ht="12.75">
      <c r="B22" s="230"/>
      <c r="C22" s="1413" t="s">
        <v>136</v>
      </c>
      <c r="D22" s="1413"/>
      <c r="E22" s="1413"/>
      <c r="F22" s="1413"/>
      <c r="G22" s="1413"/>
      <c r="H22" s="1414"/>
      <c r="I22" s="924">
        <v>570684.5599999999</v>
      </c>
      <c r="J22" s="230"/>
      <c r="K22" s="158"/>
      <c r="L22" s="231"/>
    </row>
    <row r="23" spans="2:12" ht="6.75" customHeight="1">
      <c r="B23" s="831"/>
      <c r="C23" s="158"/>
      <c r="D23" s="158"/>
      <c r="E23" s="158"/>
      <c r="F23" s="158"/>
      <c r="G23" s="158"/>
      <c r="H23" s="231"/>
      <c r="I23" s="230"/>
      <c r="J23" s="230"/>
      <c r="K23" s="158"/>
      <c r="L23" s="231"/>
    </row>
    <row r="24" spans="2:12" ht="17.25" customHeight="1">
      <c r="B24" s="1397" t="s">
        <v>137</v>
      </c>
      <c r="C24" s="1398"/>
      <c r="D24" s="1398"/>
      <c r="E24" s="1398"/>
      <c r="F24" s="1398"/>
      <c r="G24" s="1398"/>
      <c r="H24" s="1399"/>
      <c r="I24" s="828"/>
      <c r="J24" s="828"/>
      <c r="K24" s="829"/>
      <c r="L24" s="830"/>
    </row>
    <row r="25" spans="2:12" ht="6.75" customHeight="1">
      <c r="B25" s="831"/>
      <c r="C25" s="158"/>
      <c r="D25" s="158"/>
      <c r="E25" s="158"/>
      <c r="F25" s="158"/>
      <c r="G25" s="158"/>
      <c r="H25" s="231"/>
      <c r="I25" s="230"/>
      <c r="J25" s="230"/>
      <c r="K25" s="158"/>
      <c r="L25" s="231"/>
    </row>
    <row r="26" spans="2:12" ht="12.75">
      <c r="B26" s="230"/>
      <c r="C26" s="1413" t="s">
        <v>135</v>
      </c>
      <c r="D26" s="1413"/>
      <c r="E26" s="1413"/>
      <c r="F26" s="1413"/>
      <c r="G26" s="1413"/>
      <c r="H26" s="1414"/>
      <c r="I26" s="230">
        <v>0</v>
      </c>
      <c r="J26" s="230"/>
      <c r="K26" s="158"/>
      <c r="L26" s="231"/>
    </row>
    <row r="27" spans="2:12" ht="13.5" thickBot="1">
      <c r="B27" s="312"/>
      <c r="C27" s="1408" t="s">
        <v>136</v>
      </c>
      <c r="D27" s="1408"/>
      <c r="E27" s="1408"/>
      <c r="F27" s="1408"/>
      <c r="G27" s="1408"/>
      <c r="H27" s="1409"/>
      <c r="I27" s="312">
        <v>0</v>
      </c>
      <c r="J27" s="312"/>
      <c r="K27" s="309"/>
      <c r="L27" s="313"/>
    </row>
    <row r="29" ht="12.75">
      <c r="C29" s="668" t="s">
        <v>138</v>
      </c>
    </row>
  </sheetData>
  <sheetProtection/>
  <mergeCells count="16">
    <mergeCell ref="C27:H27"/>
    <mergeCell ref="B7:H8"/>
    <mergeCell ref="B24:H24"/>
    <mergeCell ref="C21:H21"/>
    <mergeCell ref="C22:H22"/>
    <mergeCell ref="C26:H26"/>
    <mergeCell ref="B9:H9"/>
    <mergeCell ref="L3:L4"/>
    <mergeCell ref="B5:I5"/>
    <mergeCell ref="B11:H11"/>
    <mergeCell ref="B19:H19"/>
    <mergeCell ref="B3:K3"/>
    <mergeCell ref="B4:K4"/>
    <mergeCell ref="I7:I8"/>
    <mergeCell ref="J7:L7"/>
    <mergeCell ref="J5:L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L13"/>
  <sheetViews>
    <sheetView zoomScalePageLayoutView="0" workbookViewId="0" topLeftCell="A1">
      <selection activeCell="B2" sqref="B2:L13"/>
    </sheetView>
  </sheetViews>
  <sheetFormatPr defaultColWidth="11.57421875" defaultRowHeight="12.75"/>
  <cols>
    <col min="1" max="1" width="3.421875" style="133" customWidth="1"/>
    <col min="2" max="2" width="34.421875" style="133" customWidth="1"/>
    <col min="3" max="12" width="15.57421875" style="133" customWidth="1"/>
    <col min="13" max="16384" width="11.57421875" style="133" customWidth="1"/>
  </cols>
  <sheetData>
    <row r="1" ht="26.25" customHeight="1" thickBot="1"/>
    <row r="2" spans="2:12" ht="21.75" customHeight="1">
      <c r="B2" s="1165" t="s">
        <v>1001</v>
      </c>
      <c r="C2" s="1166"/>
      <c r="D2" s="1166"/>
      <c r="E2" s="1166"/>
      <c r="F2" s="1166"/>
      <c r="G2" s="1166"/>
      <c r="H2" s="1166"/>
      <c r="I2" s="1166"/>
      <c r="J2" s="1166"/>
      <c r="K2" s="1297"/>
      <c r="L2" s="1392">
        <v>2017</v>
      </c>
    </row>
    <row r="3" spans="2:12" ht="19.5" customHeight="1" thickBot="1">
      <c r="B3" s="1170" t="s">
        <v>1022</v>
      </c>
      <c r="C3" s="1171"/>
      <c r="D3" s="1171"/>
      <c r="E3" s="1171"/>
      <c r="F3" s="1171"/>
      <c r="G3" s="1171"/>
      <c r="H3" s="1171"/>
      <c r="I3" s="1171"/>
      <c r="J3" s="1171"/>
      <c r="K3" s="1400"/>
      <c r="L3" s="1393"/>
    </row>
    <row r="4" spans="2:12" ht="56.25" customHeight="1" thickBot="1">
      <c r="B4" s="1394" t="str">
        <f>CPYG!B3</f>
        <v>ENTIDAD: TRANSPORTES INTERURBANOS DE TENERIFE, S.A.</v>
      </c>
      <c r="C4" s="1395"/>
      <c r="D4" s="1395"/>
      <c r="E4" s="1395"/>
      <c r="F4" s="1395"/>
      <c r="G4" s="1395"/>
      <c r="H4" s="1395"/>
      <c r="I4" s="1396"/>
      <c r="J4" s="1406" t="s">
        <v>142</v>
      </c>
      <c r="K4" s="1406"/>
      <c r="L4" s="1407"/>
    </row>
    <row r="5" spans="1:2" ht="18" customHeight="1" thickBot="1">
      <c r="A5" s="258"/>
      <c r="B5" s="258"/>
    </row>
    <row r="6" spans="1:12" ht="26.25" customHeight="1">
      <c r="A6" s="258"/>
      <c r="B6" s="1415" t="s">
        <v>126</v>
      </c>
      <c r="C6" s="1416" t="s">
        <v>143</v>
      </c>
      <c r="D6" s="1417"/>
      <c r="E6" s="1417"/>
      <c r="F6" s="1417"/>
      <c r="G6" s="1417"/>
      <c r="H6" s="1417"/>
      <c r="I6" s="1417"/>
      <c r="J6" s="1417"/>
      <c r="K6" s="1417"/>
      <c r="L6" s="1418"/>
    </row>
    <row r="7" spans="1:12" ht="27" customHeight="1" thickBot="1">
      <c r="A7" s="258"/>
      <c r="B7" s="1402"/>
      <c r="C7" s="720">
        <v>2017</v>
      </c>
      <c r="D7" s="720">
        <v>2018</v>
      </c>
      <c r="E7" s="720">
        <v>2019</v>
      </c>
      <c r="F7" s="720">
        <v>2020</v>
      </c>
      <c r="G7" s="720">
        <v>2021</v>
      </c>
      <c r="H7" s="720">
        <v>2022</v>
      </c>
      <c r="I7" s="720">
        <v>2023</v>
      </c>
      <c r="J7" s="720">
        <v>2024</v>
      </c>
      <c r="K7" s="720">
        <v>2025</v>
      </c>
      <c r="L7" s="832">
        <v>2026</v>
      </c>
    </row>
    <row r="8" spans="2:12" ht="21" customHeight="1">
      <c r="B8" s="206" t="s">
        <v>131</v>
      </c>
      <c r="C8" s="833"/>
      <c r="D8" s="833"/>
      <c r="E8" s="833"/>
      <c r="F8" s="833"/>
      <c r="G8" s="833"/>
      <c r="H8" s="833"/>
      <c r="I8" s="833"/>
      <c r="J8" s="833"/>
      <c r="K8" s="833"/>
      <c r="L8" s="834"/>
    </row>
    <row r="9" spans="2:12" ht="21" customHeight="1">
      <c r="B9" s="230" t="s">
        <v>140</v>
      </c>
      <c r="C9" s="835"/>
      <c r="D9" s="835"/>
      <c r="E9" s="835"/>
      <c r="F9" s="835"/>
      <c r="G9" s="835"/>
      <c r="H9" s="835"/>
      <c r="I9" s="835"/>
      <c r="J9" s="835"/>
      <c r="K9" s="835"/>
      <c r="L9" s="836"/>
    </row>
    <row r="10" spans="2:12" ht="21" customHeight="1">
      <c r="B10" s="230" t="s">
        <v>1015</v>
      </c>
      <c r="C10" s="835"/>
      <c r="D10" s="835"/>
      <c r="E10" s="835"/>
      <c r="F10" s="835"/>
      <c r="G10" s="835"/>
      <c r="H10" s="835"/>
      <c r="I10" s="835"/>
      <c r="J10" s="835"/>
      <c r="K10" s="835"/>
      <c r="L10" s="836"/>
    </row>
    <row r="11" spans="2:12" ht="21" customHeight="1">
      <c r="B11" s="230" t="s">
        <v>144</v>
      </c>
      <c r="C11" s="835"/>
      <c r="D11" s="835"/>
      <c r="E11" s="835"/>
      <c r="F11" s="835"/>
      <c r="G11" s="835"/>
      <c r="H11" s="835"/>
      <c r="I11" s="835"/>
      <c r="J11" s="835"/>
      <c r="K11" s="835"/>
      <c r="L11" s="836"/>
    </row>
    <row r="12" spans="2:12" ht="21" customHeight="1" thickBot="1">
      <c r="B12" s="312" t="s">
        <v>1016</v>
      </c>
      <c r="C12" s="837"/>
      <c r="D12" s="837"/>
      <c r="E12" s="837"/>
      <c r="F12" s="837"/>
      <c r="G12" s="837"/>
      <c r="H12" s="837"/>
      <c r="I12" s="837"/>
      <c r="J12" s="837"/>
      <c r="K12" s="837"/>
      <c r="L12" s="838"/>
    </row>
    <row r="13" spans="2:12" ht="27" customHeight="1" thickBot="1">
      <c r="B13" s="839" t="s">
        <v>141</v>
      </c>
      <c r="C13" s="840">
        <f aca="true" t="shared" si="0" ref="C13:L13">SUM(C8:C12)</f>
        <v>0</v>
      </c>
      <c r="D13" s="840">
        <f t="shared" si="0"/>
        <v>0</v>
      </c>
      <c r="E13" s="840">
        <f t="shared" si="0"/>
        <v>0</v>
      </c>
      <c r="F13" s="840">
        <f t="shared" si="0"/>
        <v>0</v>
      </c>
      <c r="G13" s="840">
        <f t="shared" si="0"/>
        <v>0</v>
      </c>
      <c r="H13" s="840">
        <f t="shared" si="0"/>
        <v>0</v>
      </c>
      <c r="I13" s="840">
        <f t="shared" si="0"/>
        <v>0</v>
      </c>
      <c r="J13" s="840">
        <f t="shared" si="0"/>
        <v>0</v>
      </c>
      <c r="K13" s="840">
        <f t="shared" si="0"/>
        <v>0</v>
      </c>
      <c r="L13" s="841">
        <f t="shared" si="0"/>
        <v>0</v>
      </c>
    </row>
  </sheetData>
  <sheetProtection/>
  <mergeCells count="7">
    <mergeCell ref="L2:L3"/>
    <mergeCell ref="B3:K3"/>
    <mergeCell ref="J4:L4"/>
    <mergeCell ref="B6:B7"/>
    <mergeCell ref="C6:L6"/>
    <mergeCell ref="B4:I4"/>
    <mergeCell ref="B2:K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U37"/>
  <sheetViews>
    <sheetView zoomScale="75" zoomScaleNormal="75" zoomScalePageLayoutView="0" workbookViewId="0" topLeftCell="A1">
      <selection activeCell="B2" sqref="B2:P29"/>
    </sheetView>
  </sheetViews>
  <sheetFormatPr defaultColWidth="11.57421875" defaultRowHeight="12.75"/>
  <cols>
    <col min="1" max="1" width="3.421875" style="259" customWidth="1"/>
    <col min="2" max="2" width="10.421875" style="259" customWidth="1"/>
    <col min="3" max="3" width="19.8515625" style="259" hidden="1" customWidth="1"/>
    <col min="4" max="4" width="34.421875" style="259" bestFit="1" customWidth="1"/>
    <col min="5" max="5" width="16.421875" style="259" customWidth="1"/>
    <col min="6" max="6" width="10.57421875" style="259" customWidth="1"/>
    <col min="7" max="7" width="11.421875" style="259" customWidth="1"/>
    <col min="8" max="9" width="13.57421875" style="259" customWidth="1"/>
    <col min="10" max="10" width="16.57421875" style="259" customWidth="1"/>
    <col min="11" max="11" width="17.421875" style="259" customWidth="1"/>
    <col min="12" max="12" width="16.140625" style="259" bestFit="1" customWidth="1"/>
    <col min="13" max="13" width="15.421875" style="259" customWidth="1"/>
    <col min="14" max="14" width="15.57421875" style="259" customWidth="1"/>
    <col min="15" max="15" width="16.57421875" style="259" customWidth="1"/>
    <col min="16" max="16" width="12.57421875" style="259" customWidth="1"/>
    <col min="17" max="17" width="0" style="259" hidden="1" customWidth="1"/>
    <col min="18" max="18" width="17.140625" style="260" hidden="1" customWidth="1"/>
    <col min="19" max="19" width="17.421875" style="260" hidden="1" customWidth="1"/>
    <col min="20" max="20" width="0.9921875" style="260" hidden="1" customWidth="1"/>
    <col min="21" max="16384" width="11.57421875" style="259" customWidth="1"/>
  </cols>
  <sheetData>
    <row r="1" spans="2:15" ht="24.75" customHeight="1" thickBot="1">
      <c r="B1" s="297"/>
      <c r="O1" s="298"/>
    </row>
    <row r="2" spans="2:20" s="275" customFormat="1" ht="36" customHeight="1" thickBot="1">
      <c r="B2" s="1422" t="s">
        <v>207</v>
      </c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4"/>
      <c r="O2" s="1429">
        <f>CPYG!E2</f>
        <v>2017</v>
      </c>
      <c r="P2" s="1430"/>
      <c r="R2" s="277"/>
      <c r="S2" s="277"/>
      <c r="T2" s="277"/>
    </row>
    <row r="3" spans="2:16" ht="25.5" customHeight="1" thickBot="1">
      <c r="B3" s="1438" t="str">
        <f>CPYG!B3</f>
        <v>ENTIDAD: TRANSPORTES INTERURBANOS DE TENERIFE, S.A.</v>
      </c>
      <c r="C3" s="1439"/>
      <c r="D3" s="1439"/>
      <c r="E3" s="1439"/>
      <c r="F3" s="1439"/>
      <c r="G3" s="1439"/>
      <c r="H3" s="1439"/>
      <c r="I3" s="1439"/>
      <c r="J3" s="1439"/>
      <c r="K3" s="1439"/>
      <c r="L3" s="1439"/>
      <c r="M3" s="1439"/>
      <c r="N3" s="1440"/>
      <c r="O3" s="1438" t="s">
        <v>879</v>
      </c>
      <c r="P3" s="1440"/>
    </row>
    <row r="4" spans="2:16" ht="24.75" customHeight="1">
      <c r="B4" s="1431" t="s">
        <v>823</v>
      </c>
      <c r="C4" s="1432"/>
      <c r="D4" s="1432"/>
      <c r="E4" s="1432"/>
      <c r="F4" s="1432"/>
      <c r="G4" s="1432"/>
      <c r="H4" s="1432"/>
      <c r="I4" s="1432"/>
      <c r="J4" s="1432"/>
      <c r="K4" s="1432"/>
      <c r="L4" s="1432"/>
      <c r="M4" s="1432"/>
      <c r="N4" s="1432"/>
      <c r="O4" s="1432"/>
      <c r="P4" s="1433"/>
    </row>
    <row r="5" spans="2:17" ht="48" customHeight="1">
      <c r="B5" s="1441" t="s">
        <v>5</v>
      </c>
      <c r="C5" s="1442"/>
      <c r="D5" s="1437"/>
      <c r="E5" s="1435" t="s">
        <v>418</v>
      </c>
      <c r="F5" s="1437"/>
      <c r="G5" s="262" t="s">
        <v>419</v>
      </c>
      <c r="H5" s="1434" t="s">
        <v>420</v>
      </c>
      <c r="I5" s="1434"/>
      <c r="J5" s="1434"/>
      <c r="K5" s="1435" t="s">
        <v>421</v>
      </c>
      <c r="L5" s="1437"/>
      <c r="M5" s="1435" t="s">
        <v>145</v>
      </c>
      <c r="N5" s="1437"/>
      <c r="O5" s="1435" t="s">
        <v>146</v>
      </c>
      <c r="P5" s="1436"/>
      <c r="Q5" s="263"/>
    </row>
    <row r="6" spans="2:16" ht="19.5" customHeight="1">
      <c r="B6" s="1419"/>
      <c r="C6" s="1420"/>
      <c r="D6" s="1421"/>
      <c r="E6" s="1425"/>
      <c r="F6" s="1428"/>
      <c r="G6" s="264"/>
      <c r="H6" s="1443"/>
      <c r="I6" s="1444"/>
      <c r="J6" s="1445"/>
      <c r="K6" s="1425"/>
      <c r="L6" s="1428"/>
      <c r="M6" s="1425"/>
      <c r="N6" s="1428"/>
      <c r="O6" s="1425"/>
      <c r="P6" s="1452"/>
    </row>
    <row r="7" spans="2:16" ht="19.5" customHeight="1">
      <c r="B7" s="1419"/>
      <c r="C7" s="1420"/>
      <c r="D7" s="1421"/>
      <c r="E7" s="1425"/>
      <c r="F7" s="1428"/>
      <c r="G7" s="264"/>
      <c r="H7" s="1427"/>
      <c r="I7" s="1427"/>
      <c r="J7" s="1427"/>
      <c r="K7" s="1425"/>
      <c r="L7" s="1428"/>
      <c r="M7" s="1425"/>
      <c r="N7" s="1426"/>
      <c r="O7" s="1425"/>
      <c r="P7" s="1452"/>
    </row>
    <row r="8" spans="2:16" ht="19.5" customHeight="1">
      <c r="B8" s="1419"/>
      <c r="C8" s="1420"/>
      <c r="D8" s="1421"/>
      <c r="E8" s="1425"/>
      <c r="F8" s="1428"/>
      <c r="G8" s="264"/>
      <c r="H8" s="1427"/>
      <c r="I8" s="1427"/>
      <c r="J8" s="1427"/>
      <c r="K8" s="1425"/>
      <c r="L8" s="1428"/>
      <c r="M8" s="1425"/>
      <c r="N8" s="1426"/>
      <c r="O8" s="1425"/>
      <c r="P8" s="1452"/>
    </row>
    <row r="9" spans="2:16" ht="19.5" customHeight="1">
      <c r="B9" s="1419"/>
      <c r="C9" s="1420"/>
      <c r="D9" s="1421"/>
      <c r="E9" s="1425"/>
      <c r="F9" s="1428"/>
      <c r="G9" s="264"/>
      <c r="H9" s="1427"/>
      <c r="I9" s="1427"/>
      <c r="J9" s="1427"/>
      <c r="K9" s="1425"/>
      <c r="L9" s="1428"/>
      <c r="M9" s="1425"/>
      <c r="N9" s="1426"/>
      <c r="O9" s="1425"/>
      <c r="P9" s="1452"/>
    </row>
    <row r="10" spans="2:16" ht="19.5" customHeight="1">
      <c r="B10" s="1419"/>
      <c r="C10" s="1420"/>
      <c r="D10" s="1421"/>
      <c r="E10" s="1425"/>
      <c r="F10" s="1428"/>
      <c r="G10" s="266"/>
      <c r="H10" s="1427"/>
      <c r="I10" s="1427"/>
      <c r="J10" s="1427"/>
      <c r="K10" s="1425"/>
      <c r="L10" s="1428"/>
      <c r="M10" s="1425"/>
      <c r="N10" s="1426"/>
      <c r="O10" s="1425"/>
      <c r="P10" s="1452"/>
    </row>
    <row r="11" spans="2:16" ht="24.75" customHeight="1">
      <c r="B11" s="1448" t="s">
        <v>872</v>
      </c>
      <c r="C11" s="1449"/>
      <c r="D11" s="1449"/>
      <c r="E11" s="1449"/>
      <c r="F11" s="1449"/>
      <c r="G11" s="1449"/>
      <c r="H11" s="1449"/>
      <c r="I11" s="1449"/>
      <c r="J11" s="1449"/>
      <c r="K11" s="1449"/>
      <c r="L11" s="1449"/>
      <c r="M11" s="1449"/>
      <c r="N11" s="1449"/>
      <c r="O11" s="1449"/>
      <c r="P11" s="1450"/>
    </row>
    <row r="12" spans="2:16" ht="40.5" customHeight="1">
      <c r="B12" s="1451" t="s">
        <v>422</v>
      </c>
      <c r="C12" s="262"/>
      <c r="D12" s="1434" t="s">
        <v>423</v>
      </c>
      <c r="E12" s="1458" t="s">
        <v>424</v>
      </c>
      <c r="F12" s="1459"/>
      <c r="G12" s="1434" t="s">
        <v>425</v>
      </c>
      <c r="H12" s="1446" t="s">
        <v>2</v>
      </c>
      <c r="I12" s="1446" t="s">
        <v>3</v>
      </c>
      <c r="J12" s="1435" t="s">
        <v>147</v>
      </c>
      <c r="K12" s="1437"/>
      <c r="L12" s="1435" t="s">
        <v>72</v>
      </c>
      <c r="M12" s="1442"/>
      <c r="N12" s="1437"/>
      <c r="O12" s="1434" t="s">
        <v>148</v>
      </c>
      <c r="P12" s="1453"/>
    </row>
    <row r="13" spans="2:20" ht="60" customHeight="1">
      <c r="B13" s="1451"/>
      <c r="C13" s="262"/>
      <c r="D13" s="1434"/>
      <c r="E13" s="1460"/>
      <c r="F13" s="1461"/>
      <c r="G13" s="1434"/>
      <c r="H13" s="1447"/>
      <c r="I13" s="1447"/>
      <c r="J13" s="267" t="s">
        <v>208</v>
      </c>
      <c r="K13" s="267" t="s">
        <v>149</v>
      </c>
      <c r="L13" s="262" t="s">
        <v>150</v>
      </c>
      <c r="M13" s="262" t="s">
        <v>151</v>
      </c>
      <c r="N13" s="261" t="s">
        <v>152</v>
      </c>
      <c r="O13" s="261" t="s">
        <v>153</v>
      </c>
      <c r="P13" s="268" t="s">
        <v>681</v>
      </c>
      <c r="R13" s="269" t="s">
        <v>818</v>
      </c>
      <c r="S13" s="260" t="s">
        <v>222</v>
      </c>
      <c r="T13" s="260" t="s">
        <v>223</v>
      </c>
    </row>
    <row r="14" spans="2:20" s="275" customFormat="1" ht="19.5" customHeight="1">
      <c r="B14" s="921">
        <v>2012</v>
      </c>
      <c r="C14" s="270"/>
      <c r="D14" s="922" t="s">
        <v>470</v>
      </c>
      <c r="E14" s="1456" t="s">
        <v>469</v>
      </c>
      <c r="F14" s="1457"/>
      <c r="G14" s="265"/>
      <c r="H14" s="271"/>
      <c r="I14" s="271"/>
      <c r="J14" s="272">
        <f>+PASIVO!C35</f>
        <v>83068.12000000002</v>
      </c>
      <c r="K14" s="272">
        <f>+PASIVO!D35</f>
        <v>52877.38</v>
      </c>
      <c r="L14" s="724"/>
      <c r="M14" s="662">
        <f>+J14-K14</f>
        <v>30190.740000000027</v>
      </c>
      <c r="N14" s="662">
        <f>121.73+81.28+40.89</f>
        <v>243.89999999999998</v>
      </c>
      <c r="O14" s="663">
        <f>+PASIVO!E35</f>
        <v>0</v>
      </c>
      <c r="P14" s="274"/>
      <c r="R14" s="276"/>
      <c r="S14" s="277"/>
      <c r="T14" s="277"/>
    </row>
    <row r="15" spans="2:21" s="275" customFormat="1" ht="19.5" customHeight="1">
      <c r="B15" s="921">
        <v>2008</v>
      </c>
      <c r="C15" s="270"/>
      <c r="D15" s="922" t="s">
        <v>554</v>
      </c>
      <c r="E15" s="1456" t="s">
        <v>497</v>
      </c>
      <c r="F15" s="1457"/>
      <c r="G15" s="265"/>
      <c r="H15" s="271"/>
      <c r="I15" s="271"/>
      <c r="J15" s="272">
        <f>+PASIVO!C36</f>
        <v>233539.90000000002</v>
      </c>
      <c r="K15" s="272">
        <f>+PASIVO!D36</f>
        <v>171841.16</v>
      </c>
      <c r="L15" s="272"/>
      <c r="M15" s="272">
        <v>64978.53000000001</v>
      </c>
      <c r="N15" s="272">
        <v>2790.4300000000003</v>
      </c>
      <c r="O15" s="663">
        <f>+PASIVO!E36</f>
        <v>4381636.28</v>
      </c>
      <c r="P15" s="274"/>
      <c r="Q15" s="275">
        <f aca="true" t="shared" si="0" ref="Q15:Q23">+Q14+1</f>
        <v>1</v>
      </c>
      <c r="R15" s="276">
        <f aca="true" t="shared" si="1" ref="R15:R23">+T15-S15</f>
        <v>-492841.42</v>
      </c>
      <c r="S15" s="277">
        <v>492841.42</v>
      </c>
      <c r="T15" s="277">
        <f aca="true" t="shared" si="2" ref="T15:T23">+S14</f>
        <v>0</v>
      </c>
      <c r="U15" s="935"/>
    </row>
    <row r="16" spans="2:20" s="275" customFormat="1" ht="19.5" customHeight="1">
      <c r="B16" s="278">
        <v>2017</v>
      </c>
      <c r="C16" s="270"/>
      <c r="D16" s="922" t="s">
        <v>657</v>
      </c>
      <c r="E16" s="1454" t="s">
        <v>660</v>
      </c>
      <c r="F16" s="1455"/>
      <c r="G16" s="265"/>
      <c r="H16" s="271"/>
      <c r="I16" s="271"/>
      <c r="J16" s="272">
        <v>0</v>
      </c>
      <c r="K16" s="272">
        <v>0</v>
      </c>
      <c r="L16" s="272">
        <v>5699698.2</v>
      </c>
      <c r="M16" s="272">
        <v>1424924.55</v>
      </c>
      <c r="N16" s="272"/>
      <c r="O16" s="664">
        <f>+L16-M16</f>
        <v>4274773.65</v>
      </c>
      <c r="P16" s="274"/>
      <c r="Q16" s="275">
        <f t="shared" si="0"/>
        <v>2</v>
      </c>
      <c r="R16" s="276">
        <f t="shared" si="1"/>
        <v>53178.25</v>
      </c>
      <c r="S16" s="277">
        <v>439663.17</v>
      </c>
      <c r="T16" s="277">
        <f t="shared" si="2"/>
        <v>492841.42</v>
      </c>
    </row>
    <row r="17" spans="2:20" s="275" customFormat="1" ht="19.5" customHeight="1">
      <c r="B17" s="278"/>
      <c r="C17" s="270"/>
      <c r="D17" s="270"/>
      <c r="E17" s="1456"/>
      <c r="F17" s="1457"/>
      <c r="G17" s="265"/>
      <c r="H17" s="271"/>
      <c r="I17" s="271"/>
      <c r="J17" s="272"/>
      <c r="K17" s="272"/>
      <c r="L17" s="272"/>
      <c r="M17" s="272"/>
      <c r="N17" s="272"/>
      <c r="O17" s="273"/>
      <c r="P17" s="274"/>
      <c r="Q17" s="275">
        <f t="shared" si="0"/>
        <v>3</v>
      </c>
      <c r="R17" s="276">
        <f t="shared" si="1"/>
        <v>56170.159999999974</v>
      </c>
      <c r="S17" s="277">
        <v>383493.01</v>
      </c>
      <c r="T17" s="277">
        <f t="shared" si="2"/>
        <v>439663.17</v>
      </c>
    </row>
    <row r="18" spans="2:20" s="275" customFormat="1" ht="19.5" customHeight="1">
      <c r="B18" s="278"/>
      <c r="C18" s="270"/>
      <c r="D18" s="270"/>
      <c r="E18" s="1456"/>
      <c r="F18" s="1457"/>
      <c r="G18" s="265"/>
      <c r="H18" s="271"/>
      <c r="I18" s="271"/>
      <c r="J18" s="272"/>
      <c r="K18" s="272"/>
      <c r="L18" s="272"/>
      <c r="M18" s="272"/>
      <c r="N18" s="272"/>
      <c r="O18" s="273"/>
      <c r="P18" s="274"/>
      <c r="Q18" s="275">
        <f t="shared" si="0"/>
        <v>4</v>
      </c>
      <c r="R18" s="276">
        <f t="shared" si="1"/>
        <v>59330.42999999999</v>
      </c>
      <c r="S18" s="277">
        <v>324162.58</v>
      </c>
      <c r="T18" s="277">
        <f t="shared" si="2"/>
        <v>383493.01</v>
      </c>
    </row>
    <row r="19" spans="2:20" s="275" customFormat="1" ht="19.5" customHeight="1">
      <c r="B19" s="278"/>
      <c r="C19" s="270"/>
      <c r="D19" s="270"/>
      <c r="E19" s="1456"/>
      <c r="F19" s="1457"/>
      <c r="G19" s="265"/>
      <c r="H19" s="271"/>
      <c r="I19" s="271"/>
      <c r="J19" s="272"/>
      <c r="K19" s="272"/>
      <c r="L19" s="272"/>
      <c r="M19" s="272"/>
      <c r="N19" s="272"/>
      <c r="O19" s="273"/>
      <c r="P19" s="274"/>
      <c r="Q19" s="275">
        <f t="shared" si="0"/>
        <v>5</v>
      </c>
      <c r="R19" s="276">
        <f t="shared" si="1"/>
        <v>62668.49000000002</v>
      </c>
      <c r="S19" s="277">
        <v>261494.09</v>
      </c>
      <c r="T19" s="277">
        <f t="shared" si="2"/>
        <v>324162.58</v>
      </c>
    </row>
    <row r="20" spans="2:20" s="275" customFormat="1" ht="19.5" customHeight="1">
      <c r="B20" s="278"/>
      <c r="C20" s="270"/>
      <c r="D20" s="270"/>
      <c r="E20" s="1456"/>
      <c r="F20" s="1457"/>
      <c r="G20" s="265"/>
      <c r="H20" s="265"/>
      <c r="I20" s="265"/>
      <c r="J20" s="279"/>
      <c r="K20" s="279"/>
      <c r="L20" s="279"/>
      <c r="M20" s="279"/>
      <c r="N20" s="279"/>
      <c r="O20" s="280"/>
      <c r="P20" s="274"/>
      <c r="Q20" s="275">
        <f t="shared" si="0"/>
        <v>6</v>
      </c>
      <c r="R20" s="276">
        <f t="shared" si="1"/>
        <v>66194.34</v>
      </c>
      <c r="S20" s="277">
        <v>195299.75</v>
      </c>
      <c r="T20" s="277">
        <f t="shared" si="2"/>
        <v>261494.09</v>
      </c>
    </row>
    <row r="21" spans="2:20" s="275" customFormat="1" ht="19.5" customHeight="1">
      <c r="B21" s="278"/>
      <c r="C21" s="270"/>
      <c r="D21" s="270"/>
      <c r="E21" s="1456"/>
      <c r="F21" s="1457"/>
      <c r="G21" s="265"/>
      <c r="H21" s="265"/>
      <c r="I21" s="265"/>
      <c r="J21" s="279"/>
      <c r="K21" s="279"/>
      <c r="L21" s="279"/>
      <c r="M21" s="279"/>
      <c r="N21" s="279"/>
      <c r="O21" s="280"/>
      <c r="P21" s="274"/>
      <c r="Q21" s="275">
        <f t="shared" si="0"/>
        <v>7</v>
      </c>
      <c r="R21" s="276">
        <f t="shared" si="1"/>
        <v>69918.59</v>
      </c>
      <c r="S21" s="277">
        <v>125381.16</v>
      </c>
      <c r="T21" s="277">
        <f t="shared" si="2"/>
        <v>195299.75</v>
      </c>
    </row>
    <row r="22" spans="2:20" s="275" customFormat="1" ht="19.5" customHeight="1">
      <c r="B22" s="278"/>
      <c r="C22" s="270"/>
      <c r="D22" s="270"/>
      <c r="E22" s="1456"/>
      <c r="F22" s="1457"/>
      <c r="G22" s="265"/>
      <c r="H22" s="265"/>
      <c r="I22" s="265"/>
      <c r="J22" s="279"/>
      <c r="K22" s="279"/>
      <c r="L22" s="279"/>
      <c r="M22" s="279"/>
      <c r="N22" s="279"/>
      <c r="O22" s="280"/>
      <c r="P22" s="274"/>
      <c r="Q22" s="275">
        <f t="shared" si="0"/>
        <v>8</v>
      </c>
      <c r="R22" s="276">
        <f t="shared" si="1"/>
        <v>73852.37</v>
      </c>
      <c r="S22" s="277">
        <v>51528.79</v>
      </c>
      <c r="T22" s="277">
        <f t="shared" si="2"/>
        <v>125381.16</v>
      </c>
    </row>
    <row r="23" spans="2:20" s="275" customFormat="1" ht="19.5" customHeight="1" thickBot="1">
      <c r="B23" s="281"/>
      <c r="C23" s="270"/>
      <c r="D23" s="282"/>
      <c r="E23" s="1464"/>
      <c r="F23" s="1465"/>
      <c r="G23" s="283"/>
      <c r="H23" s="283"/>
      <c r="I23" s="283"/>
      <c r="J23" s="284"/>
      <c r="K23" s="284"/>
      <c r="L23" s="284"/>
      <c r="M23" s="284"/>
      <c r="N23" s="284"/>
      <c r="O23" s="285"/>
      <c r="P23" s="286"/>
      <c r="Q23" s="275">
        <f t="shared" si="0"/>
        <v>9</v>
      </c>
      <c r="R23" s="276">
        <f t="shared" si="1"/>
        <v>51528.79</v>
      </c>
      <c r="S23" s="277">
        <v>0</v>
      </c>
      <c r="T23" s="277">
        <f t="shared" si="2"/>
        <v>51528.79</v>
      </c>
    </row>
    <row r="24" spans="2:20" s="275" customFormat="1" ht="19.5" customHeight="1" thickBot="1">
      <c r="B24" s="287" t="s">
        <v>824</v>
      </c>
      <c r="C24" s="288"/>
      <c r="D24" s="289"/>
      <c r="E24" s="1462"/>
      <c r="F24" s="1463"/>
      <c r="G24" s="290"/>
      <c r="H24" s="290"/>
      <c r="I24" s="290"/>
      <c r="J24" s="755">
        <f aca="true" t="shared" si="3" ref="J24:O24">SUM(J14:J23)</f>
        <v>316608.02</v>
      </c>
      <c r="K24" s="755">
        <f t="shared" si="3"/>
        <v>224718.54</v>
      </c>
      <c r="L24" s="755">
        <f>SUM(L15:L23)</f>
        <v>5699698.2</v>
      </c>
      <c r="M24" s="755">
        <f t="shared" si="3"/>
        <v>1520093.82</v>
      </c>
      <c r="N24" s="755">
        <f t="shared" si="3"/>
        <v>3034.3300000000004</v>
      </c>
      <c r="O24" s="755">
        <f t="shared" si="3"/>
        <v>8656409.93</v>
      </c>
      <c r="P24" s="291"/>
      <c r="R24" s="277"/>
      <c r="S24" s="277"/>
      <c r="T24" s="277"/>
    </row>
    <row r="25" spans="2:16" ht="12.75">
      <c r="B25" s="1081" t="s">
        <v>661</v>
      </c>
      <c r="C25" s="293"/>
      <c r="D25" s="293"/>
      <c r="E25" s="294"/>
      <c r="F25" s="292"/>
      <c r="G25" s="292"/>
      <c r="H25" s="292"/>
      <c r="I25" s="292"/>
      <c r="J25" s="292"/>
      <c r="K25" s="292"/>
      <c r="L25" s="292"/>
      <c r="M25" s="292"/>
      <c r="N25" s="292"/>
      <c r="O25" s="295"/>
      <c r="P25" s="296"/>
    </row>
    <row r="26" ht="12.75">
      <c r="B26" s="259" t="s">
        <v>820</v>
      </c>
    </row>
    <row r="27" ht="12.75">
      <c r="B27" s="259" t="s">
        <v>4</v>
      </c>
    </row>
    <row r="28" ht="12.75">
      <c r="B28" s="259" t="s">
        <v>873</v>
      </c>
    </row>
    <row r="29" ht="12.75">
      <c r="B29" s="259" t="s">
        <v>209</v>
      </c>
    </row>
    <row r="34" ht="12.75">
      <c r="B34" s="133"/>
    </row>
    <row r="35" ht="12.75">
      <c r="B35" s="133"/>
    </row>
    <row r="36" ht="12.75">
      <c r="B36" s="133"/>
    </row>
    <row r="37" ht="12.75">
      <c r="B37" s="133"/>
    </row>
  </sheetData>
  <sheetProtection/>
  <mergeCells count="62">
    <mergeCell ref="E17:F17"/>
    <mergeCell ref="E18:F18"/>
    <mergeCell ref="E19:F19"/>
    <mergeCell ref="E24:F24"/>
    <mergeCell ref="E20:F20"/>
    <mergeCell ref="E21:F21"/>
    <mergeCell ref="E22:F22"/>
    <mergeCell ref="E23:F23"/>
    <mergeCell ref="E16:F16"/>
    <mergeCell ref="E15:F15"/>
    <mergeCell ref="E14:F14"/>
    <mergeCell ref="H9:J9"/>
    <mergeCell ref="J12:K12"/>
    <mergeCell ref="E12:F13"/>
    <mergeCell ref="E8:F8"/>
    <mergeCell ref="O12:P12"/>
    <mergeCell ref="O10:P10"/>
    <mergeCell ref="O9:P9"/>
    <mergeCell ref="K10:L10"/>
    <mergeCell ref="K9:L9"/>
    <mergeCell ref="E9:F9"/>
    <mergeCell ref="E10:F10"/>
    <mergeCell ref="E6:F6"/>
    <mergeCell ref="K6:L6"/>
    <mergeCell ref="M6:N6"/>
    <mergeCell ref="O7:P7"/>
    <mergeCell ref="E7:F7"/>
    <mergeCell ref="I12:I13"/>
    <mergeCell ref="H10:J10"/>
    <mergeCell ref="L12:N12"/>
    <mergeCell ref="M10:N10"/>
    <mergeCell ref="O8:P8"/>
    <mergeCell ref="D12:D13"/>
    <mergeCell ref="H6:J6"/>
    <mergeCell ref="H12:H13"/>
    <mergeCell ref="B11:P11"/>
    <mergeCell ref="B12:B13"/>
    <mergeCell ref="G12:G13"/>
    <mergeCell ref="O6:P6"/>
    <mergeCell ref="B10:D10"/>
    <mergeCell ref="H8:J8"/>
    <mergeCell ref="M8:N8"/>
    <mergeCell ref="O2:P2"/>
    <mergeCell ref="B4:P4"/>
    <mergeCell ref="H5:J5"/>
    <mergeCell ref="O5:P5"/>
    <mergeCell ref="M5:N5"/>
    <mergeCell ref="K5:L5"/>
    <mergeCell ref="E5:F5"/>
    <mergeCell ref="B3:N3"/>
    <mergeCell ref="B5:D5"/>
    <mergeCell ref="O3:P3"/>
    <mergeCell ref="B7:D7"/>
    <mergeCell ref="B8:D8"/>
    <mergeCell ref="B9:D9"/>
    <mergeCell ref="B2:N2"/>
    <mergeCell ref="M9:N9"/>
    <mergeCell ref="M7:N7"/>
    <mergeCell ref="H7:J7"/>
    <mergeCell ref="K7:L7"/>
    <mergeCell ref="K8:L8"/>
    <mergeCell ref="B6:D6"/>
  </mergeCells>
  <dataValidations count="4">
    <dataValidation type="list" allowBlank="1" showInputMessage="1" showErrorMessage="1" promptTitle="Tipo" prompt="Deberá indicar seleccionar el mismo&#10;" sqref="G14:G24">
      <formula1>$F$34:$F$37</formula1>
    </dataValidation>
    <dataValidation allowBlank="1" showInputMessage="1" showErrorMessage="1" prompt="Este número está correlacionado con el Aval del Cabildo, en su caso.&#10;" sqref="H14:I24"/>
    <dataValidation allowBlank="1" showInputMessage="1" showErrorMessage="1" prompt="LO QUE QUEDA POR PAGAR SIN INTERESES. RESPECTO DE PÓLIZAS DE CRÉDITOS ES LO QUE ESTÁ DISPUESTO A ESA FECHA." sqref="K14:K24"/>
    <dataValidation allowBlank="1" showInputMessage="1" showErrorMessage="1" promptTitle="Epígrafe Pasivo Balance" prompt="Incluir en dónde figura del Pasivo del Balance la disposición o reducción de pólizas y préstamos" sqref="D14:D24"/>
  </dataValidations>
  <printOptions horizontalCentered="1" verticalCentered="1"/>
  <pageMargins left="0.3937007874015748" right="0.3937007874015748" top="0.3937007874015748" bottom="0.3937007874015748" header="0.5118110236220472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57421875" style="109" bestFit="1" customWidth="1"/>
    <col min="4" max="5" width="13.57421875" style="123" bestFit="1" customWidth="1"/>
    <col min="6" max="6" width="14.421875" style="123" bestFit="1" customWidth="1"/>
    <col min="7" max="7" width="13.57421875" style="123" bestFit="1" customWidth="1"/>
    <col min="8" max="8" width="14.421875" style="123" bestFit="1" customWidth="1"/>
    <col min="9" max="16384" width="11.421875" style="109" customWidth="1"/>
  </cols>
  <sheetData>
    <row r="1" spans="1:10" ht="54" customHeight="1">
      <c r="A1" s="1470" t="s">
        <v>776</v>
      </c>
      <c r="B1" s="1471"/>
      <c r="C1" s="1471"/>
      <c r="D1" s="1471"/>
      <c r="E1" s="1471"/>
      <c r="F1" s="1471"/>
      <c r="G1" s="1472"/>
      <c r="H1" s="108">
        <v>2011</v>
      </c>
      <c r="I1"/>
      <c r="J1"/>
    </row>
    <row r="2" spans="1:10" s="110" customFormat="1" ht="17.25" thickBot="1">
      <c r="A2" s="1473" t="s">
        <v>777</v>
      </c>
      <c r="B2" s="1474"/>
      <c r="C2" s="1474"/>
      <c r="D2" s="1474"/>
      <c r="E2" s="1474"/>
      <c r="F2" s="1474"/>
      <c r="G2" s="1475"/>
      <c r="H2" s="120" t="s">
        <v>219</v>
      </c>
      <c r="I2"/>
      <c r="J2"/>
    </row>
    <row r="3" spans="1:8" ht="13.5" customHeight="1" thickBot="1">
      <c r="A3" s="1476" t="s">
        <v>778</v>
      </c>
      <c r="B3" s="1477"/>
      <c r="C3" s="1477"/>
      <c r="D3" s="1477"/>
      <c r="E3" s="1477"/>
      <c r="F3" s="1477"/>
      <c r="G3" s="1477"/>
      <c r="H3" s="1478"/>
    </row>
    <row r="4" spans="3:8" ht="20.25" customHeight="1">
      <c r="C4" s="1466">
        <v>2009</v>
      </c>
      <c r="D4" s="1466"/>
      <c r="E4" s="1466" t="s">
        <v>305</v>
      </c>
      <c r="F4" s="1466"/>
      <c r="G4" s="1466" t="s">
        <v>304</v>
      </c>
      <c r="H4" s="1466"/>
    </row>
    <row r="5" spans="1:8" ht="24.75">
      <c r="A5" s="111" t="s">
        <v>779</v>
      </c>
      <c r="B5" s="111" t="s">
        <v>220</v>
      </c>
      <c r="C5" s="112" t="s">
        <v>780</v>
      </c>
      <c r="D5" s="112" t="s">
        <v>781</v>
      </c>
      <c r="E5" s="112" t="s">
        <v>780</v>
      </c>
      <c r="F5" s="112" t="s">
        <v>781</v>
      </c>
      <c r="G5" s="112" t="s">
        <v>780</v>
      </c>
      <c r="H5" s="112" t="s">
        <v>781</v>
      </c>
    </row>
    <row r="6" spans="1:8" ht="15.75">
      <c r="A6" s="111" t="s">
        <v>782</v>
      </c>
      <c r="B6" s="111" t="s">
        <v>783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782</v>
      </c>
      <c r="B7" s="111" t="s">
        <v>784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468" t="s">
        <v>824</v>
      </c>
      <c r="B15" s="1469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467">
        <v>2009</v>
      </c>
      <c r="D17" s="1467"/>
      <c r="E17" s="1467" t="s">
        <v>305</v>
      </c>
      <c r="F17" s="1467"/>
      <c r="G17" s="1467" t="s">
        <v>304</v>
      </c>
      <c r="H17" s="1467"/>
    </row>
    <row r="18" spans="1:8" ht="24.75">
      <c r="A18" s="111" t="s">
        <v>785</v>
      </c>
      <c r="B18" s="111" t="s">
        <v>220</v>
      </c>
      <c r="C18" s="112" t="s">
        <v>786</v>
      </c>
      <c r="D18" s="112" t="s">
        <v>781</v>
      </c>
      <c r="E18" s="112" t="s">
        <v>786</v>
      </c>
      <c r="F18" s="112" t="s">
        <v>781</v>
      </c>
      <c r="G18" s="112" t="s">
        <v>786</v>
      </c>
      <c r="H18" s="112" t="s">
        <v>781</v>
      </c>
    </row>
    <row r="19" spans="1:8" ht="15.75">
      <c r="A19" s="111" t="s">
        <v>787</v>
      </c>
      <c r="B19" s="111" t="s">
        <v>788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789</v>
      </c>
      <c r="B20" s="111" t="s">
        <v>788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790</v>
      </c>
      <c r="B21" s="111" t="s">
        <v>791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792</v>
      </c>
      <c r="B22" s="111" t="s">
        <v>793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794</v>
      </c>
      <c r="B23" s="111" t="s">
        <v>795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782</v>
      </c>
      <c r="B24" s="111" t="s">
        <v>783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782</v>
      </c>
      <c r="B25" s="111" t="s">
        <v>796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468" t="s">
        <v>824</v>
      </c>
      <c r="B28" s="1469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221</v>
      </c>
    </row>
    <row r="32" ht="54" customHeight="1"/>
  </sheetData>
  <sheetProtection/>
  <mergeCells count="11">
    <mergeCell ref="A1:G1"/>
    <mergeCell ref="A2:G2"/>
    <mergeCell ref="A3:H3"/>
    <mergeCell ref="C4:D4"/>
    <mergeCell ref="E4:F4"/>
    <mergeCell ref="G4:H4"/>
    <mergeCell ref="G17:H17"/>
    <mergeCell ref="A28:B28"/>
    <mergeCell ref="A15:B15"/>
    <mergeCell ref="C17:D17"/>
    <mergeCell ref="E17:F1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3:I15"/>
  <sheetViews>
    <sheetView zoomScalePageLayoutView="0" workbookViewId="0" topLeftCell="A1">
      <selection activeCell="B3" sqref="B3:I15"/>
    </sheetView>
  </sheetViews>
  <sheetFormatPr defaultColWidth="11.421875" defaultRowHeight="12.75"/>
  <cols>
    <col min="1" max="1" width="4.421875" style="0" customWidth="1"/>
    <col min="2" max="2" width="4.57421875" style="0" customWidth="1"/>
    <col min="3" max="3" width="10.421875" style="0" customWidth="1"/>
    <col min="8" max="8" width="17.421875" style="0" customWidth="1"/>
    <col min="9" max="9" width="9.8515625" style="0" bestFit="1" customWidth="1"/>
  </cols>
  <sheetData>
    <row r="1" ht="12" customHeight="1" thickBot="1"/>
    <row r="2" ht="13.5" hidden="1" thickBot="1"/>
    <row r="3" spans="2:9" ht="56.25" customHeight="1">
      <c r="B3" s="1154" t="s">
        <v>250</v>
      </c>
      <c r="C3" s="1155"/>
      <c r="D3" s="1155"/>
      <c r="E3" s="1155"/>
      <c r="F3" s="1155"/>
      <c r="G3" s="1155"/>
      <c r="H3" s="1155"/>
      <c r="I3" s="739">
        <v>2017</v>
      </c>
    </row>
    <row r="4" spans="2:9" s="740" customFormat="1" ht="27.75" customHeight="1">
      <c r="B4" s="1156" t="s">
        <v>563</v>
      </c>
      <c r="C4" s="1157"/>
      <c r="D4" s="1157"/>
      <c r="E4" s="1157"/>
      <c r="F4" s="1157"/>
      <c r="G4" s="1157"/>
      <c r="H4" s="1157"/>
      <c r="I4" s="1158"/>
    </row>
    <row r="5" spans="2:9" ht="12.75">
      <c r="B5" s="741"/>
      <c r="C5" s="742"/>
      <c r="D5" s="742"/>
      <c r="E5" s="742"/>
      <c r="F5" s="742"/>
      <c r="G5" s="742"/>
      <c r="H5" s="742"/>
      <c r="I5" s="743"/>
    </row>
    <row r="6" spans="2:9" ht="15.75">
      <c r="B6" s="744" t="s">
        <v>1045</v>
      </c>
      <c r="C6" s="745"/>
      <c r="D6" s="745"/>
      <c r="E6" s="742"/>
      <c r="F6" s="742"/>
      <c r="G6" s="742"/>
      <c r="H6" s="742"/>
      <c r="I6" s="743"/>
    </row>
    <row r="7" spans="2:9" ht="12.75">
      <c r="B7" s="741"/>
      <c r="C7" s="742"/>
      <c r="D7" s="742"/>
      <c r="E7" s="742"/>
      <c r="F7" s="742"/>
      <c r="G7" s="742"/>
      <c r="H7" s="742"/>
      <c r="I7" s="743"/>
    </row>
    <row r="8" spans="2:9" ht="12.75">
      <c r="B8" s="746" t="s">
        <v>243</v>
      </c>
      <c r="C8" s="745"/>
      <c r="D8" s="745"/>
      <c r="E8" s="742"/>
      <c r="F8" s="742"/>
      <c r="G8" s="742"/>
      <c r="H8" s="742"/>
      <c r="I8" s="1112">
        <f>+I10</f>
        <v>9</v>
      </c>
    </row>
    <row r="9" spans="2:9" ht="12.75">
      <c r="B9" s="741"/>
      <c r="C9" s="742"/>
      <c r="D9" s="742"/>
      <c r="E9" s="742"/>
      <c r="F9" s="742"/>
      <c r="G9" s="742"/>
      <c r="H9" s="742"/>
      <c r="I9" s="1113"/>
    </row>
    <row r="10" spans="2:9" ht="12.75">
      <c r="B10" s="741"/>
      <c r="C10" s="742" t="s">
        <v>244</v>
      </c>
      <c r="D10" s="742"/>
      <c r="E10" s="742"/>
      <c r="F10" s="742"/>
      <c r="G10" s="742"/>
      <c r="H10" s="742"/>
      <c r="I10" s="1112">
        <f>+I11+I12</f>
        <v>9</v>
      </c>
    </row>
    <row r="11" spans="2:9" ht="12.75">
      <c r="B11" s="741"/>
      <c r="C11" s="747" t="s">
        <v>245</v>
      </c>
      <c r="D11" s="742" t="s">
        <v>246</v>
      </c>
      <c r="E11" s="742"/>
      <c r="F11" s="742"/>
      <c r="G11" s="742"/>
      <c r="H11" s="742"/>
      <c r="I11" s="1112">
        <v>7</v>
      </c>
    </row>
    <row r="12" spans="2:9" ht="12.75">
      <c r="B12" s="741"/>
      <c r="C12" s="747" t="s">
        <v>247</v>
      </c>
      <c r="D12" s="742" t="s">
        <v>248</v>
      </c>
      <c r="E12" s="742"/>
      <c r="F12" s="742"/>
      <c r="G12" s="742"/>
      <c r="H12" s="742"/>
      <c r="I12" s="1112">
        <v>2</v>
      </c>
    </row>
    <row r="13" spans="2:9" ht="7.5" customHeight="1">
      <c r="B13" s="741"/>
      <c r="C13" s="742"/>
      <c r="D13" s="742"/>
      <c r="E13" s="742"/>
      <c r="F13" s="742"/>
      <c r="G13" s="742"/>
      <c r="H13" s="742"/>
      <c r="I13" s="1113"/>
    </row>
    <row r="14" spans="2:9" ht="12.75">
      <c r="B14" s="741"/>
      <c r="C14" s="742" t="s">
        <v>249</v>
      </c>
      <c r="D14" s="742"/>
      <c r="E14" s="742"/>
      <c r="F14" s="742"/>
      <c r="G14" s="742"/>
      <c r="H14" s="742"/>
      <c r="I14" s="1112"/>
    </row>
    <row r="15" spans="2:9" ht="13.5" thickBot="1">
      <c r="B15" s="748"/>
      <c r="C15" s="749"/>
      <c r="D15" s="749"/>
      <c r="E15" s="749"/>
      <c r="F15" s="749"/>
      <c r="G15" s="749"/>
      <c r="H15" s="749"/>
      <c r="I15" s="750"/>
    </row>
  </sheetData>
  <sheetProtection/>
  <mergeCells count="2">
    <mergeCell ref="B3:H3"/>
    <mergeCell ref="B4:I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34"/>
  <sheetViews>
    <sheetView zoomScale="75" zoomScaleNormal="75" zoomScalePageLayoutView="0" workbookViewId="0" topLeftCell="A1">
      <selection activeCell="A2" sqref="A2:O24"/>
    </sheetView>
  </sheetViews>
  <sheetFormatPr defaultColWidth="11.57421875" defaultRowHeight="12.75"/>
  <cols>
    <col min="1" max="1" width="10.421875" style="259" customWidth="1"/>
    <col min="2" max="2" width="19.8515625" style="259" hidden="1" customWidth="1"/>
    <col min="3" max="3" width="37.8515625" style="259" bestFit="1" customWidth="1"/>
    <col min="4" max="4" width="13.421875" style="259" customWidth="1"/>
    <col min="5" max="5" width="10.57421875" style="259" customWidth="1"/>
    <col min="6" max="6" width="13.8515625" style="259" customWidth="1"/>
    <col min="7" max="8" width="15.57421875" style="259" customWidth="1"/>
    <col min="9" max="9" width="16.57421875" style="259" customWidth="1"/>
    <col min="10" max="10" width="21.140625" style="259" bestFit="1" customWidth="1"/>
    <col min="11" max="11" width="14.421875" style="259" customWidth="1"/>
    <col min="12" max="12" width="16.00390625" style="259" bestFit="1" customWidth="1"/>
    <col min="13" max="14" width="15.57421875" style="259" bestFit="1" customWidth="1"/>
    <col min="15" max="15" width="12.57421875" style="259" customWidth="1"/>
    <col min="16" max="16" width="0" style="259" hidden="1" customWidth="1"/>
    <col min="17" max="17" width="17.140625" style="260" hidden="1" customWidth="1"/>
    <col min="18" max="18" width="17.421875" style="260" hidden="1" customWidth="1"/>
    <col min="19" max="19" width="0.9921875" style="260" hidden="1" customWidth="1"/>
    <col min="20" max="16384" width="11.57421875" style="259" customWidth="1"/>
  </cols>
  <sheetData>
    <row r="1" spans="1:14" ht="13.5" thickBot="1">
      <c r="A1" s="297"/>
      <c r="N1" s="298"/>
    </row>
    <row r="2" spans="1:19" s="275" customFormat="1" ht="36" customHeight="1" thickBot="1">
      <c r="A2" s="1422" t="s">
        <v>207</v>
      </c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4"/>
      <c r="N2" s="1429">
        <f>CPYG!E2</f>
        <v>2017</v>
      </c>
      <c r="O2" s="1430"/>
      <c r="Q2" s="277"/>
      <c r="R2" s="277"/>
      <c r="S2" s="277"/>
    </row>
    <row r="3" spans="1:15" ht="34.5" customHeight="1" thickBot="1">
      <c r="A3" s="1438" t="str">
        <f>CPYG!B3</f>
        <v>ENTIDAD: TRANSPORTES INTERURBANOS DE TENERIFE, S.A.</v>
      </c>
      <c r="B3" s="1439"/>
      <c r="C3" s="1439"/>
      <c r="D3" s="1439"/>
      <c r="E3" s="1439"/>
      <c r="F3" s="1439"/>
      <c r="G3" s="1439"/>
      <c r="H3" s="1439"/>
      <c r="I3" s="1439"/>
      <c r="J3" s="1439"/>
      <c r="K3" s="1439"/>
      <c r="L3" s="1439"/>
      <c r="M3" s="1440"/>
      <c r="N3" s="1438" t="s">
        <v>878</v>
      </c>
      <c r="O3" s="1440"/>
    </row>
    <row r="4" spans="1:15" ht="24.75" customHeight="1">
      <c r="A4" s="1479" t="s">
        <v>874</v>
      </c>
      <c r="B4" s="1447"/>
      <c r="C4" s="1447"/>
      <c r="D4" s="1447"/>
      <c r="E4" s="1447"/>
      <c r="F4" s="1447"/>
      <c r="G4" s="1447"/>
      <c r="H4" s="1447"/>
      <c r="I4" s="1447"/>
      <c r="J4" s="1447"/>
      <c r="K4" s="1447"/>
      <c r="L4" s="1447"/>
      <c r="M4" s="1447"/>
      <c r="N4" s="1447"/>
      <c r="O4" s="1480"/>
    </row>
    <row r="5" spans="1:15" ht="40.5" customHeight="1">
      <c r="A5" s="1481" t="s">
        <v>422</v>
      </c>
      <c r="B5" s="262"/>
      <c r="C5" s="1434" t="s">
        <v>423</v>
      </c>
      <c r="D5" s="1458" t="s">
        <v>424</v>
      </c>
      <c r="E5" s="1459"/>
      <c r="F5" s="1434" t="s">
        <v>425</v>
      </c>
      <c r="G5" s="1446" t="s">
        <v>2</v>
      </c>
      <c r="H5" s="1446" t="s">
        <v>3</v>
      </c>
      <c r="I5" s="1435" t="s">
        <v>154</v>
      </c>
      <c r="J5" s="1442"/>
      <c r="K5" s="1437"/>
      <c r="L5" s="1435" t="s">
        <v>155</v>
      </c>
      <c r="M5" s="1442"/>
      <c r="N5" s="1442"/>
      <c r="O5" s="1436"/>
    </row>
    <row r="6" spans="1:19" ht="73.5" customHeight="1">
      <c r="A6" s="1479"/>
      <c r="B6" s="262"/>
      <c r="C6" s="1434"/>
      <c r="D6" s="1460"/>
      <c r="E6" s="1461"/>
      <c r="F6" s="1434"/>
      <c r="G6" s="1447"/>
      <c r="H6" s="1447"/>
      <c r="I6" s="267" t="s">
        <v>208</v>
      </c>
      <c r="J6" s="267" t="s">
        <v>156</v>
      </c>
      <c r="K6" s="261" t="s">
        <v>875</v>
      </c>
      <c r="L6" s="267" t="s">
        <v>157</v>
      </c>
      <c r="M6" s="262" t="s">
        <v>158</v>
      </c>
      <c r="N6" s="261" t="s">
        <v>153</v>
      </c>
      <c r="O6" s="268" t="s">
        <v>875</v>
      </c>
      <c r="Q6" s="269" t="s">
        <v>818</v>
      </c>
      <c r="R6" s="260" t="s">
        <v>222</v>
      </c>
      <c r="S6" s="260" t="s">
        <v>223</v>
      </c>
    </row>
    <row r="7" spans="1:19" s="275" customFormat="1" ht="19.5" customHeight="1">
      <c r="A7" s="921">
        <v>2016</v>
      </c>
      <c r="B7" s="270"/>
      <c r="C7" s="922" t="s">
        <v>498</v>
      </c>
      <c r="D7" s="1456" t="s">
        <v>469</v>
      </c>
      <c r="E7" s="1457"/>
      <c r="F7" s="265"/>
      <c r="G7" s="271"/>
      <c r="H7" s="271"/>
      <c r="I7" s="272">
        <v>5348000</v>
      </c>
      <c r="J7" s="272">
        <f>+PASIVO!D51</f>
        <v>1059890.04114197</v>
      </c>
      <c r="K7" s="642">
        <v>42906</v>
      </c>
      <c r="L7" s="272">
        <v>5348000</v>
      </c>
      <c r="M7" s="272">
        <f>+L7-N7</f>
        <v>4083924.48740495</v>
      </c>
      <c r="N7" s="664">
        <f>+PASIVO!E51</f>
        <v>1264075.51259505</v>
      </c>
      <c r="O7" s="642">
        <v>42906</v>
      </c>
      <c r="Q7" s="276"/>
      <c r="R7" s="277"/>
      <c r="S7" s="277"/>
    </row>
    <row r="8" spans="1:19" s="275" customFormat="1" ht="19.5" customHeight="1">
      <c r="A8" s="921">
        <v>2008</v>
      </c>
      <c r="B8" s="270"/>
      <c r="C8" s="922" t="s">
        <v>553</v>
      </c>
      <c r="D8" s="1456" t="s">
        <v>497</v>
      </c>
      <c r="E8" s="1457"/>
      <c r="F8" s="265"/>
      <c r="G8" s="271"/>
      <c r="H8" s="271"/>
      <c r="I8" s="272"/>
      <c r="J8" s="272">
        <v>61698.74</v>
      </c>
      <c r="K8" s="642">
        <v>42735</v>
      </c>
      <c r="L8" s="272"/>
      <c r="M8" s="272">
        <v>61698.74000000001</v>
      </c>
      <c r="N8" s="664">
        <f>+PASIVO!E52-N9</f>
        <v>62961.53000000003</v>
      </c>
      <c r="O8" s="642">
        <v>43100</v>
      </c>
      <c r="Q8" s="276"/>
      <c r="R8" s="277"/>
      <c r="S8" s="277"/>
    </row>
    <row r="9" spans="1:19" s="275" customFormat="1" ht="19.5" customHeight="1">
      <c r="A9" s="921">
        <v>2017</v>
      </c>
      <c r="B9" s="270"/>
      <c r="C9" s="922" t="s">
        <v>657</v>
      </c>
      <c r="D9" s="1454" t="s">
        <v>660</v>
      </c>
      <c r="E9" s="1455"/>
      <c r="F9" s="265"/>
      <c r="G9" s="271"/>
      <c r="H9" s="271"/>
      <c r="I9" s="272">
        <v>0</v>
      </c>
      <c r="J9" s="272">
        <v>0</v>
      </c>
      <c r="K9" s="569">
        <v>0</v>
      </c>
      <c r="L9" s="272">
        <v>1424924.55</v>
      </c>
      <c r="M9" s="272">
        <v>718161.96</v>
      </c>
      <c r="N9" s="664">
        <f>+L9-M9</f>
        <v>706762.5900000001</v>
      </c>
      <c r="O9" s="274"/>
      <c r="P9" s="275">
        <f aca="true" t="shared" si="0" ref="P9:P16">+P8+1</f>
        <v>1</v>
      </c>
      <c r="Q9" s="276">
        <f aca="true" t="shared" si="1" ref="Q9:Q16">+S9-R9</f>
        <v>-439663.17</v>
      </c>
      <c r="R9" s="277">
        <v>439663.17</v>
      </c>
      <c r="S9" s="277">
        <f aca="true" t="shared" si="2" ref="S9:S16">+R8</f>
        <v>0</v>
      </c>
    </row>
    <row r="10" spans="1:19" s="275" customFormat="1" ht="19.5" customHeight="1">
      <c r="A10" s="278"/>
      <c r="B10" s="270"/>
      <c r="C10" s="270"/>
      <c r="D10" s="1456"/>
      <c r="E10" s="1457"/>
      <c r="F10" s="265"/>
      <c r="G10" s="271"/>
      <c r="H10" s="271"/>
      <c r="I10" s="272"/>
      <c r="J10" s="272"/>
      <c r="K10" s="569"/>
      <c r="L10" s="272"/>
      <c r="M10" s="272"/>
      <c r="N10" s="273"/>
      <c r="O10" s="274"/>
      <c r="P10" s="275">
        <f t="shared" si="0"/>
        <v>2</v>
      </c>
      <c r="Q10" s="276">
        <f t="shared" si="1"/>
        <v>56170.159999999974</v>
      </c>
      <c r="R10" s="277">
        <v>383493.01</v>
      </c>
      <c r="S10" s="277">
        <f t="shared" si="2"/>
        <v>439663.17</v>
      </c>
    </row>
    <row r="11" spans="1:19" s="275" customFormat="1" ht="19.5" customHeight="1">
      <c r="A11" s="278"/>
      <c r="B11" s="270"/>
      <c r="C11" s="270"/>
      <c r="D11" s="1456"/>
      <c r="E11" s="1457"/>
      <c r="F11" s="265"/>
      <c r="G11" s="271"/>
      <c r="H11" s="271"/>
      <c r="I11" s="272"/>
      <c r="J11" s="272"/>
      <c r="K11" s="569"/>
      <c r="L11" s="272"/>
      <c r="M11" s="272"/>
      <c r="N11" s="273"/>
      <c r="O11" s="274"/>
      <c r="P11" s="275">
        <f t="shared" si="0"/>
        <v>3</v>
      </c>
      <c r="Q11" s="276">
        <f t="shared" si="1"/>
        <v>59330.42999999999</v>
      </c>
      <c r="R11" s="277">
        <v>324162.58</v>
      </c>
      <c r="S11" s="277">
        <f t="shared" si="2"/>
        <v>383493.01</v>
      </c>
    </row>
    <row r="12" spans="1:19" s="275" customFormat="1" ht="19.5" customHeight="1">
      <c r="A12" s="278"/>
      <c r="B12" s="270"/>
      <c r="C12" s="270"/>
      <c r="D12" s="1456"/>
      <c r="E12" s="1457"/>
      <c r="F12" s="265"/>
      <c r="G12" s="271"/>
      <c r="H12" s="271"/>
      <c r="I12" s="272"/>
      <c r="J12" s="272"/>
      <c r="K12" s="569"/>
      <c r="L12" s="272"/>
      <c r="M12" s="272"/>
      <c r="N12" s="273"/>
      <c r="O12" s="274"/>
      <c r="P12" s="275">
        <f t="shared" si="0"/>
        <v>4</v>
      </c>
      <c r="Q12" s="276">
        <f t="shared" si="1"/>
        <v>62668.49000000002</v>
      </c>
      <c r="R12" s="277">
        <v>261494.09</v>
      </c>
      <c r="S12" s="277">
        <f t="shared" si="2"/>
        <v>324162.58</v>
      </c>
    </row>
    <row r="13" spans="1:19" s="275" customFormat="1" ht="19.5" customHeight="1">
      <c r="A13" s="278"/>
      <c r="B13" s="270"/>
      <c r="C13" s="270"/>
      <c r="D13" s="1456"/>
      <c r="E13" s="1457"/>
      <c r="F13" s="265"/>
      <c r="G13" s="265"/>
      <c r="H13" s="265"/>
      <c r="I13" s="279"/>
      <c r="J13" s="279"/>
      <c r="K13" s="569"/>
      <c r="L13" s="279"/>
      <c r="M13" s="279"/>
      <c r="N13" s="280"/>
      <c r="O13" s="274"/>
      <c r="P13" s="275">
        <f t="shared" si="0"/>
        <v>5</v>
      </c>
      <c r="Q13" s="276">
        <f t="shared" si="1"/>
        <v>66194.34</v>
      </c>
      <c r="R13" s="277">
        <v>195299.75</v>
      </c>
      <c r="S13" s="277">
        <f t="shared" si="2"/>
        <v>261494.09</v>
      </c>
    </row>
    <row r="14" spans="1:19" s="275" customFormat="1" ht="19.5" customHeight="1">
      <c r="A14" s="278"/>
      <c r="B14" s="270"/>
      <c r="C14" s="270"/>
      <c r="D14" s="1456"/>
      <c r="E14" s="1457"/>
      <c r="F14" s="265"/>
      <c r="G14" s="265"/>
      <c r="H14" s="265"/>
      <c r="I14" s="279"/>
      <c r="J14" s="279"/>
      <c r="K14" s="569"/>
      <c r="L14" s="279"/>
      <c r="M14" s="279"/>
      <c r="N14" s="280"/>
      <c r="O14" s="274"/>
      <c r="P14" s="275">
        <f t="shared" si="0"/>
        <v>6</v>
      </c>
      <c r="Q14" s="276">
        <f t="shared" si="1"/>
        <v>69918.59</v>
      </c>
      <c r="R14" s="277">
        <v>125381.16</v>
      </c>
      <c r="S14" s="277">
        <f t="shared" si="2"/>
        <v>195299.75</v>
      </c>
    </row>
    <row r="15" spans="1:19" s="275" customFormat="1" ht="19.5" customHeight="1">
      <c r="A15" s="278"/>
      <c r="B15" s="270"/>
      <c r="C15" s="270"/>
      <c r="D15" s="1456"/>
      <c r="E15" s="1457"/>
      <c r="F15" s="265"/>
      <c r="G15" s="265"/>
      <c r="H15" s="265"/>
      <c r="I15" s="279"/>
      <c r="J15" s="279"/>
      <c r="K15" s="569"/>
      <c r="L15" s="279"/>
      <c r="M15" s="279"/>
      <c r="N15" s="280"/>
      <c r="O15" s="274"/>
      <c r="P15" s="275">
        <f t="shared" si="0"/>
        <v>7</v>
      </c>
      <c r="Q15" s="276">
        <f t="shared" si="1"/>
        <v>73852.37</v>
      </c>
      <c r="R15" s="277">
        <v>51528.79</v>
      </c>
      <c r="S15" s="277">
        <f t="shared" si="2"/>
        <v>125381.16</v>
      </c>
    </row>
    <row r="16" spans="1:19" s="275" customFormat="1" ht="19.5" customHeight="1" thickBot="1">
      <c r="A16" s="281"/>
      <c r="B16" s="270"/>
      <c r="C16" s="282"/>
      <c r="D16" s="1464"/>
      <c r="E16" s="1465"/>
      <c r="F16" s="283"/>
      <c r="G16" s="283"/>
      <c r="H16" s="283"/>
      <c r="I16" s="284"/>
      <c r="J16" s="284"/>
      <c r="K16" s="570"/>
      <c r="L16" s="284"/>
      <c r="M16" s="284"/>
      <c r="N16" s="285"/>
      <c r="O16" s="286"/>
      <c r="P16" s="275">
        <f t="shared" si="0"/>
        <v>8</v>
      </c>
      <c r="Q16" s="276">
        <f t="shared" si="1"/>
        <v>51528.79</v>
      </c>
      <c r="R16" s="277">
        <v>0</v>
      </c>
      <c r="S16" s="277">
        <f t="shared" si="2"/>
        <v>51528.79</v>
      </c>
    </row>
    <row r="17" spans="1:19" s="275" customFormat="1" ht="19.5" customHeight="1" thickBot="1">
      <c r="A17" s="287" t="s">
        <v>824</v>
      </c>
      <c r="B17" s="288"/>
      <c r="C17" s="289"/>
      <c r="D17" s="1462"/>
      <c r="E17" s="1463"/>
      <c r="F17" s="290"/>
      <c r="G17" s="290"/>
      <c r="H17" s="290"/>
      <c r="I17" s="755">
        <f aca="true" t="shared" si="3" ref="I17:N17">SUM(I7:I16)</f>
        <v>5348000</v>
      </c>
      <c r="J17" s="755">
        <f t="shared" si="3"/>
        <v>1121588.78114197</v>
      </c>
      <c r="K17" s="513"/>
      <c r="L17" s="755">
        <f t="shared" si="3"/>
        <v>6772924.55</v>
      </c>
      <c r="M17" s="755">
        <f t="shared" si="3"/>
        <v>4863785.18740495</v>
      </c>
      <c r="N17" s="755">
        <f t="shared" si="3"/>
        <v>2033799.6325950501</v>
      </c>
      <c r="O17" s="291"/>
      <c r="Q17" s="277"/>
      <c r="R17" s="277"/>
      <c r="S17" s="277"/>
    </row>
    <row r="18" spans="1:15" ht="12.75">
      <c r="A18" s="292"/>
      <c r="B18" s="293"/>
      <c r="C18" s="293"/>
      <c r="D18" s="294"/>
      <c r="E18" s="292"/>
      <c r="F18" s="292"/>
      <c r="G18" s="292"/>
      <c r="H18" s="292"/>
      <c r="I18" s="292"/>
      <c r="J18" s="292"/>
      <c r="K18" s="292"/>
      <c r="L18" s="292"/>
      <c r="M18" s="292"/>
      <c r="N18" s="295"/>
      <c r="O18" s="296"/>
    </row>
    <row r="19" spans="1:15" ht="12.75">
      <c r="A19" s="1081" t="s">
        <v>661</v>
      </c>
      <c r="B19" s="293"/>
      <c r="C19" s="293"/>
      <c r="D19" s="294"/>
      <c r="E19" s="292"/>
      <c r="F19" s="292"/>
      <c r="G19" s="292"/>
      <c r="H19" s="292"/>
      <c r="I19" s="292"/>
      <c r="J19" s="292"/>
      <c r="K19" s="292"/>
      <c r="L19" s="292"/>
      <c r="M19" s="292"/>
      <c r="N19" s="295"/>
      <c r="O19" s="296"/>
    </row>
    <row r="20" spans="1:15" ht="12.75">
      <c r="A20" s="292"/>
      <c r="B20" s="293"/>
      <c r="C20" s="293"/>
      <c r="D20" s="294"/>
      <c r="E20" s="292"/>
      <c r="F20" s="292"/>
      <c r="G20" s="292"/>
      <c r="H20" s="292"/>
      <c r="I20" s="292"/>
      <c r="J20" s="292"/>
      <c r="K20" s="292"/>
      <c r="L20" s="292"/>
      <c r="M20" s="292"/>
      <c r="N20" s="295"/>
      <c r="O20" s="296"/>
    </row>
    <row r="21" ht="12.75">
      <c r="A21" s="259" t="s">
        <v>820</v>
      </c>
    </row>
    <row r="22" ht="12.75">
      <c r="A22" s="259" t="s">
        <v>4</v>
      </c>
    </row>
    <row r="23" ht="12.75">
      <c r="A23" s="259" t="s">
        <v>885</v>
      </c>
    </row>
    <row r="24" ht="12.75">
      <c r="A24" s="259" t="s">
        <v>209</v>
      </c>
    </row>
    <row r="29" ht="12.75">
      <c r="A29" s="133"/>
    </row>
    <row r="30" spans="1:10" ht="12.75">
      <c r="A30" s="133"/>
      <c r="J30" s="966"/>
    </row>
    <row r="31" spans="1:10" ht="12.75">
      <c r="A31" s="133"/>
      <c r="J31" s="966"/>
    </row>
    <row r="32" spans="1:10" ht="12.75">
      <c r="A32" s="133"/>
      <c r="J32" s="966"/>
    </row>
    <row r="33" ht="12.75">
      <c r="J33" s="966"/>
    </row>
    <row r="34" ht="12.75">
      <c r="J34" s="966"/>
    </row>
  </sheetData>
  <sheetProtection/>
  <mergeCells count="24">
    <mergeCell ref="D11:E11"/>
    <mergeCell ref="C5:C6"/>
    <mergeCell ref="G5:G6"/>
    <mergeCell ref="A4:O4"/>
    <mergeCell ref="A5:A6"/>
    <mergeCell ref="F5:F6"/>
    <mergeCell ref="D5:E6"/>
    <mergeCell ref="I5:K5"/>
    <mergeCell ref="L5:O5"/>
    <mergeCell ref="D9:E9"/>
    <mergeCell ref="D12:E12"/>
    <mergeCell ref="D17:E17"/>
    <mergeCell ref="D13:E13"/>
    <mergeCell ref="D14:E14"/>
    <mergeCell ref="D15:E15"/>
    <mergeCell ref="D16:E16"/>
    <mergeCell ref="D10:E10"/>
    <mergeCell ref="H5:H6"/>
    <mergeCell ref="D8:E8"/>
    <mergeCell ref="D7:E7"/>
    <mergeCell ref="A2:M2"/>
    <mergeCell ref="N2:O2"/>
    <mergeCell ref="A3:M3"/>
    <mergeCell ref="N3:O3"/>
  </mergeCells>
  <dataValidations count="4">
    <dataValidation type="list" allowBlank="1" showInputMessage="1" showErrorMessage="1" promptTitle="Tipo" prompt="Deberá indicar seleccionar el mismo&#10;" sqref="F7:F17">
      <formula1>$E$29:$E$32</formula1>
    </dataValidation>
    <dataValidation allowBlank="1" showInputMessage="1" showErrorMessage="1" prompt="Este número está correlacionado con el Aval del Cabildo, en su caso.&#10;" sqref="G7:H17"/>
    <dataValidation allowBlank="1" showInputMessage="1" showErrorMessage="1" prompt="LO QUE QUEDA POR PAGAR SIN INTERESES. RESPECTO DE PÓLIZAS DE CRÉDITOS ES LO QUE ESTÁ DISPUESTO A ESA FECHA." sqref="J7 J9:J17"/>
    <dataValidation allowBlank="1" showInputMessage="1" showErrorMessage="1" promptTitle="Epígrafe Pasivo Balance" prompt="Incluir en dónde figura del Pasivo del Balance la disposición o reducción de pólizas y préstamos" sqref="C7:C17"/>
  </dataValidations>
  <printOptions horizontalCentered="1" verticalCentered="1"/>
  <pageMargins left="0.3937007874015748" right="0.3937007874015748" top="0.3937007874015748" bottom="0.3937007874015748" header="0.5118110236220472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O55"/>
  <sheetViews>
    <sheetView zoomScalePageLayoutView="0" workbookViewId="0" topLeftCell="A1">
      <selection activeCell="B2" sqref="B2:I55"/>
    </sheetView>
  </sheetViews>
  <sheetFormatPr defaultColWidth="11.57421875" defaultRowHeight="12.75"/>
  <cols>
    <col min="1" max="1" width="3.8515625" style="133" customWidth="1"/>
    <col min="2" max="2" width="2.421875" style="133" customWidth="1"/>
    <col min="3" max="3" width="63.8515625" style="133" customWidth="1"/>
    <col min="4" max="4" width="20.140625" style="133" bestFit="1" customWidth="1"/>
    <col min="5" max="5" width="19.8515625" style="133" customWidth="1"/>
    <col min="6" max="6" width="18.8515625" style="133" customWidth="1"/>
    <col min="7" max="7" width="16.140625" style="133" customWidth="1"/>
    <col min="8" max="8" width="19.140625" style="133" bestFit="1" customWidth="1"/>
    <col min="9" max="9" width="17.00390625" style="133" customWidth="1"/>
    <col min="10" max="10" width="11.57421875" style="133" customWidth="1"/>
    <col min="11" max="11" width="28.140625" style="133" bestFit="1" customWidth="1"/>
    <col min="12" max="14" width="19.57421875" style="965" bestFit="1" customWidth="1"/>
    <col min="15" max="16384" width="11.57421875" style="133" customWidth="1"/>
  </cols>
  <sheetData>
    <row r="1" ht="13.5" thickBot="1"/>
    <row r="2" spans="2:9" ht="14.25">
      <c r="B2" s="1506" t="s">
        <v>1001</v>
      </c>
      <c r="C2" s="1507"/>
      <c r="D2" s="1507"/>
      <c r="E2" s="1507"/>
      <c r="F2" s="1507"/>
      <c r="G2" s="1507"/>
      <c r="H2" s="1507"/>
      <c r="I2" s="1504">
        <v>2017</v>
      </c>
    </row>
    <row r="3" spans="2:9" ht="24.75" customHeight="1" thickBot="1">
      <c r="B3" s="1508" t="s">
        <v>1022</v>
      </c>
      <c r="C3" s="1509"/>
      <c r="D3" s="1509"/>
      <c r="E3" s="1509"/>
      <c r="F3" s="1509"/>
      <c r="G3" s="1509"/>
      <c r="H3" s="1509"/>
      <c r="I3" s="1505"/>
    </row>
    <row r="4" spans="2:9" ht="33" customHeight="1" thickBot="1">
      <c r="B4" s="1510" t="str">
        <f>+CPYG!B3</f>
        <v>ENTIDAD: TRANSPORTES INTERURBANOS DE TENERIFE, S.A.</v>
      </c>
      <c r="C4" s="1511"/>
      <c r="D4" s="1511"/>
      <c r="E4" s="1511"/>
      <c r="F4" s="1511"/>
      <c r="G4" s="1511"/>
      <c r="H4" s="1512"/>
      <c r="I4" s="299" t="s">
        <v>877</v>
      </c>
    </row>
    <row r="5" spans="2:9" ht="12.75">
      <c r="B5" s="230"/>
      <c r="C5" s="158"/>
      <c r="D5" s="158"/>
      <c r="E5" s="158"/>
      <c r="F5" s="158"/>
      <c r="G5" s="158"/>
      <c r="H5" s="158"/>
      <c r="I5" s="231"/>
    </row>
    <row r="6" spans="2:9" ht="12.75">
      <c r="B6" s="230"/>
      <c r="C6" s="1513" t="s">
        <v>1023</v>
      </c>
      <c r="D6" s="1513"/>
      <c r="E6" s="1513"/>
      <c r="F6" s="1513"/>
      <c r="G6" s="1513"/>
      <c r="H6" s="1513"/>
      <c r="I6" s="1514"/>
    </row>
    <row r="7" spans="2:9" ht="12.75">
      <c r="B7" s="230"/>
      <c r="C7" s="158"/>
      <c r="D7" s="158"/>
      <c r="E7" s="158"/>
      <c r="F7" s="158"/>
      <c r="G7" s="158"/>
      <c r="H7" s="158"/>
      <c r="I7" s="231"/>
    </row>
    <row r="8" spans="2:9" ht="12.75">
      <c r="B8" s="1502" t="s">
        <v>1024</v>
      </c>
      <c r="C8" s="1503"/>
      <c r="D8" s="158"/>
      <c r="E8" s="158"/>
      <c r="F8" s="158"/>
      <c r="G8" s="158"/>
      <c r="H8" s="158"/>
      <c r="I8" s="231"/>
    </row>
    <row r="9" spans="2:9" ht="12.75">
      <c r="B9" s="230"/>
      <c r="C9" s="158"/>
      <c r="D9" s="158"/>
      <c r="E9" s="158"/>
      <c r="F9" s="158"/>
      <c r="G9" s="158"/>
      <c r="H9" s="158"/>
      <c r="I9" s="231"/>
    </row>
    <row r="10" spans="2:9" ht="12.75">
      <c r="B10" s="300" t="s">
        <v>1066</v>
      </c>
      <c r="C10" s="301" t="s">
        <v>1025</v>
      </c>
      <c r="D10" s="301"/>
      <c r="E10" s="301"/>
      <c r="F10" s="158"/>
      <c r="G10" s="158"/>
      <c r="H10" s="158"/>
      <c r="I10" s="231"/>
    </row>
    <row r="11" spans="2:9" ht="12.75">
      <c r="B11" s="300"/>
      <c r="C11" s="301" t="s">
        <v>1026</v>
      </c>
      <c r="D11" s="301"/>
      <c r="E11" s="301"/>
      <c r="F11" s="158"/>
      <c r="G11" s="158"/>
      <c r="H11" s="158"/>
      <c r="I11" s="231"/>
    </row>
    <row r="12" spans="2:9" ht="12.75">
      <c r="B12" s="300"/>
      <c r="C12" s="301" t="s">
        <v>1028</v>
      </c>
      <c r="D12" s="301"/>
      <c r="E12" s="301"/>
      <c r="F12" s="158"/>
      <c r="G12" s="158"/>
      <c r="H12" s="158"/>
      <c r="I12" s="231"/>
    </row>
    <row r="13" spans="2:9" ht="12.75">
      <c r="B13" s="300"/>
      <c r="C13" s="301" t="s">
        <v>1029</v>
      </c>
      <c r="D13" s="301"/>
      <c r="E13" s="301"/>
      <c r="F13" s="158"/>
      <c r="G13" s="158"/>
      <c r="H13" s="158"/>
      <c r="I13" s="231"/>
    </row>
    <row r="14" spans="2:9" ht="12.75">
      <c r="B14" s="300"/>
      <c r="C14" s="301" t="s">
        <v>1030</v>
      </c>
      <c r="D14" s="301"/>
      <c r="E14" s="301"/>
      <c r="F14" s="158"/>
      <c r="G14" s="158"/>
      <c r="H14" s="158"/>
      <c r="I14" s="231"/>
    </row>
    <row r="15" spans="2:9" ht="12.75">
      <c r="B15" s="230"/>
      <c r="C15" s="158"/>
      <c r="D15" s="158"/>
      <c r="E15" s="158"/>
      <c r="F15" s="158"/>
      <c r="G15" s="158"/>
      <c r="H15" s="158"/>
      <c r="I15" s="231"/>
    </row>
    <row r="16" spans="2:9" ht="12.75">
      <c r="B16" s="1502" t="s">
        <v>1031</v>
      </c>
      <c r="C16" s="1503"/>
      <c r="D16" s="1503"/>
      <c r="E16" s="1503"/>
      <c r="F16" s="158"/>
      <c r="G16" s="158"/>
      <c r="H16" s="158"/>
      <c r="I16" s="231"/>
    </row>
    <row r="17" spans="2:11" ht="12.75">
      <c r="B17" s="230"/>
      <c r="C17" s="158"/>
      <c r="D17" s="158"/>
      <c r="E17" s="158"/>
      <c r="F17" s="158"/>
      <c r="G17" s="158"/>
      <c r="H17" s="158"/>
      <c r="I17" s="231"/>
      <c r="K17" s="966"/>
    </row>
    <row r="18" spans="2:11" ht="12.75">
      <c r="B18" s="1515" t="s">
        <v>1032</v>
      </c>
      <c r="C18" s="1516"/>
      <c r="D18" s="1516"/>
      <c r="E18" s="1516"/>
      <c r="F18" s="1517"/>
      <c r="G18" s="158"/>
      <c r="H18" s="158"/>
      <c r="I18" s="231"/>
      <c r="K18" s="966"/>
    </row>
    <row r="19" spans="2:11" ht="12.75">
      <c r="B19" s="230"/>
      <c r="C19" s="158"/>
      <c r="D19" s="158"/>
      <c r="E19" s="158"/>
      <c r="F19" s="158"/>
      <c r="G19" s="158"/>
      <c r="H19" s="158"/>
      <c r="I19" s="231"/>
      <c r="K19" s="169"/>
    </row>
    <row r="20" spans="2:9" ht="12.75">
      <c r="B20" s="230"/>
      <c r="C20" s="158"/>
      <c r="D20" s="158"/>
      <c r="E20" s="158"/>
      <c r="F20" s="158"/>
      <c r="G20" s="1499" t="s">
        <v>1033</v>
      </c>
      <c r="H20" s="1499"/>
      <c r="I20" s="1108">
        <v>1568</v>
      </c>
    </row>
    <row r="21" spans="2:12" ht="12.75">
      <c r="B21" s="230"/>
      <c r="C21" s="158"/>
      <c r="D21" s="158"/>
      <c r="E21" s="158"/>
      <c r="F21" s="158"/>
      <c r="G21" s="1499" t="s">
        <v>1034</v>
      </c>
      <c r="H21" s="1499"/>
      <c r="I21" s="1109">
        <f>I36+I45</f>
        <v>56632924.019999996</v>
      </c>
      <c r="L21" s="967"/>
    </row>
    <row r="22" spans="2:9" ht="12.75">
      <c r="B22" s="230"/>
      <c r="C22" s="158"/>
      <c r="D22" s="158"/>
      <c r="E22" s="158"/>
      <c r="F22" s="158"/>
      <c r="G22" s="158"/>
      <c r="H22" s="158"/>
      <c r="I22" s="231"/>
    </row>
    <row r="23" spans="2:9" ht="12.75">
      <c r="B23" s="230"/>
      <c r="C23" s="158"/>
      <c r="D23" s="158"/>
      <c r="E23" s="158"/>
      <c r="F23" s="158"/>
      <c r="G23" s="158"/>
      <c r="H23" s="158"/>
      <c r="I23" s="231"/>
    </row>
    <row r="24" spans="2:9" ht="12.75">
      <c r="B24" s="230"/>
      <c r="C24" s="158"/>
      <c r="D24" s="158"/>
      <c r="E24" s="158"/>
      <c r="F24" s="968"/>
      <c r="G24" s="158"/>
      <c r="H24" s="158"/>
      <c r="I24" s="643"/>
    </row>
    <row r="25" spans="2:9" ht="12.75">
      <c r="B25" s="1502" t="s">
        <v>1035</v>
      </c>
      <c r="C25" s="1503"/>
      <c r="D25" s="1503"/>
      <c r="E25" s="158"/>
      <c r="F25" s="158"/>
      <c r="G25" s="158"/>
      <c r="H25" s="158"/>
      <c r="I25" s="231"/>
    </row>
    <row r="26" spans="2:9" ht="13.5" thickBot="1">
      <c r="B26" s="230"/>
      <c r="C26" s="158"/>
      <c r="D26" s="158"/>
      <c r="E26" s="158"/>
      <c r="F26" s="158"/>
      <c r="G26" s="158"/>
      <c r="H26" s="158"/>
      <c r="I26" s="231"/>
    </row>
    <row r="27" spans="2:9" ht="13.5" thickBot="1">
      <c r="B27" s="1415" t="s">
        <v>1036</v>
      </c>
      <c r="C27" s="1483"/>
      <c r="D27" s="1482" t="s">
        <v>1037</v>
      </c>
      <c r="E27" s="1482" t="s">
        <v>1038</v>
      </c>
      <c r="F27" s="1482"/>
      <c r="G27" s="1482"/>
      <c r="H27" s="1482"/>
      <c r="I27" s="1482"/>
    </row>
    <row r="28" spans="2:14" ht="13.5" thickBot="1">
      <c r="B28" s="1484"/>
      <c r="C28" s="1485"/>
      <c r="D28" s="1482"/>
      <c r="E28" s="1482" t="s">
        <v>1039</v>
      </c>
      <c r="F28" s="1482" t="s">
        <v>1040</v>
      </c>
      <c r="G28" s="1482" t="s">
        <v>1041</v>
      </c>
      <c r="H28" s="1482" t="s">
        <v>1042</v>
      </c>
      <c r="I28" s="1482" t="s">
        <v>1044</v>
      </c>
      <c r="L28" s="183"/>
      <c r="M28" s="183"/>
      <c r="N28" s="183"/>
    </row>
    <row r="29" spans="2:9" ht="13.5" thickBot="1">
      <c r="B29" s="1402"/>
      <c r="C29" s="1486"/>
      <c r="D29" s="1482"/>
      <c r="E29" s="1482"/>
      <c r="F29" s="1482"/>
      <c r="G29" s="1482"/>
      <c r="H29" s="1482"/>
      <c r="I29" s="1482"/>
    </row>
    <row r="30" spans="2:15" ht="15" customHeight="1">
      <c r="B30" s="1487" t="s">
        <v>1045</v>
      </c>
      <c r="C30" s="1488"/>
      <c r="D30" s="303"/>
      <c r="E30" s="303"/>
      <c r="F30" s="303"/>
      <c r="G30" s="303"/>
      <c r="H30" s="303"/>
      <c r="I30" s="304">
        <f aca="true" t="shared" si="0" ref="I30:I35">E30+F30+G30+H30</f>
        <v>0</v>
      </c>
      <c r="O30" s="969"/>
    </row>
    <row r="31" spans="2:15" ht="15" customHeight="1">
      <c r="B31" s="1487" t="s">
        <v>1046</v>
      </c>
      <c r="C31" s="1488"/>
      <c r="D31" s="970">
        <v>1</v>
      </c>
      <c r="E31" s="971">
        <f>+'[4]PD 2017 (Personal)'!E10</f>
        <v>79305</v>
      </c>
      <c r="F31" s="971">
        <f>+'[4]PD 2017 (Personal)'!J10</f>
        <v>7137</v>
      </c>
      <c r="G31" s="971"/>
      <c r="H31" s="971"/>
      <c r="I31" s="972">
        <f>E31+F31+G31+H31</f>
        <v>86442</v>
      </c>
      <c r="L31" s="973"/>
      <c r="M31" s="973"/>
      <c r="N31" s="974"/>
      <c r="O31" s="969"/>
    </row>
    <row r="32" spans="2:15" ht="15" customHeight="1">
      <c r="B32" s="1487" t="s">
        <v>1047</v>
      </c>
      <c r="C32" s="1488"/>
      <c r="D32" s="970">
        <v>3</v>
      </c>
      <c r="E32" s="971">
        <v>187331.76</v>
      </c>
      <c r="F32" s="971">
        <v>19559.14</v>
      </c>
      <c r="G32" s="971"/>
      <c r="H32" s="971"/>
      <c r="I32" s="972">
        <f t="shared" si="0"/>
        <v>206890.90000000002</v>
      </c>
      <c r="L32" s="973"/>
      <c r="M32" s="973"/>
      <c r="N32" s="974"/>
      <c r="O32" s="969"/>
    </row>
    <row r="33" spans="2:15" ht="15" customHeight="1">
      <c r="B33" s="1487" t="s">
        <v>1048</v>
      </c>
      <c r="C33" s="1488"/>
      <c r="D33" s="970">
        <v>1422</v>
      </c>
      <c r="E33" s="971">
        <v>38905661.37</v>
      </c>
      <c r="F33" s="971"/>
      <c r="G33" s="971"/>
      <c r="H33" s="971"/>
      <c r="I33" s="972">
        <f t="shared" si="0"/>
        <v>38905661.37</v>
      </c>
      <c r="L33" s="973"/>
      <c r="M33" s="973"/>
      <c r="N33" s="974"/>
      <c r="O33" s="969"/>
    </row>
    <row r="34" spans="2:15" ht="15" customHeight="1">
      <c r="B34" s="1487" t="s">
        <v>1049</v>
      </c>
      <c r="C34" s="1488"/>
      <c r="D34" s="970">
        <v>72</v>
      </c>
      <c r="E34" s="971">
        <v>1622277.33</v>
      </c>
      <c r="F34" s="971"/>
      <c r="G34" s="971"/>
      <c r="H34" s="971"/>
      <c r="I34" s="972">
        <f t="shared" si="0"/>
        <v>1622277.33</v>
      </c>
      <c r="M34" s="973"/>
      <c r="N34" s="974"/>
      <c r="O34" s="969"/>
    </row>
    <row r="35" spans="2:15" ht="15" customHeight="1">
      <c r="B35" s="1500" t="s">
        <v>558</v>
      </c>
      <c r="C35" s="1501"/>
      <c r="D35" s="970">
        <v>70</v>
      </c>
      <c r="E35" s="971">
        <v>405871.4</v>
      </c>
      <c r="F35" s="971"/>
      <c r="G35" s="971"/>
      <c r="H35" s="971"/>
      <c r="I35" s="972">
        <f t="shared" si="0"/>
        <v>405871.4</v>
      </c>
      <c r="M35" s="973"/>
      <c r="N35" s="974"/>
      <c r="O35" s="969"/>
    </row>
    <row r="36" spans="2:15" ht="15" customHeight="1" thickBot="1">
      <c r="B36" s="1490" t="s">
        <v>235</v>
      </c>
      <c r="C36" s="1491"/>
      <c r="D36" s="975">
        <f aca="true" t="shared" si="1" ref="D36:I36">D30+D31+D32+D33+D34+D35</f>
        <v>1568</v>
      </c>
      <c r="E36" s="976">
        <f>SUM(E31:E35)</f>
        <v>41200446.85999999</v>
      </c>
      <c r="F36" s="305">
        <f>F30+F31+F32+E33+F34+F35</f>
        <v>38932357.51</v>
      </c>
      <c r="G36" s="305">
        <f t="shared" si="1"/>
        <v>0</v>
      </c>
      <c r="H36" s="305">
        <f t="shared" si="1"/>
        <v>0</v>
      </c>
      <c r="I36" s="306">
        <f t="shared" si="1"/>
        <v>41227142.99999999</v>
      </c>
      <c r="L36" s="977"/>
      <c r="M36" s="977"/>
      <c r="N36" s="977"/>
      <c r="O36" s="969"/>
    </row>
    <row r="37" spans="2:15" ht="12.75">
      <c r="B37" s="230"/>
      <c r="C37" s="158"/>
      <c r="D37" s="158"/>
      <c r="E37" s="158"/>
      <c r="F37" s="158"/>
      <c r="G37" s="158"/>
      <c r="H37" s="158"/>
      <c r="I37" s="231"/>
      <c r="L37" s="978"/>
      <c r="M37" s="978"/>
      <c r="O37" s="969"/>
    </row>
    <row r="38" spans="2:15" ht="12.75">
      <c r="B38" s="230"/>
      <c r="C38" s="158"/>
      <c r="D38" s="158"/>
      <c r="E38" s="158"/>
      <c r="F38" s="158"/>
      <c r="G38" s="158"/>
      <c r="H38" s="158"/>
      <c r="I38" s="231"/>
      <c r="O38" s="969"/>
    </row>
    <row r="39" spans="2:13" ht="12.75">
      <c r="B39" s="1502" t="s">
        <v>1050</v>
      </c>
      <c r="C39" s="1503"/>
      <c r="D39" s="1503"/>
      <c r="E39" s="158"/>
      <c r="F39" s="158"/>
      <c r="G39" s="158"/>
      <c r="H39" s="158"/>
      <c r="I39" s="231"/>
      <c r="M39" s="979"/>
    </row>
    <row r="40" spans="2:9" ht="13.5" thickBot="1">
      <c r="B40" s="230"/>
      <c r="C40" s="158"/>
      <c r="D40" s="158"/>
      <c r="E40" s="158"/>
      <c r="F40" s="158"/>
      <c r="G40" s="158"/>
      <c r="H40" s="158"/>
      <c r="I40" s="231"/>
    </row>
    <row r="41" spans="2:13" ht="15" customHeight="1" thickBot="1">
      <c r="B41" s="1492" t="s">
        <v>220</v>
      </c>
      <c r="C41" s="1493"/>
      <c r="D41" s="1493"/>
      <c r="E41" s="1494"/>
      <c r="F41" s="1496" t="s">
        <v>799</v>
      </c>
      <c r="G41" s="1497"/>
      <c r="H41" s="1497"/>
      <c r="I41" s="1498"/>
      <c r="M41" s="979"/>
    </row>
    <row r="42" spans="2:9" ht="15" customHeight="1">
      <c r="B42" s="1487" t="s">
        <v>1067</v>
      </c>
      <c r="C42" s="1489"/>
      <c r="D42" s="302"/>
      <c r="E42" s="158"/>
      <c r="F42" s="158"/>
      <c r="G42" s="158"/>
      <c r="H42" s="158"/>
      <c r="I42" s="307">
        <v>766945.24</v>
      </c>
    </row>
    <row r="43" spans="2:13" ht="15" customHeight="1">
      <c r="B43" s="1487" t="s">
        <v>1051</v>
      </c>
      <c r="C43" s="1489"/>
      <c r="D43" s="302"/>
      <c r="E43" s="158"/>
      <c r="F43" s="158"/>
      <c r="G43" s="158"/>
      <c r="H43" s="158"/>
      <c r="I43" s="307">
        <v>14429499.97</v>
      </c>
      <c r="M43" s="973"/>
    </row>
    <row r="44" spans="2:13" ht="15" customHeight="1">
      <c r="B44" s="230" t="s">
        <v>659</v>
      </c>
      <c r="C44" s="158"/>
      <c r="D44" s="302"/>
      <c r="E44" s="158"/>
      <c r="F44" s="158"/>
      <c r="G44" s="158"/>
      <c r="H44" s="158"/>
      <c r="I44" s="1080">
        <v>209335.81</v>
      </c>
      <c r="M44" s="973"/>
    </row>
    <row r="45" spans="2:13" ht="15" customHeight="1" thickBot="1">
      <c r="B45" s="1490" t="s">
        <v>1052</v>
      </c>
      <c r="C45" s="1495"/>
      <c r="D45" s="308"/>
      <c r="E45" s="309"/>
      <c r="F45" s="309"/>
      <c r="G45" s="309"/>
      <c r="H45" s="309"/>
      <c r="I45" s="310">
        <f>+I42+I43+I44</f>
        <v>15405781.020000001</v>
      </c>
      <c r="M45" s="973"/>
    </row>
    <row r="46" spans="2:9" ht="12.75">
      <c r="B46" s="230"/>
      <c r="C46" s="158"/>
      <c r="D46" s="158"/>
      <c r="E46" s="158"/>
      <c r="F46" s="158"/>
      <c r="G46" s="158"/>
      <c r="H46" s="158"/>
      <c r="I46" s="643"/>
    </row>
    <row r="47" spans="2:9" ht="12.75">
      <c r="B47" s="230"/>
      <c r="C47" s="158"/>
      <c r="D47" s="158"/>
      <c r="E47" s="158"/>
      <c r="F47" s="158"/>
      <c r="G47" s="158"/>
      <c r="H47" s="158"/>
      <c r="I47" s="231"/>
    </row>
    <row r="48" spans="2:9" ht="12.75">
      <c r="B48" s="230"/>
      <c r="C48" s="311" t="s">
        <v>1053</v>
      </c>
      <c r="D48" s="158"/>
      <c r="E48" s="158"/>
      <c r="F48" s="158"/>
      <c r="G48" s="158"/>
      <c r="H48" s="158"/>
      <c r="I48" s="231"/>
    </row>
    <row r="49" spans="2:9" ht="12.75">
      <c r="B49" s="230"/>
      <c r="C49" s="158"/>
      <c r="D49" s="1090"/>
      <c r="E49" s="1090"/>
      <c r="F49" s="1090"/>
      <c r="G49" s="1090"/>
      <c r="H49" s="1090"/>
      <c r="I49" s="1091"/>
    </row>
    <row r="50" spans="2:9" ht="12.75" customHeight="1">
      <c r="B50" s="959"/>
      <c r="C50" s="960"/>
      <c r="D50" s="1096" t="s">
        <v>663</v>
      </c>
      <c r="E50" s="1097" t="s">
        <v>664</v>
      </c>
      <c r="F50" s="1098" t="s">
        <v>665</v>
      </c>
      <c r="G50" s="1098" t="s">
        <v>666</v>
      </c>
      <c r="H50" s="1096" t="s">
        <v>559</v>
      </c>
      <c r="I50" s="962"/>
    </row>
    <row r="51" spans="2:9" ht="12.75">
      <c r="B51" s="961"/>
      <c r="C51" s="738" t="s">
        <v>560</v>
      </c>
      <c r="D51" s="1092">
        <f>+I36</f>
        <v>41227142.99999999</v>
      </c>
      <c r="E51" s="1092">
        <v>180115</v>
      </c>
      <c r="F51" s="1092">
        <f>+I43</f>
        <v>14429499.97</v>
      </c>
      <c r="G51" s="966">
        <v>586830.24</v>
      </c>
      <c r="H51" s="1092">
        <f>SUM(D51:G51)</f>
        <v>56423588.20999999</v>
      </c>
      <c r="I51" s="962"/>
    </row>
    <row r="52" spans="2:11" ht="12.75">
      <c r="B52" s="961"/>
      <c r="C52" s="738" t="s">
        <v>561</v>
      </c>
      <c r="D52" s="1092">
        <f>+I44-F52</f>
        <v>157275.81</v>
      </c>
      <c r="E52" s="1092">
        <v>0</v>
      </c>
      <c r="F52" s="1092">
        <v>52060</v>
      </c>
      <c r="H52" s="1092">
        <f>+F52+D52</f>
        <v>209335.81</v>
      </c>
      <c r="I52" s="962"/>
      <c r="K52" s="957"/>
    </row>
    <row r="53" spans="2:9" ht="12.75">
      <c r="B53" s="961"/>
      <c r="C53" s="1089" t="s">
        <v>562</v>
      </c>
      <c r="D53" s="1093">
        <f>+D52+D51</f>
        <v>41384418.809999995</v>
      </c>
      <c r="E53" s="1093">
        <f>+E52+E51</f>
        <v>180115</v>
      </c>
      <c r="F53" s="1093">
        <f>+F52+F51</f>
        <v>14481559.97</v>
      </c>
      <c r="G53" s="1093">
        <f>+G52+G51</f>
        <v>586830.24</v>
      </c>
      <c r="H53" s="1093">
        <f>+H52+H51</f>
        <v>56632924.019999996</v>
      </c>
      <c r="I53" s="962"/>
    </row>
    <row r="54" spans="2:10" ht="12.75">
      <c r="B54" s="963"/>
      <c r="C54" s="980"/>
      <c r="D54" s="1094"/>
      <c r="E54" s="1094"/>
      <c r="F54" s="1094"/>
      <c r="G54" s="1095"/>
      <c r="H54" s="1095"/>
      <c r="I54" s="964"/>
      <c r="J54" s="169"/>
    </row>
    <row r="55" spans="2:9" ht="13.5" thickBot="1">
      <c r="B55" s="312"/>
      <c r="C55" s="309"/>
      <c r="D55" s="309"/>
      <c r="E55" s="309"/>
      <c r="F55" s="309"/>
      <c r="G55" s="309"/>
      <c r="H55" s="309"/>
      <c r="I55" s="313"/>
    </row>
  </sheetData>
  <sheetProtection/>
  <mergeCells count="32">
    <mergeCell ref="I2:I3"/>
    <mergeCell ref="B2:H2"/>
    <mergeCell ref="B3:H3"/>
    <mergeCell ref="B4:H4"/>
    <mergeCell ref="C6:I6"/>
    <mergeCell ref="G20:H20"/>
    <mergeCell ref="B8:C8"/>
    <mergeCell ref="B16:E16"/>
    <mergeCell ref="B18:F18"/>
    <mergeCell ref="G21:H21"/>
    <mergeCell ref="B33:C33"/>
    <mergeCell ref="B35:C35"/>
    <mergeCell ref="B39:D39"/>
    <mergeCell ref="B25:D25"/>
    <mergeCell ref="B34:C34"/>
    <mergeCell ref="H28:H29"/>
    <mergeCell ref="F28:F29"/>
    <mergeCell ref="G28:G29"/>
    <mergeCell ref="D27:D29"/>
    <mergeCell ref="B42:C42"/>
    <mergeCell ref="B36:C36"/>
    <mergeCell ref="B41:E41"/>
    <mergeCell ref="B45:C45"/>
    <mergeCell ref="B43:C43"/>
    <mergeCell ref="F41:I41"/>
    <mergeCell ref="E28:E29"/>
    <mergeCell ref="B27:C29"/>
    <mergeCell ref="E27:I27"/>
    <mergeCell ref="B30:C30"/>
    <mergeCell ref="B31:C31"/>
    <mergeCell ref="B32:C32"/>
    <mergeCell ref="I28:I29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Q23"/>
  <sheetViews>
    <sheetView zoomScalePageLayoutView="0" workbookViewId="0" topLeftCell="A1">
      <selection activeCell="A23" sqref="A23:IV23"/>
    </sheetView>
  </sheetViews>
  <sheetFormatPr defaultColWidth="11.57421875" defaultRowHeight="12.75"/>
  <cols>
    <col min="1" max="1" width="2.140625" style="863" customWidth="1"/>
    <col min="2" max="2" width="9.00390625" style="863" customWidth="1"/>
    <col min="3" max="3" width="27.140625" style="863" bestFit="1" customWidth="1"/>
    <col min="4" max="4" width="8.140625" style="863" customWidth="1"/>
    <col min="5" max="5" width="20.140625" style="863" bestFit="1" customWidth="1"/>
    <col min="6" max="6" width="9.140625" style="863" customWidth="1"/>
    <col min="7" max="7" width="14.8515625" style="863" bestFit="1" customWidth="1"/>
    <col min="8" max="8" width="18.140625" style="863" bestFit="1" customWidth="1"/>
    <col min="9" max="9" width="14.8515625" style="863" bestFit="1" customWidth="1"/>
    <col min="10" max="10" width="11.8515625" style="863" bestFit="1" customWidth="1"/>
    <col min="11" max="11" width="8.00390625" style="863" customWidth="1"/>
    <col min="12" max="12" width="10.8515625" style="863" customWidth="1"/>
    <col min="13" max="13" width="12.00390625" style="863" bestFit="1" customWidth="1"/>
    <col min="14" max="14" width="12.421875" style="863" bestFit="1" customWidth="1"/>
    <col min="15" max="15" width="15.8515625" style="863" customWidth="1"/>
    <col min="16" max="16" width="11.57421875" style="863" customWidth="1"/>
    <col min="17" max="17" width="18.8515625" style="863" customWidth="1"/>
    <col min="18" max="16384" width="11.57421875" style="863" customWidth="1"/>
  </cols>
  <sheetData>
    <row r="1" ht="19.5" customHeight="1"/>
    <row r="2" spans="2:17" s="850" customFormat="1" ht="11.25">
      <c r="B2" s="1518" t="s">
        <v>426</v>
      </c>
      <c r="C2" s="1518"/>
      <c r="D2" s="1518"/>
      <c r="E2" s="1518"/>
      <c r="F2" s="1518"/>
      <c r="G2" s="1518"/>
      <c r="H2" s="1518"/>
      <c r="I2" s="1518"/>
      <c r="J2" s="1518"/>
      <c r="K2" s="1518"/>
      <c r="L2" s="1518"/>
      <c r="M2" s="1518"/>
      <c r="N2" s="1518"/>
      <c r="O2" s="849"/>
      <c r="P2" s="849"/>
      <c r="Q2" s="849"/>
    </row>
    <row r="3" s="851" customFormat="1" ht="11.25"/>
    <row r="4" spans="2:3" s="851" customFormat="1" ht="11.25">
      <c r="B4" s="852" t="s">
        <v>427</v>
      </c>
      <c r="C4" s="852" t="s">
        <v>564</v>
      </c>
    </row>
    <row r="5" s="851" customFormat="1" ht="11.25">
      <c r="B5" s="852"/>
    </row>
    <row r="6" spans="2:17" s="851" customFormat="1" ht="11.25">
      <c r="B6" s="849" t="s">
        <v>428</v>
      </c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  <c r="N6" s="849"/>
      <c r="O6" s="853"/>
      <c r="P6" s="853"/>
      <c r="Q6" s="853"/>
    </row>
    <row r="7" spans="2:17" s="851" customFormat="1" ht="11.25" customHeight="1" thickBot="1">
      <c r="B7" s="854"/>
      <c r="C7" s="854"/>
      <c r="D7" s="854"/>
      <c r="E7" s="854"/>
      <c r="F7" s="854"/>
      <c r="G7" s="854"/>
      <c r="H7" s="854"/>
      <c r="I7" s="854"/>
      <c r="J7" s="854"/>
      <c r="K7" s="854"/>
      <c r="L7" s="854"/>
      <c r="M7" s="854"/>
      <c r="N7" s="854"/>
      <c r="O7" s="854"/>
      <c r="P7" s="854"/>
      <c r="Q7" s="854"/>
    </row>
    <row r="8" spans="2:15" s="852" customFormat="1" ht="40.5" customHeight="1" thickBot="1">
      <c r="B8" s="855"/>
      <c r="C8" s="855"/>
      <c r="D8" s="855"/>
      <c r="E8" s="855"/>
      <c r="F8" s="1519" t="s">
        <v>429</v>
      </c>
      <c r="G8" s="1520"/>
      <c r="H8" s="855"/>
      <c r="I8" s="855"/>
      <c r="J8" s="1521" t="s">
        <v>430</v>
      </c>
      <c r="K8" s="1522"/>
      <c r="L8" s="1523"/>
      <c r="M8" s="855"/>
      <c r="N8" s="855"/>
      <c r="O8" s="855"/>
    </row>
    <row r="9" spans="2:15" s="860" customFormat="1" ht="27" customHeight="1">
      <c r="B9" s="856" t="s">
        <v>431</v>
      </c>
      <c r="C9" s="857" t="s">
        <v>432</v>
      </c>
      <c r="D9" s="858" t="s">
        <v>433</v>
      </c>
      <c r="E9" s="858" t="s">
        <v>434</v>
      </c>
      <c r="F9" s="864">
        <v>2016</v>
      </c>
      <c r="G9" s="865">
        <v>2017</v>
      </c>
      <c r="H9" s="858" t="s">
        <v>435</v>
      </c>
      <c r="I9" s="858" t="s">
        <v>436</v>
      </c>
      <c r="J9" s="858" t="s">
        <v>565</v>
      </c>
      <c r="K9" s="858"/>
      <c r="L9" s="858"/>
      <c r="M9" s="858" t="s">
        <v>437</v>
      </c>
      <c r="N9" s="858" t="s">
        <v>824</v>
      </c>
      <c r="O9" s="859" t="s">
        <v>438</v>
      </c>
    </row>
    <row r="10" spans="2:15" s="854" customFormat="1" ht="12">
      <c r="B10" s="981">
        <v>1</v>
      </c>
      <c r="C10" s="982" t="s">
        <v>566</v>
      </c>
      <c r="D10" s="982"/>
      <c r="E10" s="982">
        <v>79305</v>
      </c>
      <c r="F10" s="861"/>
      <c r="G10" s="861"/>
      <c r="H10" s="861"/>
      <c r="I10" s="861"/>
      <c r="J10" s="982">
        <v>7137</v>
      </c>
      <c r="K10" s="861"/>
      <c r="L10" s="861"/>
      <c r="M10" s="983">
        <f>(3642*12)*0.309</f>
        <v>13504.536</v>
      </c>
      <c r="N10" s="984">
        <f>+J10+E10+M10</f>
        <v>99946.536</v>
      </c>
      <c r="O10" s="866"/>
    </row>
    <row r="11" spans="2:15" ht="12">
      <c r="B11" s="981">
        <v>1</v>
      </c>
      <c r="C11" s="982" t="s">
        <v>567</v>
      </c>
      <c r="D11" s="982"/>
      <c r="E11" s="982">
        <v>65781.84</v>
      </c>
      <c r="F11" s="862"/>
      <c r="G11" s="862"/>
      <c r="H11" s="862"/>
      <c r="I11" s="862"/>
      <c r="J11" s="982">
        <v>6621.11</v>
      </c>
      <c r="K11" s="862"/>
      <c r="L11" s="862"/>
      <c r="M11" s="983">
        <f>(3642*12)*0.309</f>
        <v>13504.536</v>
      </c>
      <c r="N11" s="984">
        <f>+J11+E11+M11</f>
        <v>85907.486</v>
      </c>
      <c r="O11" s="868"/>
    </row>
    <row r="12" spans="2:15" ht="12">
      <c r="B12" s="981">
        <v>1</v>
      </c>
      <c r="C12" s="982" t="s">
        <v>568</v>
      </c>
      <c r="D12" s="982"/>
      <c r="E12" s="982">
        <v>60774.96</v>
      </c>
      <c r="F12" s="862"/>
      <c r="G12" s="862"/>
      <c r="H12" s="862"/>
      <c r="I12" s="862"/>
      <c r="J12" s="982">
        <v>6500</v>
      </c>
      <c r="K12" s="862"/>
      <c r="L12" s="862"/>
      <c r="M12" s="983">
        <f>(3642*12)*0.309</f>
        <v>13504.536</v>
      </c>
      <c r="N12" s="984">
        <f>+J12+E12+M12</f>
        <v>80779.49599999998</v>
      </c>
      <c r="O12" s="868"/>
    </row>
    <row r="13" spans="2:15" ht="12">
      <c r="B13" s="981">
        <v>1</v>
      </c>
      <c r="C13" s="982" t="s">
        <v>569</v>
      </c>
      <c r="D13" s="982"/>
      <c r="E13" s="982">
        <v>60774.96</v>
      </c>
      <c r="F13" s="862"/>
      <c r="G13" s="862"/>
      <c r="H13" s="862"/>
      <c r="I13" s="862"/>
      <c r="J13" s="982">
        <v>6438.03</v>
      </c>
      <c r="K13" s="862"/>
      <c r="L13" s="862"/>
      <c r="M13" s="983">
        <f>(3642*12)*0.309</f>
        <v>13504.536</v>
      </c>
      <c r="N13" s="984">
        <f>+J13+E13+M13</f>
        <v>80717.52600000001</v>
      </c>
      <c r="O13" s="868"/>
    </row>
    <row r="14" spans="2:15" ht="12">
      <c r="B14" s="981">
        <v>1</v>
      </c>
      <c r="C14" s="982" t="s">
        <v>570</v>
      </c>
      <c r="D14" s="982"/>
      <c r="E14" s="982">
        <v>65781.84</v>
      </c>
      <c r="F14" s="862"/>
      <c r="G14" s="862"/>
      <c r="H14" s="862"/>
      <c r="I14" s="862"/>
      <c r="J14" s="982">
        <f>+J11</f>
        <v>6621.11</v>
      </c>
      <c r="K14" s="862"/>
      <c r="L14" s="862"/>
      <c r="M14" s="983">
        <f>(3642*12)*0.309</f>
        <v>13504.536</v>
      </c>
      <c r="N14" s="984">
        <f>+J14+E14+M14</f>
        <v>85907.486</v>
      </c>
      <c r="O14" s="868"/>
    </row>
    <row r="15" spans="2:15" ht="12">
      <c r="B15" s="867"/>
      <c r="C15" s="862"/>
      <c r="D15" s="862"/>
      <c r="E15" s="862"/>
      <c r="F15" s="862"/>
      <c r="G15" s="862"/>
      <c r="H15" s="862"/>
      <c r="I15" s="862"/>
      <c r="J15" s="862"/>
      <c r="K15" s="862"/>
      <c r="L15" s="862"/>
      <c r="M15" s="862"/>
      <c r="N15" s="862"/>
      <c r="O15" s="868"/>
    </row>
    <row r="16" spans="2:15" ht="12">
      <c r="B16" s="867"/>
      <c r="C16" s="862"/>
      <c r="D16" s="862"/>
      <c r="E16" s="862"/>
      <c r="F16" s="862"/>
      <c r="G16" s="862"/>
      <c r="H16" s="862"/>
      <c r="I16" s="862"/>
      <c r="J16" s="862"/>
      <c r="K16" s="862"/>
      <c r="L16" s="862"/>
      <c r="M16" s="862"/>
      <c r="N16" s="862"/>
      <c r="O16" s="868"/>
    </row>
    <row r="17" spans="2:15" ht="12">
      <c r="B17" s="867"/>
      <c r="C17" s="862"/>
      <c r="D17" s="862"/>
      <c r="E17" s="862"/>
      <c r="F17" s="862"/>
      <c r="G17" s="862"/>
      <c r="H17" s="862"/>
      <c r="I17" s="862"/>
      <c r="J17" s="862"/>
      <c r="K17" s="862"/>
      <c r="L17" s="862"/>
      <c r="M17" s="862"/>
      <c r="N17" s="862"/>
      <c r="O17" s="868"/>
    </row>
    <row r="18" spans="2:15" ht="12">
      <c r="B18" s="867"/>
      <c r="C18" s="862"/>
      <c r="D18" s="862"/>
      <c r="E18" s="862"/>
      <c r="F18" s="862"/>
      <c r="G18" s="862"/>
      <c r="H18" s="862"/>
      <c r="I18" s="862"/>
      <c r="J18" s="862"/>
      <c r="K18" s="862"/>
      <c r="L18" s="862"/>
      <c r="M18" s="862"/>
      <c r="N18" s="862"/>
      <c r="O18" s="868"/>
    </row>
    <row r="19" spans="2:15" ht="12">
      <c r="B19" s="867"/>
      <c r="C19" s="862"/>
      <c r="D19" s="862"/>
      <c r="E19" s="862"/>
      <c r="F19" s="862"/>
      <c r="G19" s="862"/>
      <c r="H19" s="862"/>
      <c r="I19" s="862"/>
      <c r="J19" s="862"/>
      <c r="K19" s="862"/>
      <c r="L19" s="862"/>
      <c r="M19" s="862"/>
      <c r="N19" s="862"/>
      <c r="O19" s="868"/>
    </row>
    <row r="20" spans="2:15" ht="12">
      <c r="B20" s="867"/>
      <c r="C20" s="862"/>
      <c r="D20" s="862"/>
      <c r="E20" s="862"/>
      <c r="F20" s="862"/>
      <c r="G20" s="862"/>
      <c r="H20" s="862"/>
      <c r="I20" s="862"/>
      <c r="J20" s="862"/>
      <c r="K20" s="862"/>
      <c r="L20" s="862"/>
      <c r="M20" s="862"/>
      <c r="N20" s="862"/>
      <c r="O20" s="868"/>
    </row>
    <row r="21" spans="2:15" ht="12.75" thickBot="1">
      <c r="B21" s="869"/>
      <c r="C21" s="870"/>
      <c r="D21" s="870"/>
      <c r="E21" s="870"/>
      <c r="F21" s="870"/>
      <c r="G21" s="870"/>
      <c r="H21" s="870"/>
      <c r="I21" s="870"/>
      <c r="J21" s="870"/>
      <c r="K21" s="870"/>
      <c r="L21" s="870"/>
      <c r="M21" s="870"/>
      <c r="N21" s="870"/>
      <c r="O21" s="871"/>
    </row>
    <row r="22" spans="13:14" ht="12">
      <c r="M22" s="985"/>
      <c r="N22" s="986"/>
    </row>
    <row r="23" spans="5:14" ht="12" hidden="1">
      <c r="E23" s="987">
        <f>SUM(E10:E22)</f>
        <v>332418.6</v>
      </c>
      <c r="J23" s="987">
        <f>SUM(J10:J22)</f>
        <v>33317.25</v>
      </c>
      <c r="M23" s="987">
        <f>SUM(M10:M22)</f>
        <v>67522.68</v>
      </c>
      <c r="N23" s="988">
        <f>SUM(N10:N22)</f>
        <v>433258.53</v>
      </c>
    </row>
  </sheetData>
  <sheetProtection/>
  <mergeCells count="3">
    <mergeCell ref="B2:N2"/>
    <mergeCell ref="F8:G8"/>
    <mergeCell ref="J8:L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S62"/>
  <sheetViews>
    <sheetView zoomScale="70" zoomScaleNormal="70" zoomScalePageLayoutView="0" workbookViewId="0" topLeftCell="A1">
      <selection activeCell="B60" sqref="A60:IV60"/>
    </sheetView>
  </sheetViews>
  <sheetFormatPr defaultColWidth="11.57421875" defaultRowHeight="12.75"/>
  <cols>
    <col min="1" max="1" width="2.8515625" style="863" customWidth="1"/>
    <col min="2" max="2" width="9.00390625" style="989" customWidth="1"/>
    <col min="3" max="3" width="45.140625" style="990" bestFit="1" customWidth="1"/>
    <col min="4" max="4" width="6.140625" style="990" bestFit="1" customWidth="1"/>
    <col min="5" max="5" width="18.140625" style="991" bestFit="1" customWidth="1"/>
    <col min="6" max="6" width="18.140625" style="985" bestFit="1" customWidth="1"/>
    <col min="7" max="7" width="16.421875" style="985" bestFit="1" customWidth="1"/>
    <col min="8" max="8" width="19.8515625" style="985" bestFit="1" customWidth="1"/>
    <col min="9" max="9" width="17.140625" style="863" bestFit="1" customWidth="1"/>
    <col min="10" max="10" width="14.57421875" style="863" bestFit="1" customWidth="1"/>
    <col min="11" max="11" width="15.140625" style="863" bestFit="1" customWidth="1"/>
    <col min="12" max="12" width="17.00390625" style="863" bestFit="1" customWidth="1"/>
    <col min="13" max="13" width="19.8515625" style="863" bestFit="1" customWidth="1"/>
    <col min="14" max="14" width="15.00390625" style="863" bestFit="1" customWidth="1"/>
    <col min="15" max="15" width="17.8515625" style="863" bestFit="1" customWidth="1"/>
    <col min="16" max="16" width="21.421875" style="863" customWidth="1"/>
    <col min="17" max="17" width="24.8515625" style="863" bestFit="1" customWidth="1"/>
    <col min="18" max="18" width="11.57421875" style="863" customWidth="1"/>
    <col min="19" max="19" width="18.8515625" style="863" customWidth="1"/>
    <col min="20" max="16384" width="11.57421875" style="863" customWidth="1"/>
  </cols>
  <sheetData>
    <row r="1" ht="25.5" customHeight="1"/>
    <row r="2" spans="2:19" s="850" customFormat="1" ht="11.25">
      <c r="B2" s="1518" t="s">
        <v>426</v>
      </c>
      <c r="C2" s="1518"/>
      <c r="D2" s="1518"/>
      <c r="E2" s="1518"/>
      <c r="F2" s="1518"/>
      <c r="G2" s="1518"/>
      <c r="H2" s="1518"/>
      <c r="I2" s="1518"/>
      <c r="J2" s="1518"/>
      <c r="K2" s="1518"/>
      <c r="L2" s="1518"/>
      <c r="M2" s="1518"/>
      <c r="N2" s="1518"/>
      <c r="O2" s="1518"/>
      <c r="P2" s="1518"/>
      <c r="Q2" s="849"/>
      <c r="R2" s="849"/>
      <c r="S2" s="849"/>
    </row>
    <row r="3" spans="2:12" s="851" customFormat="1" ht="11.25">
      <c r="B3" s="854"/>
      <c r="C3" s="852"/>
      <c r="D3" s="852"/>
      <c r="E3" s="992"/>
      <c r="F3" s="993"/>
      <c r="G3" s="993"/>
      <c r="H3" s="993"/>
      <c r="L3" s="851">
        <v>1397.928</v>
      </c>
    </row>
    <row r="4" spans="2:8" s="851" customFormat="1" ht="11.25">
      <c r="B4" s="854" t="s">
        <v>427</v>
      </c>
      <c r="C4" s="852" t="s">
        <v>564</v>
      </c>
      <c r="D4" s="852"/>
      <c r="E4" s="992"/>
      <c r="F4" s="993"/>
      <c r="G4" s="993"/>
      <c r="H4" s="993"/>
    </row>
    <row r="5" spans="2:8" s="851" customFormat="1" ht="11.25">
      <c r="B5" s="854"/>
      <c r="C5" s="852"/>
      <c r="D5" s="852"/>
      <c r="E5" s="992"/>
      <c r="F5" s="993"/>
      <c r="G5" s="993"/>
      <c r="H5" s="993"/>
    </row>
    <row r="6" spans="2:19" s="851" customFormat="1" ht="11.25">
      <c r="B6" s="849" t="s">
        <v>439</v>
      </c>
      <c r="C6" s="849"/>
      <c r="D6" s="849"/>
      <c r="E6" s="994"/>
      <c r="F6" s="995"/>
      <c r="G6" s="995"/>
      <c r="H6" s="995"/>
      <c r="I6" s="849"/>
      <c r="J6" s="849"/>
      <c r="K6" s="849"/>
      <c r="L6" s="849"/>
      <c r="M6" s="849"/>
      <c r="N6" s="849"/>
      <c r="O6" s="849"/>
      <c r="P6" s="849"/>
      <c r="Q6" s="853"/>
      <c r="R6" s="853"/>
      <c r="S6" s="853"/>
    </row>
    <row r="7" spans="2:19" s="851" customFormat="1" ht="12" thickBot="1">
      <c r="B7" s="854"/>
      <c r="C7" s="854"/>
      <c r="D7" s="854"/>
      <c r="E7" s="996"/>
      <c r="F7" s="997"/>
      <c r="G7" s="997"/>
      <c r="H7" s="997"/>
      <c r="J7" s="854"/>
      <c r="K7" s="854"/>
      <c r="L7" s="854"/>
      <c r="M7" s="854"/>
      <c r="N7" s="854"/>
      <c r="O7" s="854"/>
      <c r="P7" s="854"/>
      <c r="Q7" s="854"/>
      <c r="R7" s="854"/>
      <c r="S7" s="854"/>
    </row>
    <row r="8" spans="2:17" s="852" customFormat="1" ht="27" customHeight="1" thickBot="1">
      <c r="B8" s="855"/>
      <c r="C8" s="855"/>
      <c r="D8" s="855"/>
      <c r="E8" s="998"/>
      <c r="F8" s="1524" t="s">
        <v>429</v>
      </c>
      <c r="G8" s="1525"/>
      <c r="H8" s="999"/>
      <c r="I8" s="855"/>
      <c r="J8" s="1521" t="s">
        <v>430</v>
      </c>
      <c r="K8" s="1522"/>
      <c r="L8" s="1522"/>
      <c r="M8" s="1522"/>
      <c r="N8" s="1523"/>
      <c r="O8" s="855"/>
      <c r="P8" s="855"/>
      <c r="Q8" s="855"/>
    </row>
    <row r="9" spans="2:17" s="860" customFormat="1" ht="27" customHeight="1">
      <c r="B9" s="856" t="s">
        <v>440</v>
      </c>
      <c r="C9" s="857" t="s">
        <v>432</v>
      </c>
      <c r="D9" s="858" t="s">
        <v>433</v>
      </c>
      <c r="E9" s="1000" t="s">
        <v>434</v>
      </c>
      <c r="F9" s="1001">
        <v>2016</v>
      </c>
      <c r="G9" s="1002">
        <v>2017</v>
      </c>
      <c r="H9" s="1003" t="s">
        <v>435</v>
      </c>
      <c r="I9" s="858" t="s">
        <v>436</v>
      </c>
      <c r="J9" s="1004" t="s">
        <v>571</v>
      </c>
      <c r="K9" s="858" t="s">
        <v>572</v>
      </c>
      <c r="L9" s="1004" t="s">
        <v>573</v>
      </c>
      <c r="M9" s="1004" t="s">
        <v>574</v>
      </c>
      <c r="N9" s="858" t="s">
        <v>575</v>
      </c>
      <c r="O9" s="858" t="s">
        <v>437</v>
      </c>
      <c r="P9" s="858" t="s">
        <v>824</v>
      </c>
      <c r="Q9" s="859" t="s">
        <v>438</v>
      </c>
    </row>
    <row r="10" spans="2:17" s="854" customFormat="1" ht="12">
      <c r="B10" s="1005">
        <v>1</v>
      </c>
      <c r="C10" s="1006" t="s">
        <v>576</v>
      </c>
      <c r="D10" s="1006">
        <v>2</v>
      </c>
      <c r="E10" s="1007">
        <f>(1150-28.59)*12</f>
        <v>13456.920000000002</v>
      </c>
      <c r="F10" s="1008">
        <f>28.59*16</f>
        <v>457.44</v>
      </c>
      <c r="G10" s="1008">
        <f>+F10+169.97</f>
        <v>627.41</v>
      </c>
      <c r="H10" s="1008">
        <f>858.46*4</f>
        <v>3433.84</v>
      </c>
      <c r="I10" s="861">
        <f aca="true" t="shared" si="0" ref="I10:I49">(B10*(131.26+238.04))</f>
        <v>369.29999999999995</v>
      </c>
      <c r="J10" s="1008"/>
      <c r="K10" s="1008"/>
      <c r="L10" s="1008"/>
      <c r="M10" s="1008"/>
      <c r="N10" s="1008"/>
      <c r="O10" s="1008">
        <f>(E10+G10+H10+I10+J10+K10+L10+M10+N10)*0.309</f>
        <v>5527.228230000001</v>
      </c>
      <c r="P10" s="1008">
        <f aca="true" t="shared" si="1" ref="P10:P49">+E10+G10+H10+I10+J10+K10+L10+M10+N10+O10</f>
        <v>23414.69823</v>
      </c>
      <c r="Q10" s="1009" t="s">
        <v>577</v>
      </c>
    </row>
    <row r="11" spans="2:17" ht="12">
      <c r="B11" s="1005">
        <v>14</v>
      </c>
      <c r="C11" s="1006" t="s">
        <v>578</v>
      </c>
      <c r="D11" s="1006">
        <v>2</v>
      </c>
      <c r="E11" s="1007">
        <f>17383.44*B11</f>
        <v>243368.15999999997</v>
      </c>
      <c r="F11" s="1008">
        <v>34307.280000000006</v>
      </c>
      <c r="G11" s="1008">
        <f>+F11+653.77</f>
        <v>34961.05</v>
      </c>
      <c r="H11" s="1008">
        <v>66760.4</v>
      </c>
      <c r="I11" s="861">
        <f t="shared" si="0"/>
        <v>5170.199999999999</v>
      </c>
      <c r="J11" s="1008"/>
      <c r="K11" s="1008">
        <v>171.036</v>
      </c>
      <c r="L11" s="1008">
        <f>12863.34+1730.05</f>
        <v>14593.39</v>
      </c>
      <c r="M11" s="1008">
        <f>+L2</f>
        <v>0</v>
      </c>
      <c r="N11" s="1008">
        <f>8401.4484+1237.24</f>
        <v>9638.6884</v>
      </c>
      <c r="O11" s="1008">
        <f>(E11+G11+H11+I11+J11+K11+L11+M11+N11)*0.332</f>
        <v>124388.09090080002</v>
      </c>
      <c r="P11" s="1008">
        <f t="shared" si="1"/>
        <v>499051.01530080003</v>
      </c>
      <c r="Q11" s="1009"/>
    </row>
    <row r="12" spans="2:17" ht="12">
      <c r="B12" s="1005">
        <v>5</v>
      </c>
      <c r="C12" s="1006" t="s">
        <v>579</v>
      </c>
      <c r="D12" s="1006">
        <v>2</v>
      </c>
      <c r="E12" s="1007">
        <v>86436.84</v>
      </c>
      <c r="F12" s="1008">
        <v>5391.360000000001</v>
      </c>
      <c r="G12" s="1008">
        <f>+F12+1933.85</f>
        <v>7325.210000000001</v>
      </c>
      <c r="H12" s="1008">
        <v>21555.920000000002</v>
      </c>
      <c r="I12" s="861">
        <f t="shared" si="0"/>
        <v>1846.4999999999998</v>
      </c>
      <c r="J12" s="1008"/>
      <c r="K12" s="1008">
        <v>50.004000000000005</v>
      </c>
      <c r="L12" s="1008">
        <v>251.52000000000004</v>
      </c>
      <c r="M12" s="1008"/>
      <c r="N12" s="1008">
        <v>252</v>
      </c>
      <c r="O12" s="1008">
        <f>(E12+G12+H12+I12+J12+K12+L12+M12+N12)*0.332</f>
        <v>39082.374008000006</v>
      </c>
      <c r="P12" s="1008">
        <f t="shared" si="1"/>
        <v>156800.36800800002</v>
      </c>
      <c r="Q12" s="1009"/>
    </row>
    <row r="13" spans="2:17" ht="12">
      <c r="B13" s="1005">
        <v>1</v>
      </c>
      <c r="C13" s="1006" t="s">
        <v>580</v>
      </c>
      <c r="D13" s="1006">
        <v>3</v>
      </c>
      <c r="E13" s="1007">
        <f>(967.93-48.17)*12</f>
        <v>11037.119999999999</v>
      </c>
      <c r="F13" s="1008">
        <f>48.17*12</f>
        <v>578.04</v>
      </c>
      <c r="G13" s="1008">
        <f>+F13+650.87</f>
        <v>1228.9099999999999</v>
      </c>
      <c r="H13" s="1008">
        <v>2886.72</v>
      </c>
      <c r="I13" s="861">
        <f t="shared" si="0"/>
        <v>369.29999999999995</v>
      </c>
      <c r="J13" s="1008"/>
      <c r="K13" s="1008"/>
      <c r="L13" s="1008"/>
      <c r="M13" s="1008"/>
      <c r="N13" s="1008"/>
      <c r="O13" s="1008">
        <f>(E13+G13+H13+I13+J13+K13+L13+M13+N13)*0.332</f>
        <v>5153.320599999999</v>
      </c>
      <c r="P13" s="1008">
        <f t="shared" si="1"/>
        <v>20675.370599999995</v>
      </c>
      <c r="Q13" s="1009"/>
    </row>
    <row r="14" spans="2:17" ht="12">
      <c r="B14" s="1005">
        <v>2</v>
      </c>
      <c r="C14" s="1006" t="s">
        <v>581</v>
      </c>
      <c r="D14" s="1006">
        <v>3</v>
      </c>
      <c r="E14" s="1007">
        <f>+(2*1439.14)*12</f>
        <v>34539.36</v>
      </c>
      <c r="F14" s="1008">
        <f>(214.18+285.57)*12</f>
        <v>5997</v>
      </c>
      <c r="G14" s="1008">
        <f>+F14</f>
        <v>5997</v>
      </c>
      <c r="H14" s="1008">
        <f>(1274.4+1205.4)*4</f>
        <v>9919.2</v>
      </c>
      <c r="I14" s="861">
        <f t="shared" si="0"/>
        <v>738.5999999999999</v>
      </c>
      <c r="J14" s="1008"/>
      <c r="K14" s="1008"/>
      <c r="L14" s="1008"/>
      <c r="M14" s="1008"/>
      <c r="N14" s="1008"/>
      <c r="O14" s="1008">
        <f>(E14+G14+H14+I14+J14+K14+L14+M14+N14)*0.332</f>
        <v>16996.46112</v>
      </c>
      <c r="P14" s="1008">
        <f t="shared" si="1"/>
        <v>68190.62112</v>
      </c>
      <c r="Q14" s="1009"/>
    </row>
    <row r="15" spans="2:17" ht="12">
      <c r="B15" s="1005">
        <v>4</v>
      </c>
      <c r="C15" s="1006" t="s">
        <v>582</v>
      </c>
      <c r="D15" s="1006">
        <v>3</v>
      </c>
      <c r="E15" s="1007">
        <v>66112.53333333334</v>
      </c>
      <c r="F15" s="1008">
        <v>11516.400000000001</v>
      </c>
      <c r="G15" s="1008">
        <f>+F15+468.45</f>
        <v>11984.850000000002</v>
      </c>
      <c r="H15" s="1008">
        <v>19722.64</v>
      </c>
      <c r="I15" s="861">
        <f t="shared" si="0"/>
        <v>1477.1999999999998</v>
      </c>
      <c r="J15" s="1008"/>
      <c r="K15" s="1008">
        <v>72.52799999999999</v>
      </c>
      <c r="L15" s="1008">
        <v>0</v>
      </c>
      <c r="M15" s="1008"/>
      <c r="N15" s="1008">
        <v>396</v>
      </c>
      <c r="O15" s="1008">
        <f>(E15+G15+H15+I15+J15+K15+L15+M15+N15)*0.309</f>
        <v>30827.617162000006</v>
      </c>
      <c r="P15" s="1008">
        <f t="shared" si="1"/>
        <v>130593.36849533336</v>
      </c>
      <c r="Q15" s="1009"/>
    </row>
    <row r="16" spans="2:17" ht="12">
      <c r="B16" s="1005">
        <v>8</v>
      </c>
      <c r="C16" s="1006" t="s">
        <v>583</v>
      </c>
      <c r="D16" s="1006">
        <v>3</v>
      </c>
      <c r="E16" s="1007">
        <f>18254.6*B16</f>
        <v>146036.8</v>
      </c>
      <c r="F16" s="1008">
        <v>21237.840000000004</v>
      </c>
      <c r="G16" s="1008">
        <f>+F16+2677.81</f>
        <v>23915.650000000005</v>
      </c>
      <c r="H16" s="1008">
        <v>42645.12</v>
      </c>
      <c r="I16" s="861">
        <f t="shared" si="0"/>
        <v>2954.3999999999996</v>
      </c>
      <c r="J16" s="1008"/>
      <c r="K16" s="1008">
        <v>102.88799999999999</v>
      </c>
      <c r="L16" s="1008">
        <v>3684.768</v>
      </c>
      <c r="M16" s="1008">
        <v>162.48000000000002</v>
      </c>
      <c r="N16" s="1008">
        <v>216</v>
      </c>
      <c r="O16" s="1008">
        <f aca="true" t="shared" si="2" ref="O16:O21">(E16+G16+H16+I16+J16+K16+L16+M16+N16)*0.332</f>
        <v>72946.411192</v>
      </c>
      <c r="P16" s="1008">
        <f t="shared" si="1"/>
        <v>292664.517192</v>
      </c>
      <c r="Q16" s="1009"/>
    </row>
    <row r="17" spans="2:17" ht="12">
      <c r="B17" s="1005">
        <v>2</v>
      </c>
      <c r="C17" s="1006" t="s">
        <v>584</v>
      </c>
      <c r="D17" s="1006">
        <v>4</v>
      </c>
      <c r="E17" s="1010">
        <f>(19180.22)*2</f>
        <v>38360.44</v>
      </c>
      <c r="F17" s="1011">
        <v>3212.6400000000003</v>
      </c>
      <c r="G17" s="1011">
        <f>+F17</f>
        <v>3212.6400000000003</v>
      </c>
      <c r="H17" s="1011">
        <f>((42.48*30)*2)*4</f>
        <v>10195.199999999999</v>
      </c>
      <c r="I17" s="861">
        <f t="shared" si="0"/>
        <v>738.5999999999999</v>
      </c>
      <c r="J17" s="1008"/>
      <c r="K17" s="1008">
        <v>0</v>
      </c>
      <c r="L17" s="1008">
        <f>1721.088+1066.72</f>
        <v>2787.808</v>
      </c>
      <c r="M17" s="1008">
        <v>85.00800000000001</v>
      </c>
      <c r="N17" s="1008">
        <v>1447.2414</v>
      </c>
      <c r="O17" s="1008">
        <f t="shared" si="2"/>
        <v>18866.5432168</v>
      </c>
      <c r="P17" s="1008">
        <f t="shared" si="1"/>
        <v>75693.48061679999</v>
      </c>
      <c r="Q17" s="1009"/>
    </row>
    <row r="18" spans="2:17" ht="12">
      <c r="B18" s="1005">
        <v>5</v>
      </c>
      <c r="C18" s="1006" t="s">
        <v>585</v>
      </c>
      <c r="D18" s="1006">
        <v>4</v>
      </c>
      <c r="E18" s="1007">
        <v>83910.6</v>
      </c>
      <c r="F18" s="1008">
        <v>19897.92</v>
      </c>
      <c r="G18" s="1008">
        <f>+F18+100.63</f>
        <v>19998.55</v>
      </c>
      <c r="H18" s="1012">
        <v>19827.86</v>
      </c>
      <c r="I18" s="861">
        <f t="shared" si="0"/>
        <v>1846.4999999999998</v>
      </c>
      <c r="J18" s="1008"/>
      <c r="K18" s="1008"/>
      <c r="L18" s="1008"/>
      <c r="M18" s="1008">
        <v>1735.6199999999997</v>
      </c>
      <c r="N18" s="1008"/>
      <c r="O18" s="1008">
        <f t="shared" si="2"/>
        <v>42269.951160000004</v>
      </c>
      <c r="P18" s="1008">
        <f t="shared" si="1"/>
        <v>169589.08116</v>
      </c>
      <c r="Q18" s="1009"/>
    </row>
    <row r="19" spans="2:17" ht="12">
      <c r="B19" s="1005">
        <v>1</v>
      </c>
      <c r="C19" s="1006" t="s">
        <v>586</v>
      </c>
      <c r="D19" s="1006">
        <v>4</v>
      </c>
      <c r="E19" s="1007">
        <v>16922.3</v>
      </c>
      <c r="F19" s="1008">
        <v>2521.7850000000003</v>
      </c>
      <c r="G19" s="1008">
        <f>+F19</f>
        <v>2521.7850000000003</v>
      </c>
      <c r="H19" s="1007">
        <v>3992.5600000000004</v>
      </c>
      <c r="I19" s="861">
        <f t="shared" si="0"/>
        <v>369.29999999999995</v>
      </c>
      <c r="J19" s="1008"/>
      <c r="K19" s="1008">
        <v>54.012</v>
      </c>
      <c r="L19" s="1008"/>
      <c r="M19" s="1008"/>
      <c r="N19" s="1008"/>
      <c r="O19" s="1008">
        <f t="shared" si="2"/>
        <v>7921.505724</v>
      </c>
      <c r="P19" s="1008">
        <f t="shared" si="1"/>
        <v>31781.462723999997</v>
      </c>
      <c r="Q19" s="1009"/>
    </row>
    <row r="20" spans="2:17" ht="12">
      <c r="B20" s="1005">
        <v>1059</v>
      </c>
      <c r="C20" s="1006" t="s">
        <v>587</v>
      </c>
      <c r="D20" s="1006">
        <v>4</v>
      </c>
      <c r="E20" s="1007">
        <f>19419.85*B20</f>
        <v>20565621.15</v>
      </c>
      <c r="F20" s="1008">
        <v>2653056</v>
      </c>
      <c r="G20" s="1008">
        <f>+F20+78470.35</f>
        <v>2731526.35</v>
      </c>
      <c r="H20" s="1011">
        <f>5088517.68+26442.66</f>
        <v>5114960.34</v>
      </c>
      <c r="I20" s="861">
        <f t="shared" si="0"/>
        <v>391088.69999999995</v>
      </c>
      <c r="J20" s="1008">
        <v>120087</v>
      </c>
      <c r="K20" s="1008">
        <f>164706.94692+18826.57</f>
        <v>183533.51692</v>
      </c>
      <c r="L20" s="1008">
        <f>22490.676+277.88</f>
        <v>22768.556</v>
      </c>
      <c r="M20" s="1008">
        <v>117630.40800000001</v>
      </c>
      <c r="N20" s="1008">
        <f>263431.476+63282.79</f>
        <v>326714.266</v>
      </c>
      <c r="O20" s="1008">
        <f t="shared" si="2"/>
        <v>9818544.85525744</v>
      </c>
      <c r="P20" s="1008">
        <f t="shared" si="1"/>
        <v>39392475.14217744</v>
      </c>
      <c r="Q20" s="1009"/>
    </row>
    <row r="21" spans="2:17" ht="12">
      <c r="B21" s="1005">
        <v>1</v>
      </c>
      <c r="C21" s="1006" t="s">
        <v>588</v>
      </c>
      <c r="D21" s="1006">
        <v>4</v>
      </c>
      <c r="E21" s="1007">
        <f>(1709.28*12)+1197.19</f>
        <v>21708.55</v>
      </c>
      <c r="F21" s="1008">
        <f>142.79*12</f>
        <v>1713.48</v>
      </c>
      <c r="G21" s="1008">
        <f>+F21+658.27</f>
        <v>2371.75</v>
      </c>
      <c r="H21" s="1008">
        <v>4545.7</v>
      </c>
      <c r="I21" s="861">
        <f t="shared" si="0"/>
        <v>369.29999999999995</v>
      </c>
      <c r="J21" s="1008"/>
      <c r="K21" s="1008"/>
      <c r="L21" s="1008"/>
      <c r="M21" s="1008"/>
      <c r="N21" s="1008"/>
      <c r="O21" s="1008">
        <f t="shared" si="2"/>
        <v>9626.4396</v>
      </c>
      <c r="P21" s="1008">
        <f t="shared" si="1"/>
        <v>38621.7396</v>
      </c>
      <c r="Q21" s="1009"/>
    </row>
    <row r="22" spans="2:17" ht="12">
      <c r="B22" s="1005">
        <v>2</v>
      </c>
      <c r="C22" s="1006" t="s">
        <v>589</v>
      </c>
      <c r="D22" s="1006">
        <v>4</v>
      </c>
      <c r="E22" s="1007">
        <v>25814.144999999997</v>
      </c>
      <c r="F22" s="1008">
        <v>1975.92</v>
      </c>
      <c r="G22" s="1008">
        <f>+F22+141.87</f>
        <v>2117.79</v>
      </c>
      <c r="H22" s="1008">
        <v>6773.48</v>
      </c>
      <c r="I22" s="861">
        <f t="shared" si="0"/>
        <v>738.5999999999999</v>
      </c>
      <c r="J22" s="1008"/>
      <c r="K22" s="1008"/>
      <c r="L22" s="1008"/>
      <c r="M22" s="1008"/>
      <c r="N22" s="1008"/>
      <c r="O22" s="1008">
        <f>(E22+G22+H22+I22+J22+K22+L22+M22+N22)*0.309</f>
        <v>10952.200634999997</v>
      </c>
      <c r="P22" s="1008">
        <f t="shared" si="1"/>
        <v>46396.215634999986</v>
      </c>
      <c r="Q22" s="1009" t="s">
        <v>577</v>
      </c>
    </row>
    <row r="23" spans="2:17" ht="12">
      <c r="B23" s="1005">
        <v>7</v>
      </c>
      <c r="C23" s="1006" t="s">
        <v>590</v>
      </c>
      <c r="D23" s="1006">
        <v>4</v>
      </c>
      <c r="E23" s="1007">
        <f>20637.02*B23</f>
        <v>144459.14</v>
      </c>
      <c r="F23" s="1008">
        <v>23214.24</v>
      </c>
      <c r="G23" s="1008">
        <f>+F23+1585.9</f>
        <v>24800.140000000003</v>
      </c>
      <c r="H23" s="1011">
        <v>35962.36000000001</v>
      </c>
      <c r="I23" s="861">
        <f t="shared" si="0"/>
        <v>2585.0999999999995</v>
      </c>
      <c r="J23" s="1008"/>
      <c r="K23" s="1008">
        <v>1818.816</v>
      </c>
      <c r="L23" s="1008"/>
      <c r="M23" s="1008"/>
      <c r="N23" s="1008"/>
      <c r="O23" s="1008">
        <f>(E23+G23+H23+I23+J23+K23+L23+M23+N23)*0.332</f>
        <v>69595.68459200002</v>
      </c>
      <c r="P23" s="1008">
        <f t="shared" si="1"/>
        <v>279221.2405920001</v>
      </c>
      <c r="Q23" s="1009"/>
    </row>
    <row r="24" spans="2:17" ht="12">
      <c r="B24" s="1005">
        <v>17</v>
      </c>
      <c r="C24" s="1006" t="s">
        <v>591</v>
      </c>
      <c r="D24" s="1006">
        <v>4</v>
      </c>
      <c r="E24" s="1007">
        <f>19254.19*B24</f>
        <v>327321.23</v>
      </c>
      <c r="F24" s="1008">
        <v>38137.68</v>
      </c>
      <c r="G24" s="1008">
        <f>+F24</f>
        <v>38137.68</v>
      </c>
      <c r="H24" s="1008">
        <f>68608.4+11977.68</f>
        <v>80586.07999999999</v>
      </c>
      <c r="I24" s="861">
        <f t="shared" si="0"/>
        <v>6278.099999999999</v>
      </c>
      <c r="J24" s="1008"/>
      <c r="K24" s="1008">
        <v>0</v>
      </c>
      <c r="L24" s="1008">
        <v>0</v>
      </c>
      <c r="M24" s="1008">
        <v>1781.64</v>
      </c>
      <c r="N24" s="1008">
        <v>612</v>
      </c>
      <c r="O24" s="1008">
        <f>(E24+G24+H24+I24+J24+K24+L24+M24+N24)*0.309</f>
        <v>140507.46957</v>
      </c>
      <c r="P24" s="1008">
        <f t="shared" si="1"/>
        <v>595224.1995699999</v>
      </c>
      <c r="Q24" s="1009"/>
    </row>
    <row r="25" spans="2:17" ht="12">
      <c r="B25" s="1005">
        <v>4</v>
      </c>
      <c r="C25" s="1006" t="s">
        <v>592</v>
      </c>
      <c r="D25" s="1006">
        <v>4</v>
      </c>
      <c r="E25" s="1007">
        <f>17323.08*B25</f>
        <v>69292.32</v>
      </c>
      <c r="F25" s="1008">
        <v>8290.800000000001</v>
      </c>
      <c r="G25" s="1008">
        <f>+F25+471.38</f>
        <v>8762.18</v>
      </c>
      <c r="H25" s="1008">
        <v>18733.839999999997</v>
      </c>
      <c r="I25" s="861">
        <f t="shared" si="0"/>
        <v>1477.1999999999998</v>
      </c>
      <c r="J25" s="1008"/>
      <c r="K25" s="1008"/>
      <c r="L25" s="1008"/>
      <c r="M25" s="1008"/>
      <c r="N25" s="1008"/>
      <c r="O25" s="1008">
        <f>(E25+G25+H25+I25+J25+K25+L25+M25+N25)*0.332</f>
        <v>32624.15928</v>
      </c>
      <c r="P25" s="1008">
        <f t="shared" si="1"/>
        <v>130889.69928</v>
      </c>
      <c r="Q25" s="1009"/>
    </row>
    <row r="26" spans="2:17" ht="12">
      <c r="B26" s="1005">
        <v>104</v>
      </c>
      <c r="C26" s="1006" t="s">
        <v>593</v>
      </c>
      <c r="D26" s="1006">
        <v>4</v>
      </c>
      <c r="E26" s="1007">
        <f>18372.26*B26</f>
        <v>1910715.0399999998</v>
      </c>
      <c r="F26" s="1008">
        <v>227997</v>
      </c>
      <c r="G26" s="1008">
        <f>+F26+22773.12</f>
        <v>250770.12</v>
      </c>
      <c r="H26" s="1008">
        <v>491225.24</v>
      </c>
      <c r="I26" s="861">
        <f t="shared" si="0"/>
        <v>38407.2</v>
      </c>
      <c r="J26" s="1008"/>
      <c r="K26" s="1008">
        <v>597.4200000000001</v>
      </c>
      <c r="L26" s="1008">
        <f>17580.06+490</f>
        <v>18070.06</v>
      </c>
      <c r="M26" s="1008">
        <v>7526.879999999999</v>
      </c>
      <c r="N26" s="1008">
        <v>1530</v>
      </c>
      <c r="O26" s="1008">
        <f>(E26+G26+H26+I26+J26+K26+L26+M26+N26)*0.332</f>
        <v>902655.5307199999</v>
      </c>
      <c r="P26" s="1008">
        <f t="shared" si="1"/>
        <v>3621497.490719999</v>
      </c>
      <c r="Q26" s="1009"/>
    </row>
    <row r="27" spans="2:17" ht="12">
      <c r="B27" s="1005">
        <v>8</v>
      </c>
      <c r="C27" s="1006" t="s">
        <v>594</v>
      </c>
      <c r="D27" s="1006">
        <v>4</v>
      </c>
      <c r="E27" s="1008">
        <f>17064.25*B27</f>
        <v>136514</v>
      </c>
      <c r="F27" s="1008">
        <v>18097.199999999997</v>
      </c>
      <c r="G27" s="1008">
        <f>+F27+1305.5</f>
        <v>19402.699999999997</v>
      </c>
      <c r="H27" s="1008">
        <v>37800.08</v>
      </c>
      <c r="I27" s="861">
        <f t="shared" si="0"/>
        <v>2954.3999999999996</v>
      </c>
      <c r="J27" s="1008"/>
      <c r="K27" s="1008"/>
      <c r="L27" s="1008"/>
      <c r="M27" s="1008">
        <v>69.05999999999999</v>
      </c>
      <c r="N27" s="1008"/>
      <c r="O27" s="1008">
        <f>(E27+G27+H27+I27+J27+K27+L27+M27+N27)*0.332</f>
        <v>65317.75968000001</v>
      </c>
      <c r="P27" s="1008">
        <f t="shared" si="1"/>
        <v>262057.99968000004</v>
      </c>
      <c r="Q27" s="1009"/>
    </row>
    <row r="28" spans="2:17" ht="12">
      <c r="B28" s="1005">
        <v>15</v>
      </c>
      <c r="C28" s="1006" t="s">
        <v>595</v>
      </c>
      <c r="D28" s="1006">
        <v>4</v>
      </c>
      <c r="E28" s="1007">
        <f>19573.46*B28</f>
        <v>293601.89999999997</v>
      </c>
      <c r="F28" s="1008">
        <v>43941.24</v>
      </c>
      <c r="G28" s="1008">
        <f>+F28+1779.6</f>
        <v>45720.84</v>
      </c>
      <c r="H28" s="1008">
        <v>74535.48</v>
      </c>
      <c r="I28" s="861">
        <f t="shared" si="0"/>
        <v>5539.499999999999</v>
      </c>
      <c r="J28" s="1008"/>
      <c r="K28" s="1008">
        <v>230.436</v>
      </c>
      <c r="L28" s="1008">
        <v>0</v>
      </c>
      <c r="M28" s="1008">
        <v>1327.68</v>
      </c>
      <c r="N28" s="1008">
        <v>900</v>
      </c>
      <c r="O28" s="1008">
        <f>(E28+G28+H28+I28+J28+K28+L28+M28+N28)*0.332</f>
        <v>140056.137552</v>
      </c>
      <c r="P28" s="1008">
        <f t="shared" si="1"/>
        <v>561911.973552</v>
      </c>
      <c r="Q28" s="1009"/>
    </row>
    <row r="29" spans="2:17" ht="12">
      <c r="B29" s="1005">
        <v>3</v>
      </c>
      <c r="C29" s="1006" t="s">
        <v>596</v>
      </c>
      <c r="D29" s="1013">
        <v>5</v>
      </c>
      <c r="E29" s="1007">
        <f>(1739.57*12)*3</f>
        <v>62624.520000000004</v>
      </c>
      <c r="F29" s="1007">
        <f>696*16</f>
        <v>11136</v>
      </c>
      <c r="G29" s="1014">
        <f>+F29+380.56</f>
        <v>11516.56</v>
      </c>
      <c r="H29" s="1008">
        <f>(4012.96)*B29</f>
        <v>12038.880000000001</v>
      </c>
      <c r="I29" s="861">
        <f t="shared" si="0"/>
        <v>1107.8999999999999</v>
      </c>
      <c r="J29" s="1014"/>
      <c r="K29" s="1008"/>
      <c r="L29" s="1008"/>
      <c r="M29" s="1008"/>
      <c r="N29" s="1008"/>
      <c r="O29" s="1008">
        <f>(E29+G29+H29+I29+J29+K29+L29+M29+N29)*0.309</f>
        <v>26971.94874</v>
      </c>
      <c r="P29" s="1008">
        <f t="shared" si="1"/>
        <v>114259.80874000001</v>
      </c>
      <c r="Q29" s="1009"/>
    </row>
    <row r="30" spans="2:17" ht="12">
      <c r="B30" s="1005">
        <v>1</v>
      </c>
      <c r="C30" s="1006" t="s">
        <v>597</v>
      </c>
      <c r="D30" s="1006">
        <v>5</v>
      </c>
      <c r="E30" s="1007">
        <f>1657.57*12</f>
        <v>19890.84</v>
      </c>
      <c r="F30" s="1008">
        <f>287.68*12</f>
        <v>3452.16</v>
      </c>
      <c r="G30" s="1008">
        <f>+F30</f>
        <v>3452.16</v>
      </c>
      <c r="H30" s="1008">
        <v>5126.4</v>
      </c>
      <c r="I30" s="861">
        <f t="shared" si="0"/>
        <v>369.29999999999995</v>
      </c>
      <c r="J30" s="1008"/>
      <c r="K30" s="1008">
        <v>1621.944</v>
      </c>
      <c r="L30" s="1008">
        <v>8.964</v>
      </c>
      <c r="M30" s="1008"/>
      <c r="N30" s="1008">
        <v>18.000000000000036</v>
      </c>
      <c r="O30" s="1008">
        <f>(E30+G30+H30+I30+J30+K30+L30+M30+N30)*0.332</f>
        <v>10121.885856</v>
      </c>
      <c r="P30" s="1008">
        <f t="shared" si="1"/>
        <v>40609.493856</v>
      </c>
      <c r="Q30" s="1009"/>
    </row>
    <row r="31" spans="2:17" ht="12">
      <c r="B31" s="1005">
        <v>1</v>
      </c>
      <c r="C31" s="1006" t="s">
        <v>598</v>
      </c>
      <c r="D31" s="1006">
        <v>5</v>
      </c>
      <c r="E31" s="1007">
        <f>(1285.83*12)+1197.19</f>
        <v>16627.149999999998</v>
      </c>
      <c r="F31" s="1007">
        <f>139.2*12</f>
        <v>1670.3999999999999</v>
      </c>
      <c r="G31" s="1008">
        <f>+F31</f>
        <v>1670.3999999999999</v>
      </c>
      <c r="H31" s="1008">
        <v>4569.76</v>
      </c>
      <c r="I31" s="861">
        <f t="shared" si="0"/>
        <v>369.29999999999995</v>
      </c>
      <c r="J31" s="1008"/>
      <c r="K31" s="1008"/>
      <c r="L31" s="1008"/>
      <c r="M31" s="1008">
        <v>352.512</v>
      </c>
      <c r="N31" s="1008"/>
      <c r="O31" s="1008">
        <f>(E31+G31+H31+I31+J31+K31+L31+M31+N31)*0.332</f>
        <v>7831.588503999999</v>
      </c>
      <c r="P31" s="1008">
        <f t="shared" si="1"/>
        <v>31420.710503999995</v>
      </c>
      <c r="Q31" s="1009"/>
    </row>
    <row r="32" spans="2:17" s="1015" customFormat="1" ht="12">
      <c r="B32" s="1005">
        <v>8</v>
      </c>
      <c r="C32" s="1006" t="s">
        <v>599</v>
      </c>
      <c r="D32" s="1006">
        <v>5</v>
      </c>
      <c r="E32" s="1007">
        <v>158170.80000000002</v>
      </c>
      <c r="F32" s="1007">
        <v>26726.399999999998</v>
      </c>
      <c r="G32" s="1007">
        <f>+F32</f>
        <v>26726.399999999998</v>
      </c>
      <c r="H32" s="1007">
        <v>41012.48</v>
      </c>
      <c r="I32" s="861">
        <f t="shared" si="0"/>
        <v>2954.3999999999996</v>
      </c>
      <c r="J32" s="1008"/>
      <c r="K32" s="1008"/>
      <c r="L32" s="1008"/>
      <c r="M32" s="1008">
        <v>1278.684</v>
      </c>
      <c r="N32" s="1008"/>
      <c r="O32" s="1008">
        <f>(E32+G32+H32+I32+J32+K32+L32+M32+N32)*0.332</f>
        <v>76407.39764800001</v>
      </c>
      <c r="P32" s="1008">
        <f t="shared" si="1"/>
        <v>306550.161648</v>
      </c>
      <c r="Q32" s="1009"/>
    </row>
    <row r="33" spans="2:17" ht="12">
      <c r="B33" s="1005">
        <v>3</v>
      </c>
      <c r="C33" s="1006" t="s">
        <v>600</v>
      </c>
      <c r="D33" s="1006">
        <v>5</v>
      </c>
      <c r="E33" s="1007">
        <v>62351.64</v>
      </c>
      <c r="F33" s="1007">
        <v>8352</v>
      </c>
      <c r="G33" s="1008">
        <f>+F33+195.89</f>
        <v>8547.89</v>
      </c>
      <c r="H33" s="1008">
        <v>14091.52</v>
      </c>
      <c r="I33" s="861">
        <f t="shared" si="0"/>
        <v>1107.8999999999999</v>
      </c>
      <c r="J33" s="1008"/>
      <c r="K33" s="1008">
        <v>1231.488</v>
      </c>
      <c r="L33" s="1008">
        <v>0</v>
      </c>
      <c r="M33" s="1008"/>
      <c r="N33" s="1008">
        <v>54</v>
      </c>
      <c r="O33" s="1008">
        <f>(E33+G33+H33+I33+J33+K33+L33+M33+N33)*0.309</f>
        <v>27001.791341999997</v>
      </c>
      <c r="P33" s="1008">
        <f t="shared" si="1"/>
        <v>114386.22934199999</v>
      </c>
      <c r="Q33" s="1009"/>
    </row>
    <row r="34" spans="2:17" ht="12">
      <c r="B34" s="1005">
        <v>18</v>
      </c>
      <c r="C34" s="1006" t="s">
        <v>601</v>
      </c>
      <c r="D34" s="1006">
        <v>5</v>
      </c>
      <c r="E34" s="1007">
        <f>23187.39*B34</f>
        <v>417373.02</v>
      </c>
      <c r="F34" s="1008">
        <v>45936</v>
      </c>
      <c r="G34" s="1008">
        <f>+F34+1949.75</f>
        <v>47885.75</v>
      </c>
      <c r="H34" s="1007">
        <v>75506.4</v>
      </c>
      <c r="I34" s="861">
        <f t="shared" si="0"/>
        <v>6647.4</v>
      </c>
      <c r="J34" s="1008"/>
      <c r="K34" s="1008">
        <v>201.27599999999998</v>
      </c>
      <c r="L34" s="1008">
        <v>7189.128</v>
      </c>
      <c r="M34" s="1008">
        <v>1318.6919999999998</v>
      </c>
      <c r="N34" s="1008">
        <v>4468.344840000001</v>
      </c>
      <c r="O34" s="1008">
        <f>(E34+G34+H34+I34+J34+K34+L34+M34+N34)*0.332</f>
        <v>186115.88359888006</v>
      </c>
      <c r="P34" s="1008">
        <f t="shared" si="1"/>
        <v>746705.8944388801</v>
      </c>
      <c r="Q34" s="1009"/>
    </row>
    <row r="35" spans="2:17" ht="12">
      <c r="B35" s="1005">
        <v>4</v>
      </c>
      <c r="C35" s="1006" t="s">
        <v>602</v>
      </c>
      <c r="D35" s="1006">
        <v>5</v>
      </c>
      <c r="E35" s="1007">
        <v>70467.006</v>
      </c>
      <c r="F35" s="1008">
        <v>13725.119999999999</v>
      </c>
      <c r="G35" s="1008">
        <f>+F35</f>
        <v>13725.119999999999</v>
      </c>
      <c r="H35" s="1008">
        <v>16613.920000000002</v>
      </c>
      <c r="I35" s="861">
        <f t="shared" si="0"/>
        <v>1477.1999999999998</v>
      </c>
      <c r="J35" s="1008"/>
      <c r="K35" s="1008"/>
      <c r="L35" s="1008"/>
      <c r="M35" s="1008">
        <v>6615.432000000001</v>
      </c>
      <c r="N35" s="1008"/>
      <c r="O35" s="1008">
        <f>(E35+G35+H35+I35+J35+K35+L35+M35+N35)*0.332</f>
        <v>36154.361096</v>
      </c>
      <c r="P35" s="1008">
        <f t="shared" si="1"/>
        <v>145053.039096</v>
      </c>
      <c r="Q35" s="1009"/>
    </row>
    <row r="36" spans="2:17" ht="12">
      <c r="B36" s="1005">
        <v>2</v>
      </c>
      <c r="C36" s="1006" t="s">
        <v>603</v>
      </c>
      <c r="D36" s="1006">
        <v>5</v>
      </c>
      <c r="E36" s="1010">
        <v>32837.04</v>
      </c>
      <c r="F36" s="1011">
        <v>6464.400000000001</v>
      </c>
      <c r="G36" s="1011">
        <f>+F36</f>
        <v>6464.400000000001</v>
      </c>
      <c r="H36" s="1011">
        <v>9763.119999999999</v>
      </c>
      <c r="I36" s="861">
        <f t="shared" si="0"/>
        <v>738.5999999999999</v>
      </c>
      <c r="J36" s="1008"/>
      <c r="K36" s="1008"/>
      <c r="L36" s="1008"/>
      <c r="M36" s="1008">
        <v>174.552</v>
      </c>
      <c r="N36" s="1008"/>
      <c r="O36" s="1008">
        <f>(E36+G36+H36+I36+J36+K36+L36+M36+N36)*0.309</f>
        <v>15443.113008</v>
      </c>
      <c r="P36" s="1008">
        <f t="shared" si="1"/>
        <v>65420.825008</v>
      </c>
      <c r="Q36" s="1009"/>
    </row>
    <row r="37" spans="2:17" ht="12">
      <c r="B37" s="1005">
        <v>4</v>
      </c>
      <c r="C37" s="1006" t="s">
        <v>604</v>
      </c>
      <c r="D37" s="1006">
        <v>5</v>
      </c>
      <c r="E37" s="1007">
        <f>19771.35*B37</f>
        <v>79085.4</v>
      </c>
      <c r="F37" s="1008">
        <v>15868.800000000001</v>
      </c>
      <c r="G37" s="1008">
        <f>+F37+935.24</f>
        <v>16804.04</v>
      </c>
      <c r="H37" s="1008">
        <v>21170.807741935485</v>
      </c>
      <c r="I37" s="861">
        <f t="shared" si="0"/>
        <v>1477.1999999999998</v>
      </c>
      <c r="J37" s="1008"/>
      <c r="K37" s="1008">
        <v>1644.4920000000002</v>
      </c>
      <c r="L37" s="1008"/>
      <c r="M37" s="1008"/>
      <c r="N37" s="1008"/>
      <c r="O37" s="1008">
        <f>(E37+G37+H37+I37+J37+K37+L37+M37+N37)*0.332</f>
        <v>39900.40399432258</v>
      </c>
      <c r="P37" s="1008">
        <f t="shared" si="1"/>
        <v>160082.34373625804</v>
      </c>
      <c r="Q37" s="1009"/>
    </row>
    <row r="38" spans="2:17" ht="12">
      <c r="B38" s="1005">
        <v>36</v>
      </c>
      <c r="C38" s="1006" t="s">
        <v>605</v>
      </c>
      <c r="D38" s="1006">
        <v>5</v>
      </c>
      <c r="E38" s="1007">
        <f>23191.35*B38</f>
        <v>834888.6</v>
      </c>
      <c r="F38" s="1008">
        <v>111916.79999999999</v>
      </c>
      <c r="G38" s="1008">
        <f>+F38+2208.91</f>
        <v>114125.70999999999</v>
      </c>
      <c r="H38" s="1007">
        <v>142875.36</v>
      </c>
      <c r="I38" s="861">
        <f t="shared" si="0"/>
        <v>13294.8</v>
      </c>
      <c r="J38" s="1008">
        <v>10572.7</v>
      </c>
      <c r="K38" s="1008">
        <f>10119.36+4129.43</f>
        <v>14248.79</v>
      </c>
      <c r="L38" s="1008">
        <f>35.856+8.96</f>
        <v>44.816</v>
      </c>
      <c r="M38" s="1008">
        <v>6520.584</v>
      </c>
      <c r="N38" s="1008">
        <v>929.9999999999991</v>
      </c>
      <c r="O38" s="1008">
        <f>(E38+G38+H38+I38+J38+K38+L38+M38+N38)*0.332</f>
        <v>377650.45152000006</v>
      </c>
      <c r="P38" s="1008">
        <f t="shared" si="1"/>
        <v>1515151.8115200002</v>
      </c>
      <c r="Q38" s="1009"/>
    </row>
    <row r="39" spans="2:17" ht="12">
      <c r="B39" s="1005">
        <v>22</v>
      </c>
      <c r="C39" s="1006" t="s">
        <v>606</v>
      </c>
      <c r="D39" s="1006">
        <v>5</v>
      </c>
      <c r="E39" s="1007">
        <f>23191.35*22</f>
        <v>510209.69999999995</v>
      </c>
      <c r="F39" s="1008">
        <v>77673.6</v>
      </c>
      <c r="G39" s="1008">
        <f>+F39+1520.62</f>
        <v>79194.22</v>
      </c>
      <c r="H39" s="1007">
        <v>114255.51999999999</v>
      </c>
      <c r="I39" s="861">
        <f t="shared" si="0"/>
        <v>8124.5999999999985</v>
      </c>
      <c r="J39" s="1008"/>
      <c r="K39" s="1008">
        <v>4727.388</v>
      </c>
      <c r="L39" s="1008">
        <v>2725.056</v>
      </c>
      <c r="M39" s="1008">
        <v>8282.832</v>
      </c>
      <c r="N39" s="1008">
        <v>1314</v>
      </c>
      <c r="O39" s="1008">
        <f>(E39+G39+H39+I39+J39+K39+L39+M39+N39)*0.332</f>
        <v>241972.66091200002</v>
      </c>
      <c r="P39" s="1008">
        <f t="shared" si="1"/>
        <v>970805.976912</v>
      </c>
      <c r="Q39" s="1009"/>
    </row>
    <row r="40" spans="2:17" ht="12">
      <c r="B40" s="1005">
        <v>1</v>
      </c>
      <c r="C40" s="1006" t="s">
        <v>607</v>
      </c>
      <c r="D40" s="1006">
        <v>5</v>
      </c>
      <c r="E40" s="1007">
        <f>(1979.67-359.6)*12</f>
        <v>19440.840000000004</v>
      </c>
      <c r="F40" s="1011">
        <f>+(696*0.5)*12</f>
        <v>4176</v>
      </c>
      <c r="G40" s="1008">
        <f>+F40+1029.76</f>
        <v>5205.76</v>
      </c>
      <c r="H40" s="1008">
        <f>+(359.6+696+307.24)*4</f>
        <v>5451.36</v>
      </c>
      <c r="I40" s="861">
        <f t="shared" si="0"/>
        <v>369.29999999999995</v>
      </c>
      <c r="J40" s="1008"/>
      <c r="K40" s="1008"/>
      <c r="L40" s="1008"/>
      <c r="M40" s="1008"/>
      <c r="N40" s="1008"/>
      <c r="O40" s="1008">
        <f>(E40+G40+H40+I40+J40+K40+L40+M40+N40)*0.332</f>
        <v>10115.130320000002</v>
      </c>
      <c r="P40" s="1008">
        <f t="shared" si="1"/>
        <v>40582.390320000006</v>
      </c>
      <c r="Q40" s="1009"/>
    </row>
    <row r="41" spans="2:17" ht="12">
      <c r="B41" s="1005">
        <v>1</v>
      </c>
      <c r="C41" s="1006" t="s">
        <v>608</v>
      </c>
      <c r="D41" s="1006">
        <v>5</v>
      </c>
      <c r="E41" s="1007">
        <f>(2156.32-278.4)*12</f>
        <v>22535.04</v>
      </c>
      <c r="F41" s="1011">
        <f>+(696*0.4)*12</f>
        <v>3340.8</v>
      </c>
      <c r="G41" s="1008">
        <f>+F41</f>
        <v>3340.8</v>
      </c>
      <c r="H41" s="1008">
        <f>+(696+307.24+278.4)*4</f>
        <v>5126.5599999999995</v>
      </c>
      <c r="I41" s="861">
        <f t="shared" si="0"/>
        <v>369.29999999999995</v>
      </c>
      <c r="J41" s="1008"/>
      <c r="K41" s="1008"/>
      <c r="L41" s="1008"/>
      <c r="M41" s="1008"/>
      <c r="N41" s="1008"/>
      <c r="O41" s="1008">
        <f>(E41+G41+H41+I41+J41+K41+L41+M41+N41)*0.309</f>
        <v>9693.8553</v>
      </c>
      <c r="P41" s="1008">
        <f t="shared" si="1"/>
        <v>41065.5553</v>
      </c>
      <c r="Q41" s="1009"/>
    </row>
    <row r="42" spans="2:17" ht="12">
      <c r="B42" s="1005">
        <v>3</v>
      </c>
      <c r="C42" s="1006" t="s">
        <v>609</v>
      </c>
      <c r="D42" s="1006">
        <v>6</v>
      </c>
      <c r="E42" s="1007">
        <v>91849.2</v>
      </c>
      <c r="F42" s="1008">
        <v>5052.24</v>
      </c>
      <c r="G42" s="1016">
        <f>+F42+1037.42</f>
        <v>6089.66</v>
      </c>
      <c r="H42" s="1008">
        <v>13096.32</v>
      </c>
      <c r="I42" s="861">
        <f t="shared" si="0"/>
        <v>1107.8999999999999</v>
      </c>
      <c r="J42" s="1008"/>
      <c r="K42" s="1008">
        <v>315</v>
      </c>
      <c r="L42" s="1008">
        <v>79.848</v>
      </c>
      <c r="M42" s="1008"/>
      <c r="N42" s="1008">
        <v>378</v>
      </c>
      <c r="O42" s="1008">
        <f>(E42+G42+H42+I42+J42+K42+L42+M42+N42)*0.332</f>
        <v>37488.088096</v>
      </c>
      <c r="P42" s="1008">
        <f t="shared" si="1"/>
        <v>150404.01609599998</v>
      </c>
      <c r="Q42" s="1009"/>
    </row>
    <row r="43" spans="2:17" ht="12">
      <c r="B43" s="1005">
        <v>7</v>
      </c>
      <c r="C43" s="1006" t="s">
        <v>610</v>
      </c>
      <c r="D43" s="1006">
        <v>6</v>
      </c>
      <c r="E43" s="1007">
        <v>180676.44000000003</v>
      </c>
      <c r="F43" s="1008">
        <v>25261.199999999997</v>
      </c>
      <c r="G43" s="1008">
        <f>+F43+196.73</f>
        <v>25457.929999999997</v>
      </c>
      <c r="H43" s="1008">
        <v>36670.72</v>
      </c>
      <c r="I43" s="861">
        <f t="shared" si="0"/>
        <v>2585.0999999999995</v>
      </c>
      <c r="J43" s="1008"/>
      <c r="K43" s="1008">
        <v>7625</v>
      </c>
      <c r="L43" s="1008">
        <v>2029.0919999999999</v>
      </c>
      <c r="M43" s="1008"/>
      <c r="N43" s="1008">
        <v>9150</v>
      </c>
      <c r="O43" s="1008">
        <f>(E43+G43+H43+I43+J43+K43+L43+M43+N43)*0.309</f>
        <v>81636.033138</v>
      </c>
      <c r="P43" s="1008">
        <f t="shared" si="1"/>
        <v>345830.315138</v>
      </c>
      <c r="Q43" s="1009"/>
    </row>
    <row r="44" spans="2:17" ht="12">
      <c r="B44" s="1005">
        <v>7</v>
      </c>
      <c r="C44" s="1006" t="s">
        <v>611</v>
      </c>
      <c r="D44" s="1006">
        <v>6</v>
      </c>
      <c r="E44" s="1007">
        <v>208338.00000000006</v>
      </c>
      <c r="F44" s="1008">
        <v>15998.760000000002</v>
      </c>
      <c r="G44" s="1008">
        <f>+F44+483.14</f>
        <v>16481.9</v>
      </c>
      <c r="H44" s="1008">
        <v>33583.240000000005</v>
      </c>
      <c r="I44" s="861">
        <f t="shared" si="0"/>
        <v>2585.0999999999995</v>
      </c>
      <c r="J44" s="1008"/>
      <c r="K44" s="1008"/>
      <c r="L44" s="1008"/>
      <c r="M44" s="1008"/>
      <c r="N44" s="1008"/>
      <c r="O44" s="1008">
        <f>(E44+G44+H44+I44+J44+K44+L44+M44+N44)*0.309</f>
        <v>80645.36616000002</v>
      </c>
      <c r="P44" s="1008">
        <f t="shared" si="1"/>
        <v>341633.6061600001</v>
      </c>
      <c r="Q44" s="1009"/>
    </row>
    <row r="45" spans="2:17" ht="12">
      <c r="B45" s="1005">
        <v>3</v>
      </c>
      <c r="C45" s="1006" t="s">
        <v>612</v>
      </c>
      <c r="D45" s="1006">
        <v>6</v>
      </c>
      <c r="E45" s="1007">
        <v>87611.52</v>
      </c>
      <c r="F45" s="1008">
        <v>11620.2</v>
      </c>
      <c r="G45" s="1008">
        <f>+F45+759.24</f>
        <v>12379.44</v>
      </c>
      <c r="H45" s="1008">
        <v>15980.68</v>
      </c>
      <c r="I45" s="861">
        <f t="shared" si="0"/>
        <v>1107.8999999999999</v>
      </c>
      <c r="J45" s="1008"/>
      <c r="K45" s="1008"/>
      <c r="L45" s="1008"/>
      <c r="M45" s="1008"/>
      <c r="N45" s="1008"/>
      <c r="O45" s="1008">
        <f>(E45+G45+H45+I45+J45+K45+L45+M45+N45)*0.332</f>
        <v>38870.40728000001</v>
      </c>
      <c r="P45" s="1008">
        <f t="shared" si="1"/>
        <v>155949.94728000002</v>
      </c>
      <c r="Q45" s="1009"/>
    </row>
    <row r="46" spans="2:17" ht="12">
      <c r="B46" s="1005">
        <v>1</v>
      </c>
      <c r="C46" s="1006" t="s">
        <v>613</v>
      </c>
      <c r="D46" s="1006">
        <v>6</v>
      </c>
      <c r="E46" s="1007">
        <f>+(2330.69-210.51)*12</f>
        <v>25442.160000000003</v>
      </c>
      <c r="F46" s="1011">
        <f>+(701.7*0.3)*12</f>
        <v>2526.1200000000003</v>
      </c>
      <c r="G46" s="1008">
        <f>+F46</f>
        <v>2526.1200000000003</v>
      </c>
      <c r="H46" s="1008">
        <f>+(701.7+210.51+307.24)*4</f>
        <v>4877.8</v>
      </c>
      <c r="I46" s="861">
        <f t="shared" si="0"/>
        <v>369.29999999999995</v>
      </c>
      <c r="J46" s="1008"/>
      <c r="K46" s="1008"/>
      <c r="L46" s="1008"/>
      <c r="M46" s="1008"/>
      <c r="N46" s="1008"/>
      <c r="O46" s="1008">
        <f>(E46+G46+H46+I46+J46+K46+L46+M46+N46)*0.309</f>
        <v>10263.552420000002</v>
      </c>
      <c r="P46" s="1008">
        <f t="shared" si="1"/>
        <v>43478.932420000005</v>
      </c>
      <c r="Q46" s="1009"/>
    </row>
    <row r="47" spans="2:17" ht="12">
      <c r="B47" s="1005">
        <v>12</v>
      </c>
      <c r="C47" s="1006" t="s">
        <v>614</v>
      </c>
      <c r="D47" s="1006">
        <v>6</v>
      </c>
      <c r="E47" s="1007">
        <v>330388.06666666665</v>
      </c>
      <c r="F47" s="1008">
        <v>31155.480000000003</v>
      </c>
      <c r="G47" s="1008">
        <f>+F47+1130.4</f>
        <v>32285.880000000005</v>
      </c>
      <c r="H47" s="1007">
        <v>58814.28000000002</v>
      </c>
      <c r="I47" s="861">
        <f t="shared" si="0"/>
        <v>4431.599999999999</v>
      </c>
      <c r="J47" s="1008"/>
      <c r="K47" s="1008"/>
      <c r="L47" s="1008"/>
      <c r="M47" s="1008">
        <v>1971.7440000000001</v>
      </c>
      <c r="N47" s="1008"/>
      <c r="O47" s="1008">
        <f>(E47+G47+H47+I47+J47+K47+L47+M47+N47)*0.309</f>
        <v>132218.495336</v>
      </c>
      <c r="P47" s="1008">
        <f t="shared" si="1"/>
        <v>560110.0660026667</v>
      </c>
      <c r="Q47" s="1009"/>
    </row>
    <row r="48" spans="2:17" ht="12">
      <c r="B48" s="1017">
        <v>6</v>
      </c>
      <c r="C48" s="1018" t="s">
        <v>615</v>
      </c>
      <c r="D48" s="1018">
        <v>7</v>
      </c>
      <c r="E48" s="1019">
        <f>199968.77+39122.02-3516.12</f>
        <v>235574.66999999998</v>
      </c>
      <c r="F48" s="1012">
        <f>565.92*12</f>
        <v>6791.039999999999</v>
      </c>
      <c r="G48" s="1012">
        <f>+F48</f>
        <v>6791.039999999999</v>
      </c>
      <c r="H48" s="1019">
        <f>24726.56+3413.44</f>
        <v>28140</v>
      </c>
      <c r="I48" s="861">
        <f t="shared" si="0"/>
        <v>2215.7999999999997</v>
      </c>
      <c r="J48" s="1012"/>
      <c r="K48" s="1012"/>
      <c r="L48" s="1012"/>
      <c r="M48" s="1012">
        <v>3516.12</v>
      </c>
      <c r="N48" s="1012"/>
      <c r="O48" s="1008">
        <f>(E48+G48+H48+I48+J48+K48+L48+M48+N48)*0.309</f>
        <v>85357.42766999998</v>
      </c>
      <c r="P48" s="1008">
        <f t="shared" si="1"/>
        <v>361595.0576699999</v>
      </c>
      <c r="Q48" s="1009"/>
    </row>
    <row r="49" spans="2:17" ht="12.75" thickBot="1">
      <c r="B49" s="1020">
        <v>19</v>
      </c>
      <c r="C49" s="1021" t="s">
        <v>616</v>
      </c>
      <c r="D49" s="1021">
        <v>7</v>
      </c>
      <c r="E49" s="1022">
        <f>421134.84+118247.15</f>
        <v>539381.99</v>
      </c>
      <c r="F49" s="1023">
        <v>29795.639999999992</v>
      </c>
      <c r="G49" s="1023">
        <f>+F49+1543.21+513.63</f>
        <v>31852.479999999992</v>
      </c>
      <c r="H49" s="1023">
        <f>66751.72+20292.8</f>
        <v>87044.52</v>
      </c>
      <c r="I49" s="1024">
        <f t="shared" si="0"/>
        <v>7016.699999999999</v>
      </c>
      <c r="J49" s="1023"/>
      <c r="K49" s="1023"/>
      <c r="L49" s="1023"/>
      <c r="M49" s="1023"/>
      <c r="N49" s="1023"/>
      <c r="O49" s="1023">
        <f>(E49+G49+H49+I49+J49+K49+L49+M49+N49)*0.309</f>
        <v>205576.36821</v>
      </c>
      <c r="P49" s="1023">
        <f t="shared" si="1"/>
        <v>870872.0582099999</v>
      </c>
      <c r="Q49" s="1025"/>
    </row>
    <row r="50" spans="5:16" ht="12" hidden="1">
      <c r="E50" s="991">
        <f>SUM(E10:E49)</f>
        <v>28240992.190999996</v>
      </c>
      <c r="F50" s="991">
        <f aca="true" t="shared" si="3" ref="F50:N50">SUM(F10:F49)</f>
        <v>3580180.4250000007</v>
      </c>
      <c r="G50" s="991">
        <f t="shared" si="3"/>
        <v>3707906.265000001</v>
      </c>
      <c r="H50" s="991">
        <f t="shared" si="3"/>
        <v>6811871.707741937</v>
      </c>
      <c r="I50" s="991">
        <f t="shared" si="3"/>
        <v>525144.5999999999</v>
      </c>
      <c r="J50" s="991">
        <f t="shared" si="3"/>
        <v>130659.7</v>
      </c>
      <c r="K50" s="991">
        <f t="shared" si="3"/>
        <v>218246.03492</v>
      </c>
      <c r="L50" s="991">
        <f t="shared" si="3"/>
        <v>74233.00600000001</v>
      </c>
      <c r="M50" s="991">
        <f t="shared" si="3"/>
        <v>160349.928</v>
      </c>
      <c r="N50" s="991">
        <f t="shared" si="3"/>
        <v>358018.54063999996</v>
      </c>
      <c r="O50" s="985"/>
      <c r="P50" s="985"/>
    </row>
    <row r="51" spans="6:16" ht="12" hidden="1">
      <c r="F51" s="991"/>
      <c r="G51" s="991"/>
      <c r="H51" s="991"/>
      <c r="I51" s="985"/>
      <c r="O51" s="985"/>
      <c r="P51" s="985"/>
    </row>
    <row r="52" ht="12" hidden="1"/>
    <row r="53" spans="6:9" ht="12" hidden="1">
      <c r="F53" s="985">
        <f>+E50+G50+H50+I50</f>
        <v>39285914.76374193</v>
      </c>
      <c r="I53" s="863">
        <f>SUM('[4]LT 2017 (Personal)'!I10:I14)</f>
        <v>26589.599999999995</v>
      </c>
    </row>
    <row r="54" spans="9:12" ht="12" hidden="1">
      <c r="I54" s="985">
        <f>+I50+I53</f>
        <v>551734.1999999998</v>
      </c>
      <c r="L54" s="985">
        <f>SUM(J50:N50)</f>
        <v>941507.2095600001</v>
      </c>
    </row>
    <row r="55" ht="12" hidden="1"/>
    <row r="56" ht="12" hidden="1"/>
    <row r="57" ht="12" hidden="1"/>
    <row r="58" ht="12"/>
    <row r="59" ht="12"/>
    <row r="60" spans="5:16" ht="12" hidden="1">
      <c r="E60" s="987">
        <f aca="true" t="shared" si="4" ref="E60:N60">SUM(E10:E59)</f>
        <v>56481984.38199999</v>
      </c>
      <c r="F60" s="987">
        <f>SUM(F10:F59)</f>
        <v>46446275.613741934</v>
      </c>
      <c r="G60" s="987">
        <f>SUM(G10:G59)</f>
        <v>7415812.530000002</v>
      </c>
      <c r="H60" s="987">
        <f t="shared" si="4"/>
        <v>13623743.415483873</v>
      </c>
      <c r="I60" s="987">
        <f t="shared" si="4"/>
        <v>1628612.9999999995</v>
      </c>
      <c r="J60" s="987">
        <f t="shared" si="4"/>
        <v>261319.4</v>
      </c>
      <c r="K60" s="987">
        <f t="shared" si="4"/>
        <v>436492.06984</v>
      </c>
      <c r="L60" s="987">
        <f t="shared" si="4"/>
        <v>1089973.2215600002</v>
      </c>
      <c r="M60" s="987">
        <f t="shared" si="4"/>
        <v>320699.856</v>
      </c>
      <c r="N60" s="987">
        <f t="shared" si="4"/>
        <v>716037.0812799999</v>
      </c>
      <c r="O60" s="987">
        <f>SUM(O10:O59)</f>
        <v>13291295.950349238</v>
      </c>
      <c r="P60" s="987">
        <f>SUM(P10:P59)</f>
        <v>53518717.92365117</v>
      </c>
    </row>
    <row r="61" ht="12"/>
    <row r="62" ht="12">
      <c r="O62" s="985"/>
    </row>
  </sheetData>
  <sheetProtection/>
  <mergeCells count="3">
    <mergeCell ref="F8:G8"/>
    <mergeCell ref="B2:P2"/>
    <mergeCell ref="J8:N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R42"/>
  <sheetViews>
    <sheetView zoomScale="70" zoomScaleNormal="70" zoomScalePageLayoutView="0" workbookViewId="0" topLeftCell="A1">
      <selection activeCell="A1" sqref="A1:IV16384"/>
    </sheetView>
  </sheetViews>
  <sheetFormatPr defaultColWidth="11.57421875" defaultRowHeight="12.75"/>
  <cols>
    <col min="1" max="1" width="2.421875" style="863" customWidth="1"/>
    <col min="2" max="2" width="9.00390625" style="863" customWidth="1"/>
    <col min="3" max="3" width="39.00390625" style="863" bestFit="1" customWidth="1"/>
    <col min="4" max="4" width="8.140625" style="1026" customWidth="1"/>
    <col min="5" max="5" width="24.00390625" style="863" customWidth="1"/>
    <col min="6" max="6" width="12.140625" style="863" customWidth="1"/>
    <col min="7" max="7" width="11.421875" style="863" bestFit="1" customWidth="1"/>
    <col min="8" max="8" width="15.8515625" style="863" customWidth="1"/>
    <col min="9" max="9" width="12.8515625" style="863" customWidth="1"/>
    <col min="10" max="12" width="9.140625" style="863" customWidth="1"/>
    <col min="13" max="13" width="12.421875" style="863" bestFit="1" customWidth="1"/>
    <col min="14" max="14" width="15.140625" style="863" bestFit="1" customWidth="1"/>
    <col min="15" max="16" width="32.140625" style="863" bestFit="1" customWidth="1"/>
    <col min="17" max="17" width="11.57421875" style="863" customWidth="1"/>
    <col min="18" max="18" width="18.8515625" style="863" customWidth="1"/>
    <col min="19" max="16384" width="11.57421875" style="863" customWidth="1"/>
  </cols>
  <sheetData>
    <row r="1" ht="22.5" customHeight="1"/>
    <row r="2" spans="2:18" s="850" customFormat="1" ht="11.25">
      <c r="B2" s="1518" t="s">
        <v>426</v>
      </c>
      <c r="C2" s="1518"/>
      <c r="D2" s="1518"/>
      <c r="E2" s="1518"/>
      <c r="F2" s="1518"/>
      <c r="G2" s="1518"/>
      <c r="H2" s="1518"/>
      <c r="I2" s="1518"/>
      <c r="J2" s="1518"/>
      <c r="K2" s="1518"/>
      <c r="L2" s="1518"/>
      <c r="M2" s="1518"/>
      <c r="N2" s="1518"/>
      <c r="O2" s="848"/>
      <c r="P2" s="849"/>
      <c r="Q2" s="849"/>
      <c r="R2" s="849"/>
    </row>
    <row r="3" s="851" customFormat="1" ht="11.25">
      <c r="D3" s="1027"/>
    </row>
    <row r="4" spans="2:4" s="851" customFormat="1" ht="11.25">
      <c r="B4" s="854" t="s">
        <v>427</v>
      </c>
      <c r="C4" s="852" t="s">
        <v>564</v>
      </c>
      <c r="D4" s="1027"/>
    </row>
    <row r="5" spans="2:4" s="851" customFormat="1" ht="11.25">
      <c r="B5" s="852"/>
      <c r="D5" s="1027"/>
    </row>
    <row r="6" spans="2:18" s="851" customFormat="1" ht="11.25">
      <c r="B6" s="849" t="s">
        <v>441</v>
      </c>
      <c r="C6" s="849"/>
      <c r="D6" s="1028"/>
      <c r="E6" s="849"/>
      <c r="F6" s="849"/>
      <c r="G6" s="849"/>
      <c r="H6" s="849"/>
      <c r="I6" s="849"/>
      <c r="J6" s="849"/>
      <c r="K6" s="849"/>
      <c r="L6" s="849"/>
      <c r="M6" s="849"/>
      <c r="N6" s="849"/>
      <c r="O6" s="849"/>
      <c r="P6" s="853"/>
      <c r="Q6" s="853"/>
      <c r="R6" s="853"/>
    </row>
    <row r="7" spans="2:18" s="851" customFormat="1" ht="12" thickBot="1">
      <c r="B7" s="854"/>
      <c r="C7" s="854"/>
      <c r="D7" s="854"/>
      <c r="E7" s="854"/>
      <c r="F7" s="854"/>
      <c r="G7" s="854"/>
      <c r="H7" s="854"/>
      <c r="I7" s="997"/>
      <c r="J7" s="854"/>
      <c r="K7" s="854"/>
      <c r="L7" s="854"/>
      <c r="M7" s="854"/>
      <c r="N7" s="854"/>
      <c r="O7" s="854"/>
      <c r="P7" s="854"/>
      <c r="Q7" s="854"/>
      <c r="R7" s="854"/>
    </row>
    <row r="8" spans="2:16" s="852" customFormat="1" ht="27" customHeight="1" thickBot="1">
      <c r="B8" s="855"/>
      <c r="C8" s="855"/>
      <c r="D8" s="855"/>
      <c r="E8" s="855"/>
      <c r="F8" s="1519" t="s">
        <v>429</v>
      </c>
      <c r="G8" s="1520"/>
      <c r="H8" s="855"/>
      <c r="I8" s="855"/>
      <c r="J8" s="1521" t="s">
        <v>430</v>
      </c>
      <c r="K8" s="1522"/>
      <c r="L8" s="1523"/>
      <c r="M8" s="855"/>
      <c r="N8" s="855"/>
      <c r="O8" s="855"/>
      <c r="P8" s="855"/>
    </row>
    <row r="9" spans="2:16" s="860" customFormat="1" ht="27" customHeight="1">
      <c r="B9" s="856" t="s">
        <v>431</v>
      </c>
      <c r="C9" s="857" t="s">
        <v>432</v>
      </c>
      <c r="D9" s="858" t="s">
        <v>433</v>
      </c>
      <c r="E9" s="858" t="s">
        <v>434</v>
      </c>
      <c r="F9" s="864">
        <v>2016</v>
      </c>
      <c r="G9" s="865">
        <v>2017</v>
      </c>
      <c r="H9" s="858" t="s">
        <v>435</v>
      </c>
      <c r="I9" s="858" t="s">
        <v>436</v>
      </c>
      <c r="J9" s="858"/>
      <c r="K9" s="858"/>
      <c r="L9" s="858"/>
      <c r="M9" s="858" t="s">
        <v>437</v>
      </c>
      <c r="N9" s="858" t="s">
        <v>824</v>
      </c>
      <c r="O9" s="872" t="s">
        <v>442</v>
      </c>
      <c r="P9" s="859" t="s">
        <v>438</v>
      </c>
    </row>
    <row r="10" spans="2:16" s="854" customFormat="1" ht="15">
      <c r="B10" s="1029">
        <v>13</v>
      </c>
      <c r="C10" s="1030" t="s">
        <v>617</v>
      </c>
      <c r="D10" s="1029">
        <v>2</v>
      </c>
      <c r="E10" s="1008">
        <f>17287.37*B10</f>
        <v>224735.81</v>
      </c>
      <c r="F10" s="1008"/>
      <c r="G10" s="1008">
        <v>3678.65</v>
      </c>
      <c r="H10" s="1008">
        <f>+(987.94*4)*B10</f>
        <v>51372.880000000005</v>
      </c>
      <c r="I10" s="1008">
        <f>(B10*(131.26+238.04))</f>
        <v>4800.9</v>
      </c>
      <c r="J10" s="861"/>
      <c r="K10" s="861"/>
      <c r="L10" s="861"/>
      <c r="M10" s="1008">
        <f>SUM(E10:L10)*0.332</f>
        <v>94483.29568</v>
      </c>
      <c r="N10" s="1014">
        <f>SUM(E10:M10)</f>
        <v>379071.53568</v>
      </c>
      <c r="O10" s="866" t="s">
        <v>618</v>
      </c>
      <c r="P10" s="1031"/>
    </row>
    <row r="11" spans="2:16" ht="15">
      <c r="B11" s="1029">
        <v>56</v>
      </c>
      <c r="C11" s="1030" t="s">
        <v>619</v>
      </c>
      <c r="D11" s="1029">
        <v>4</v>
      </c>
      <c r="E11" s="1008">
        <f>19419.85*B11</f>
        <v>1087511.5999999999</v>
      </c>
      <c r="F11" s="1008"/>
      <c r="G11" s="1008">
        <v>8331.73</v>
      </c>
      <c r="H11" s="1008">
        <f>3992.56*B11</f>
        <v>223583.36</v>
      </c>
      <c r="I11" s="1008">
        <f>(B11*(131.26+238.04))</f>
        <v>20680.799999999996</v>
      </c>
      <c r="J11" s="862"/>
      <c r="K11" s="862"/>
      <c r="L11" s="862"/>
      <c r="M11" s="1008">
        <f aca="true" t="shared" si="0" ref="M11:M35">SUM(E11:L11)*0.332</f>
        <v>444915.68668000004</v>
      </c>
      <c r="N11" s="1014">
        <f aca="true" t="shared" si="1" ref="N11:N35">SUM(E11:M11)</f>
        <v>1785023.17668</v>
      </c>
      <c r="O11" s="866" t="s">
        <v>620</v>
      </c>
      <c r="P11" s="1031"/>
    </row>
    <row r="12" spans="2:16" ht="15">
      <c r="B12" s="1029">
        <v>1</v>
      </c>
      <c r="C12" s="1030" t="s">
        <v>621</v>
      </c>
      <c r="D12" s="1029">
        <v>4</v>
      </c>
      <c r="E12" s="1008">
        <v>14440.642499999998</v>
      </c>
      <c r="F12" s="1008"/>
      <c r="G12" s="1008"/>
      <c r="H12" s="1008">
        <v>2994.42</v>
      </c>
      <c r="I12" s="1008">
        <f>(B12*(131.26+238.04))</f>
        <v>369.29999999999995</v>
      </c>
      <c r="J12" s="862"/>
      <c r="K12" s="862"/>
      <c r="L12" s="862"/>
      <c r="M12" s="1008">
        <f>SUM(E12:L12)*0.309</f>
        <v>5501.5480124999995</v>
      </c>
      <c r="N12" s="1014">
        <f t="shared" si="1"/>
        <v>23305.9105125</v>
      </c>
      <c r="O12" s="866" t="s">
        <v>622</v>
      </c>
      <c r="P12" s="1031"/>
    </row>
    <row r="13" spans="2:16" ht="15">
      <c r="B13" s="1029">
        <v>1</v>
      </c>
      <c r="C13" s="1030" t="s">
        <v>623</v>
      </c>
      <c r="D13" s="1029">
        <v>7</v>
      </c>
      <c r="E13" s="1008">
        <f>(3247.87*12)+1197.19</f>
        <v>40171.630000000005</v>
      </c>
      <c r="F13" s="1008"/>
      <c r="G13" s="1008">
        <v>37.96</v>
      </c>
      <c r="H13" s="1008">
        <v>4058.57</v>
      </c>
      <c r="I13" s="1008">
        <f>(B13*(131.26+238.04))</f>
        <v>369.29999999999995</v>
      </c>
      <c r="J13" s="862"/>
      <c r="K13" s="862"/>
      <c r="L13" s="862"/>
      <c r="M13" s="1008">
        <f>SUM(E13:L13)*0.309</f>
        <v>13792.975140000002</v>
      </c>
      <c r="N13" s="1014">
        <f t="shared" si="1"/>
        <v>58430.43514000001</v>
      </c>
      <c r="O13" s="866" t="s">
        <v>624</v>
      </c>
      <c r="P13" s="1031"/>
    </row>
    <row r="14" spans="2:16" ht="15">
      <c r="B14" s="1029">
        <v>1</v>
      </c>
      <c r="C14" s="1030" t="s">
        <v>625</v>
      </c>
      <c r="D14" s="1029">
        <v>7</v>
      </c>
      <c r="E14" s="1008">
        <f>17669.84</f>
        <v>17669.84</v>
      </c>
      <c r="F14" s="1008"/>
      <c r="G14" s="1008"/>
      <c r="H14" s="1008">
        <f>3043.92</f>
        <v>3043.92</v>
      </c>
      <c r="I14" s="1008">
        <f>131.26+238.04</f>
        <v>369.29999999999995</v>
      </c>
      <c r="J14" s="862"/>
      <c r="K14" s="862"/>
      <c r="L14" s="862"/>
      <c r="M14" s="1008">
        <f>SUM(E14:L14)*0.309</f>
        <v>6514.66554</v>
      </c>
      <c r="N14" s="1014">
        <f t="shared" si="1"/>
        <v>27597.72554</v>
      </c>
      <c r="O14" s="866" t="s">
        <v>626</v>
      </c>
      <c r="P14" s="1031"/>
    </row>
    <row r="15" spans="2:16" ht="15">
      <c r="B15" s="1032"/>
      <c r="C15" s="1030"/>
      <c r="D15" s="1029"/>
      <c r="E15" s="862"/>
      <c r="F15" s="862"/>
      <c r="G15" s="862"/>
      <c r="H15" s="862"/>
      <c r="I15" s="862"/>
      <c r="J15" s="862"/>
      <c r="K15" s="862"/>
      <c r="L15" s="862"/>
      <c r="M15" s="1008"/>
      <c r="N15" s="1014"/>
      <c r="O15" s="862"/>
      <c r="P15" s="1031"/>
    </row>
    <row r="16" spans="2:16" ht="15">
      <c r="B16" s="1029">
        <v>1</v>
      </c>
      <c r="C16" s="1030" t="s">
        <v>627</v>
      </c>
      <c r="D16" s="1029">
        <v>2</v>
      </c>
      <c r="E16" s="1008">
        <v>5286.4800000000005</v>
      </c>
      <c r="F16" s="862"/>
      <c r="G16" s="862"/>
      <c r="H16" s="1008">
        <v>1182.76</v>
      </c>
      <c r="I16" s="862"/>
      <c r="J16" s="862"/>
      <c r="K16" s="862"/>
      <c r="L16" s="862"/>
      <c r="M16" s="1008">
        <f>SUM(E16:L16)*0.332</f>
        <v>2147.7876800000004</v>
      </c>
      <c r="N16" s="1014">
        <f>SUM(E16:M16)</f>
        <v>8617.027680000001</v>
      </c>
      <c r="O16" s="866" t="s">
        <v>628</v>
      </c>
      <c r="P16" s="1031"/>
    </row>
    <row r="17" spans="2:16" ht="15">
      <c r="B17" s="1029">
        <v>2</v>
      </c>
      <c r="C17" s="1030" t="s">
        <v>629</v>
      </c>
      <c r="D17" s="1029">
        <v>3</v>
      </c>
      <c r="E17" s="1008">
        <v>8919.599999999999</v>
      </c>
      <c r="F17" s="862"/>
      <c r="G17" s="862"/>
      <c r="H17" s="1008">
        <v>2246.56</v>
      </c>
      <c r="I17" s="862"/>
      <c r="J17" s="862"/>
      <c r="K17" s="862"/>
      <c r="L17" s="862"/>
      <c r="M17" s="1008">
        <f t="shared" si="0"/>
        <v>3707.1651199999997</v>
      </c>
      <c r="N17" s="1014">
        <f t="shared" si="1"/>
        <v>14873.325119999998</v>
      </c>
      <c r="O17" s="866" t="s">
        <v>628</v>
      </c>
      <c r="P17" s="1031"/>
    </row>
    <row r="18" spans="2:16" ht="15">
      <c r="B18" s="1029">
        <v>1</v>
      </c>
      <c r="C18" s="1030" t="s">
        <v>630</v>
      </c>
      <c r="D18" s="1029">
        <v>4</v>
      </c>
      <c r="E18" s="1008">
        <v>3764.5199999999995</v>
      </c>
      <c r="F18" s="862"/>
      <c r="G18" s="862"/>
      <c r="H18" s="1008">
        <v>847.64</v>
      </c>
      <c r="I18" s="862"/>
      <c r="J18" s="862"/>
      <c r="K18" s="862"/>
      <c r="L18" s="862"/>
      <c r="M18" s="1008">
        <f t="shared" si="0"/>
        <v>1531.23712</v>
      </c>
      <c r="N18" s="1014">
        <f t="shared" si="1"/>
        <v>6143.39712</v>
      </c>
      <c r="O18" s="866" t="s">
        <v>628</v>
      </c>
      <c r="P18" s="1031"/>
    </row>
    <row r="19" spans="2:16" ht="15">
      <c r="B19" s="1029">
        <v>2</v>
      </c>
      <c r="C19" s="1030" t="s">
        <v>631</v>
      </c>
      <c r="D19" s="1029">
        <v>4</v>
      </c>
      <c r="E19" s="1008">
        <v>8573.880000000001</v>
      </c>
      <c r="F19" s="862"/>
      <c r="G19" s="862"/>
      <c r="H19" s="1008">
        <v>2191.24</v>
      </c>
      <c r="I19" s="862"/>
      <c r="J19" s="862"/>
      <c r="K19" s="862"/>
      <c r="L19" s="862"/>
      <c r="M19" s="1008">
        <f t="shared" si="0"/>
        <v>3574.0198400000004</v>
      </c>
      <c r="N19" s="1014">
        <f t="shared" si="1"/>
        <v>14339.139840000002</v>
      </c>
      <c r="O19" s="866" t="s">
        <v>628</v>
      </c>
      <c r="P19" s="1031"/>
    </row>
    <row r="20" spans="2:16" ht="15">
      <c r="B20" s="1029">
        <v>1</v>
      </c>
      <c r="C20" s="1030" t="s">
        <v>632</v>
      </c>
      <c r="D20" s="1029">
        <v>4</v>
      </c>
      <c r="E20" s="1008">
        <v>4729.92</v>
      </c>
      <c r="F20" s="862"/>
      <c r="G20" s="862"/>
      <c r="H20" s="1008">
        <v>1136.36</v>
      </c>
      <c r="I20" s="862"/>
      <c r="J20" s="862"/>
      <c r="K20" s="862"/>
      <c r="L20" s="862"/>
      <c r="M20" s="1008">
        <f t="shared" si="0"/>
        <v>1947.6049600000001</v>
      </c>
      <c r="N20" s="1014">
        <f t="shared" si="1"/>
        <v>7813.884959999999</v>
      </c>
      <c r="O20" s="866" t="s">
        <v>628</v>
      </c>
      <c r="P20" s="1031"/>
    </row>
    <row r="21" spans="2:16" ht="15">
      <c r="B21" s="1029">
        <v>32</v>
      </c>
      <c r="C21" s="1030" t="s">
        <v>619</v>
      </c>
      <c r="D21" s="1029">
        <v>4</v>
      </c>
      <c r="E21" s="1008">
        <v>156039.36000000002</v>
      </c>
      <c r="F21" s="862"/>
      <c r="G21" s="862"/>
      <c r="H21" s="1008">
        <v>27203.04</v>
      </c>
      <c r="I21" s="862"/>
      <c r="J21" s="862"/>
      <c r="K21" s="862"/>
      <c r="L21" s="862"/>
      <c r="M21" s="1008">
        <f t="shared" si="0"/>
        <v>60836.47680000001</v>
      </c>
      <c r="N21" s="1014">
        <f t="shared" si="1"/>
        <v>244078.87680000003</v>
      </c>
      <c r="O21" s="866" t="s">
        <v>628</v>
      </c>
      <c r="P21" s="1031"/>
    </row>
    <row r="22" spans="2:16" ht="15">
      <c r="B22" s="1029">
        <v>1</v>
      </c>
      <c r="C22" s="1030" t="s">
        <v>633</v>
      </c>
      <c r="D22" s="1029">
        <v>4</v>
      </c>
      <c r="E22" s="1008">
        <v>4833.12</v>
      </c>
      <c r="F22" s="862"/>
      <c r="G22" s="862"/>
      <c r="H22" s="1008">
        <v>138.96</v>
      </c>
      <c r="I22" s="862"/>
      <c r="J22" s="862"/>
      <c r="K22" s="862"/>
      <c r="L22" s="862"/>
      <c r="M22" s="1008">
        <f t="shared" si="0"/>
        <v>1650.73056</v>
      </c>
      <c r="N22" s="1014">
        <f t="shared" si="1"/>
        <v>6622.81056</v>
      </c>
      <c r="O22" s="866" t="s">
        <v>628</v>
      </c>
      <c r="P22" s="1031"/>
    </row>
    <row r="23" spans="2:16" ht="15">
      <c r="B23" s="1029">
        <v>1</v>
      </c>
      <c r="C23" s="1030" t="s">
        <v>634</v>
      </c>
      <c r="D23" s="1029">
        <v>4</v>
      </c>
      <c r="E23" s="1008">
        <v>5220.84</v>
      </c>
      <c r="F23" s="862"/>
      <c r="G23" s="862"/>
      <c r="H23" s="1008">
        <v>658.16</v>
      </c>
      <c r="I23" s="862"/>
      <c r="J23" s="862"/>
      <c r="K23" s="862"/>
      <c r="L23" s="862"/>
      <c r="M23" s="1008">
        <f t="shared" si="0"/>
        <v>1951.8280000000002</v>
      </c>
      <c r="N23" s="1014">
        <f t="shared" si="1"/>
        <v>7830.828</v>
      </c>
      <c r="O23" s="866" t="s">
        <v>628</v>
      </c>
      <c r="P23" s="1031"/>
    </row>
    <row r="24" spans="2:16" ht="15">
      <c r="B24" s="1029">
        <v>3</v>
      </c>
      <c r="C24" s="1030" t="s">
        <v>621</v>
      </c>
      <c r="D24" s="1029">
        <v>4</v>
      </c>
      <c r="E24" s="1008">
        <v>10374.119999999999</v>
      </c>
      <c r="F24" s="862"/>
      <c r="G24" s="862"/>
      <c r="H24" s="1008">
        <v>2542.8</v>
      </c>
      <c r="I24" s="862"/>
      <c r="J24" s="862"/>
      <c r="K24" s="862"/>
      <c r="L24" s="862"/>
      <c r="M24" s="1008">
        <f t="shared" si="0"/>
        <v>4288.417439999999</v>
      </c>
      <c r="N24" s="1014">
        <f t="shared" si="1"/>
        <v>17205.337439999996</v>
      </c>
      <c r="O24" s="866" t="s">
        <v>628</v>
      </c>
      <c r="P24" s="1031"/>
    </row>
    <row r="25" spans="2:16" ht="15">
      <c r="B25" s="1029">
        <v>4</v>
      </c>
      <c r="C25" s="1030" t="s">
        <v>635</v>
      </c>
      <c r="D25" s="1029">
        <v>4</v>
      </c>
      <c r="E25" s="1008">
        <v>17068.800000000003</v>
      </c>
      <c r="F25" s="862"/>
      <c r="G25" s="862"/>
      <c r="H25" s="1008">
        <v>1989.84</v>
      </c>
      <c r="I25" s="862"/>
      <c r="J25" s="862"/>
      <c r="K25" s="862"/>
      <c r="L25" s="862"/>
      <c r="M25" s="1008">
        <f t="shared" si="0"/>
        <v>6327.468480000001</v>
      </c>
      <c r="N25" s="1014">
        <f t="shared" si="1"/>
        <v>25386.108480000003</v>
      </c>
      <c r="O25" s="866" t="s">
        <v>628</v>
      </c>
      <c r="P25" s="1031"/>
    </row>
    <row r="26" spans="2:16" ht="15">
      <c r="B26" s="1029">
        <v>1</v>
      </c>
      <c r="C26" s="1030" t="s">
        <v>636</v>
      </c>
      <c r="D26" s="1029">
        <v>4</v>
      </c>
      <c r="E26" s="1008">
        <v>3387.96</v>
      </c>
      <c r="F26" s="862"/>
      <c r="G26" s="862"/>
      <c r="H26" s="1008">
        <v>847.64</v>
      </c>
      <c r="I26" s="862"/>
      <c r="J26" s="862"/>
      <c r="K26" s="862"/>
      <c r="L26" s="862"/>
      <c r="M26" s="1008">
        <f t="shared" si="0"/>
        <v>1406.2192000000002</v>
      </c>
      <c r="N26" s="1014">
        <f t="shared" si="1"/>
        <v>5641.819200000001</v>
      </c>
      <c r="O26" s="866" t="s">
        <v>628</v>
      </c>
      <c r="P26" s="1031"/>
    </row>
    <row r="27" spans="2:16" ht="15">
      <c r="B27" s="1029">
        <v>1</v>
      </c>
      <c r="C27" s="1030" t="s">
        <v>637</v>
      </c>
      <c r="D27" s="1029">
        <v>5</v>
      </c>
      <c r="E27" s="1008">
        <v>3911.04</v>
      </c>
      <c r="F27" s="862"/>
      <c r="G27" s="862"/>
      <c r="H27" s="1008">
        <v>852.52</v>
      </c>
      <c r="I27" s="862"/>
      <c r="J27" s="862"/>
      <c r="K27" s="862"/>
      <c r="L27" s="862"/>
      <c r="M27" s="1008">
        <f>SUM(E27:L27)*0.309</f>
        <v>1471.9400399999997</v>
      </c>
      <c r="N27" s="1014">
        <f t="shared" si="1"/>
        <v>6235.500039999999</v>
      </c>
      <c r="O27" s="866" t="s">
        <v>628</v>
      </c>
      <c r="P27" s="1031"/>
    </row>
    <row r="28" spans="2:16" ht="15">
      <c r="B28" s="1029">
        <v>1</v>
      </c>
      <c r="C28" s="1030" t="s">
        <v>638</v>
      </c>
      <c r="D28" s="1029">
        <v>5</v>
      </c>
      <c r="E28" s="1008">
        <v>3981.3599999999997</v>
      </c>
      <c r="F28" s="862"/>
      <c r="G28" s="862"/>
      <c r="H28" s="1008">
        <v>852.52</v>
      </c>
      <c r="I28" s="862"/>
      <c r="J28" s="862"/>
      <c r="K28" s="862"/>
      <c r="L28" s="862"/>
      <c r="M28" s="1008">
        <f t="shared" si="0"/>
        <v>1604.8481599999998</v>
      </c>
      <c r="N28" s="1014">
        <f t="shared" si="1"/>
        <v>6438.728159999999</v>
      </c>
      <c r="O28" s="866" t="s">
        <v>628</v>
      </c>
      <c r="P28" s="1031"/>
    </row>
    <row r="29" spans="2:16" ht="15">
      <c r="B29" s="1029">
        <v>1</v>
      </c>
      <c r="C29" s="1030" t="s">
        <v>639</v>
      </c>
      <c r="D29" s="1029">
        <v>5</v>
      </c>
      <c r="E29" s="1008">
        <v>5788.32</v>
      </c>
      <c r="F29" s="862"/>
      <c r="G29" s="862"/>
      <c r="H29" s="1008">
        <v>1420.84</v>
      </c>
      <c r="I29" s="862"/>
      <c r="J29" s="862"/>
      <c r="K29" s="862"/>
      <c r="L29" s="862"/>
      <c r="M29" s="1008">
        <f>SUM(E29:L29)*0.309</f>
        <v>2227.63044</v>
      </c>
      <c r="N29" s="1014">
        <f t="shared" si="1"/>
        <v>9436.79044</v>
      </c>
      <c r="O29" s="866" t="s">
        <v>628</v>
      </c>
      <c r="P29" s="1031"/>
    </row>
    <row r="30" spans="2:16" ht="15">
      <c r="B30" s="1029">
        <v>1</v>
      </c>
      <c r="C30" s="1030" t="s">
        <v>640</v>
      </c>
      <c r="D30" s="1029">
        <v>5</v>
      </c>
      <c r="E30" s="1008">
        <v>6617.52</v>
      </c>
      <c r="F30" s="862"/>
      <c r="G30" s="862"/>
      <c r="H30" s="1008">
        <v>472.56</v>
      </c>
      <c r="I30" s="862"/>
      <c r="J30" s="862"/>
      <c r="K30" s="862"/>
      <c r="L30" s="862"/>
      <c r="M30" s="1008">
        <f t="shared" si="0"/>
        <v>2353.9065600000004</v>
      </c>
      <c r="N30" s="1014">
        <f t="shared" si="1"/>
        <v>9443.986560000001</v>
      </c>
      <c r="O30" s="866" t="s">
        <v>628</v>
      </c>
      <c r="P30" s="1031"/>
    </row>
    <row r="31" spans="2:16" ht="15">
      <c r="B31" s="1029">
        <v>1</v>
      </c>
      <c r="C31" s="1030" t="s">
        <v>641</v>
      </c>
      <c r="D31" s="1029">
        <v>6</v>
      </c>
      <c r="E31" s="1008">
        <v>4244.64</v>
      </c>
      <c r="F31" s="862"/>
      <c r="G31" s="862"/>
      <c r="H31" s="1008">
        <v>689.56</v>
      </c>
      <c r="I31" s="862"/>
      <c r="J31" s="862"/>
      <c r="K31" s="862"/>
      <c r="L31" s="862"/>
      <c r="M31" s="1008">
        <f>SUM(E31:L31)*0.309</f>
        <v>1524.6678000000002</v>
      </c>
      <c r="N31" s="1014">
        <f t="shared" si="1"/>
        <v>6458.867800000001</v>
      </c>
      <c r="O31" s="866" t="s">
        <v>628</v>
      </c>
      <c r="P31" s="1031"/>
    </row>
    <row r="32" spans="2:16" ht="15">
      <c r="B32" s="1029">
        <v>1</v>
      </c>
      <c r="C32" s="1030" t="s">
        <v>642</v>
      </c>
      <c r="D32" s="1029">
        <v>3</v>
      </c>
      <c r="E32" s="1008">
        <v>3341.88</v>
      </c>
      <c r="F32" s="862"/>
      <c r="G32" s="862"/>
      <c r="H32" s="1008">
        <v>847.64</v>
      </c>
      <c r="I32" s="862"/>
      <c r="J32" s="862"/>
      <c r="K32" s="862"/>
      <c r="L32" s="862"/>
      <c r="M32" s="1008">
        <f t="shared" si="0"/>
        <v>1390.9206400000003</v>
      </c>
      <c r="N32" s="1014">
        <f t="shared" si="1"/>
        <v>5580.440640000001</v>
      </c>
      <c r="O32" s="866" t="s">
        <v>628</v>
      </c>
      <c r="P32" s="1031"/>
    </row>
    <row r="33" spans="2:16" ht="15">
      <c r="B33" s="1029">
        <v>12</v>
      </c>
      <c r="C33" s="1030" t="s">
        <v>643</v>
      </c>
      <c r="D33" s="1029">
        <v>4</v>
      </c>
      <c r="E33" s="1008">
        <v>72170.64</v>
      </c>
      <c r="F33" s="862"/>
      <c r="G33" s="862"/>
      <c r="H33" s="1008">
        <v>10900</v>
      </c>
      <c r="I33" s="862"/>
      <c r="J33" s="862"/>
      <c r="K33" s="862"/>
      <c r="L33" s="862"/>
      <c r="M33" s="1008">
        <f t="shared" si="0"/>
        <v>27579.45248</v>
      </c>
      <c r="N33" s="1014">
        <f t="shared" si="1"/>
        <v>110650.09247999999</v>
      </c>
      <c r="O33" s="866" t="s">
        <v>628</v>
      </c>
      <c r="P33" s="1031"/>
    </row>
    <row r="34" spans="2:16" ht="15">
      <c r="B34" s="1029">
        <v>1</v>
      </c>
      <c r="C34" s="1030" t="s">
        <v>644</v>
      </c>
      <c r="D34" s="1029">
        <v>4</v>
      </c>
      <c r="E34" s="1008">
        <v>3571.2000000000003</v>
      </c>
      <c r="F34" s="862"/>
      <c r="G34" s="862"/>
      <c r="H34" s="1008">
        <v>847.64</v>
      </c>
      <c r="I34" s="862"/>
      <c r="J34" s="862"/>
      <c r="K34" s="862"/>
      <c r="L34" s="862"/>
      <c r="M34" s="1008">
        <f t="shared" si="0"/>
        <v>1467.0548800000001</v>
      </c>
      <c r="N34" s="1014">
        <f t="shared" si="1"/>
        <v>5885.89488</v>
      </c>
      <c r="O34" s="866" t="s">
        <v>628</v>
      </c>
      <c r="P34" s="1031"/>
    </row>
    <row r="35" spans="2:16" ht="15">
      <c r="B35" s="1029">
        <v>2</v>
      </c>
      <c r="C35" s="1030" t="s">
        <v>645</v>
      </c>
      <c r="D35" s="1029">
        <v>5</v>
      </c>
      <c r="E35" s="1008">
        <v>14238.36</v>
      </c>
      <c r="F35" s="862"/>
      <c r="G35" s="862"/>
      <c r="H35" s="1008">
        <v>1939.56</v>
      </c>
      <c r="I35" s="862"/>
      <c r="J35" s="862"/>
      <c r="K35" s="862"/>
      <c r="L35" s="862"/>
      <c r="M35" s="1008">
        <f t="shared" si="0"/>
        <v>5371.06944</v>
      </c>
      <c r="N35" s="1014">
        <f t="shared" si="1"/>
        <v>21548.98944</v>
      </c>
      <c r="O35" s="866" t="s">
        <v>628</v>
      </c>
      <c r="P35" s="1031"/>
    </row>
    <row r="36" spans="13:14" ht="12" hidden="1">
      <c r="M36" s="985"/>
      <c r="N36" s="985"/>
    </row>
    <row r="37" spans="13:14" ht="12" hidden="1">
      <c r="M37" s="985">
        <f>SUM(M10:M36)</f>
        <v>699568.6166925002</v>
      </c>
      <c r="N37" s="985">
        <f>SUM(N10:N36)</f>
        <v>2813660.629192501</v>
      </c>
    </row>
    <row r="38" ht="12" hidden="1">
      <c r="N38" s="985">
        <f>+N37-M37</f>
        <v>2114092.0125000007</v>
      </c>
    </row>
    <row r="42" spans="5:14" ht="12" hidden="1">
      <c r="E42" s="987">
        <f aca="true" t="shared" si="2" ref="E42:L42">SUM(E10:E35)</f>
        <v>1730593.0825000005</v>
      </c>
      <c r="F42" s="987">
        <f t="shared" si="2"/>
        <v>0</v>
      </c>
      <c r="G42" s="987">
        <f t="shared" si="2"/>
        <v>12048.339999999998</v>
      </c>
      <c r="H42" s="987">
        <f t="shared" si="2"/>
        <v>344860.99000000005</v>
      </c>
      <c r="I42" s="987">
        <f t="shared" si="2"/>
        <v>26589.599999999995</v>
      </c>
      <c r="J42" s="987">
        <f t="shared" si="2"/>
        <v>0</v>
      </c>
      <c r="K42" s="987">
        <f t="shared" si="2"/>
        <v>0</v>
      </c>
      <c r="L42" s="987">
        <f t="shared" si="2"/>
        <v>0</v>
      </c>
      <c r="M42" s="987">
        <f>SUM(M10:M35)</f>
        <v>699568.6166925002</v>
      </c>
      <c r="N42" s="987">
        <f>SUM(N10:N35)</f>
        <v>2813660.629192501</v>
      </c>
    </row>
  </sheetData>
  <sheetProtection/>
  <mergeCells count="3">
    <mergeCell ref="B2:N2"/>
    <mergeCell ref="F8:G8"/>
    <mergeCell ref="J8:L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D17"/>
  <sheetViews>
    <sheetView zoomScalePageLayoutView="0" workbookViewId="0" topLeftCell="A1">
      <selection activeCell="E24" sqref="E24"/>
    </sheetView>
  </sheetViews>
  <sheetFormatPr defaultColWidth="11.421875" defaultRowHeight="12.75"/>
  <cols>
    <col min="1" max="1" width="2.140625" style="0" customWidth="1"/>
    <col min="2" max="2" width="53.140625" style="0" customWidth="1"/>
  </cols>
  <sheetData>
    <row r="2" ht="15">
      <c r="B2" s="873" t="s">
        <v>443</v>
      </c>
    </row>
    <row r="3" ht="12.75">
      <c r="B3" s="1131" t="s">
        <v>564</v>
      </c>
    </row>
    <row r="4" spans="2:4" s="875" customFormat="1" ht="15">
      <c r="B4" s="874" t="s">
        <v>444</v>
      </c>
      <c r="C4" s="874">
        <v>2016</v>
      </c>
      <c r="D4" s="874">
        <v>2017</v>
      </c>
    </row>
    <row r="5" spans="2:4" ht="12.75">
      <c r="B5" s="876" t="s">
        <v>445</v>
      </c>
      <c r="C5" s="877">
        <v>0</v>
      </c>
      <c r="D5" s="877">
        <v>0</v>
      </c>
    </row>
    <row r="6" spans="2:4" ht="12.75">
      <c r="B6" s="1033" t="s">
        <v>646</v>
      </c>
      <c r="C6" s="877">
        <v>196519</v>
      </c>
      <c r="D6" s="877">
        <v>180115</v>
      </c>
    </row>
    <row r="7" spans="2:4" ht="15">
      <c r="B7" s="878" t="s">
        <v>824</v>
      </c>
      <c r="C7" s="879">
        <f>SUM(C5:C6)</f>
        <v>196519</v>
      </c>
      <c r="D7" s="879">
        <f>SUM(D5:D6)</f>
        <v>180115</v>
      </c>
    </row>
    <row r="8" spans="2:4" ht="15">
      <c r="B8" s="880"/>
      <c r="C8" s="881"/>
      <c r="D8" s="881"/>
    </row>
    <row r="11" spans="2:4" s="883" customFormat="1" ht="15">
      <c r="B11" s="882" t="s">
        <v>446</v>
      </c>
      <c r="C11" s="882">
        <v>2016</v>
      </c>
      <c r="D11" s="882">
        <v>2017</v>
      </c>
    </row>
    <row r="12" spans="2:4" ht="12.75">
      <c r="B12" s="884" t="s">
        <v>447</v>
      </c>
      <c r="C12" s="885">
        <v>97463.46</v>
      </c>
      <c r="D12" s="885">
        <v>189269.07</v>
      </c>
    </row>
    <row r="13" spans="2:4" ht="12.75">
      <c r="B13" s="884" t="s">
        <v>448</v>
      </c>
      <c r="C13" s="885">
        <v>113362.71</v>
      </c>
      <c r="D13" s="885">
        <f>+C13</f>
        <v>113362.71</v>
      </c>
    </row>
    <row r="14" spans="2:4" ht="15">
      <c r="B14" s="884" t="s">
        <v>449</v>
      </c>
      <c r="C14" s="885">
        <v>100869.37</v>
      </c>
      <c r="D14" s="885">
        <v>140000</v>
      </c>
    </row>
    <row r="15" spans="2:4" ht="12.75">
      <c r="B15" s="884" t="s">
        <v>450</v>
      </c>
      <c r="C15" s="885">
        <v>134302.2</v>
      </c>
      <c r="D15" s="885">
        <f>+C15</f>
        <v>134302.2</v>
      </c>
    </row>
    <row r="16" spans="2:4" ht="30">
      <c r="B16" s="876" t="s">
        <v>451</v>
      </c>
      <c r="C16" s="885">
        <f>7656.26+2240</f>
        <v>9896.26</v>
      </c>
      <c r="D16" s="885">
        <f>+C16</f>
        <v>9896.26</v>
      </c>
    </row>
    <row r="17" spans="2:4" ht="15">
      <c r="B17" s="878" t="s">
        <v>824</v>
      </c>
      <c r="C17" s="879">
        <f>SUM(C12:C16)</f>
        <v>455894.00000000006</v>
      </c>
      <c r="D17" s="879">
        <f>SUM(D12:D16)</f>
        <v>586830.24</v>
      </c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3:O32"/>
  <sheetViews>
    <sheetView zoomScale="85" zoomScaleNormal="85" zoomScalePageLayoutView="0" workbookViewId="0" topLeftCell="A1">
      <selection activeCell="M41" sqref="M41"/>
    </sheetView>
  </sheetViews>
  <sheetFormatPr defaultColWidth="11.421875" defaultRowHeight="12.75"/>
  <cols>
    <col min="1" max="1" width="2.140625" style="0" customWidth="1"/>
    <col min="2" max="2" width="18.8515625" style="0" customWidth="1"/>
    <col min="4" max="5" width="17.421875" style="0" bestFit="1" customWidth="1"/>
    <col min="6" max="6" width="23.8515625" style="0" bestFit="1" customWidth="1"/>
    <col min="7" max="7" width="14.421875" style="0" bestFit="1" customWidth="1"/>
    <col min="9" max="9" width="37.57421875" style="0" hidden="1" customWidth="1"/>
    <col min="10" max="12" width="17.421875" style="0" hidden="1" customWidth="1"/>
    <col min="14" max="15" width="15.421875" style="0" bestFit="1" customWidth="1"/>
  </cols>
  <sheetData>
    <row r="2" ht="13.5" thickBot="1"/>
    <row r="3" spans="2:6" ht="15.75" thickBot="1">
      <c r="B3" s="886" t="s">
        <v>452</v>
      </c>
      <c r="C3" s="887"/>
      <c r="D3" s="887"/>
      <c r="E3" s="887"/>
      <c r="F3" s="888"/>
    </row>
    <row r="4" spans="2:5" ht="12.75">
      <c r="B4" t="s">
        <v>564</v>
      </c>
      <c r="D4" s="1124"/>
      <c r="E4" s="1124"/>
    </row>
    <row r="5" spans="4:5" ht="13.5" thickBot="1">
      <c r="D5" s="1126"/>
      <c r="E5" s="1126"/>
    </row>
    <row r="6" spans="4:6" s="883" customFormat="1" ht="15.75" thickBot="1">
      <c r="D6" s="1034">
        <v>2017</v>
      </c>
      <c r="E6" s="1035">
        <v>2016</v>
      </c>
      <c r="F6" s="889" t="s">
        <v>23</v>
      </c>
    </row>
    <row r="7" spans="2:6" ht="15">
      <c r="B7" s="890" t="s">
        <v>453</v>
      </c>
      <c r="C7" s="891"/>
      <c r="D7" s="1036">
        <v>37268482.8</v>
      </c>
      <c r="E7" s="1036">
        <v>35020932.940000005</v>
      </c>
      <c r="F7" s="1037"/>
    </row>
    <row r="8" spans="2:6" ht="15">
      <c r="B8" s="892" t="s">
        <v>429</v>
      </c>
      <c r="C8" s="893"/>
      <c r="D8" s="1036">
        <v>3458986</v>
      </c>
      <c r="E8" s="1036">
        <v>3156842</v>
      </c>
      <c r="F8" s="1038"/>
    </row>
    <row r="9" spans="2:6" ht="15">
      <c r="B9" s="892" t="s">
        <v>436</v>
      </c>
      <c r="C9" s="893"/>
      <c r="D9" s="1036">
        <v>551734.2</v>
      </c>
      <c r="E9" s="1036">
        <v>550160.15</v>
      </c>
      <c r="F9" s="1039" t="s">
        <v>647</v>
      </c>
    </row>
    <row r="10" spans="2:12" ht="15">
      <c r="B10" s="894" t="s">
        <v>454</v>
      </c>
      <c r="C10" s="895"/>
      <c r="D10" s="1036">
        <v>766945.24</v>
      </c>
      <c r="E10" s="1036">
        <v>652412.97</v>
      </c>
      <c r="F10" s="1040"/>
      <c r="I10" s="4" t="s">
        <v>696</v>
      </c>
      <c r="J10" s="1130">
        <v>-53320205.09</v>
      </c>
      <c r="K10" s="1130">
        <v>-53484303.06</v>
      </c>
      <c r="L10" s="1130">
        <v>-56632924.019999996</v>
      </c>
    </row>
    <row r="11" spans="2:12" ht="15.75" thickBot="1">
      <c r="B11" s="896" t="s">
        <v>455</v>
      </c>
      <c r="C11" s="895"/>
      <c r="D11" s="1041">
        <v>14377439.97</v>
      </c>
      <c r="E11" s="1041">
        <v>13920859</v>
      </c>
      <c r="F11" s="1042"/>
      <c r="I11" t="s">
        <v>697</v>
      </c>
      <c r="J11" s="1036">
        <v>-39193544.93</v>
      </c>
      <c r="K11" s="1036">
        <v>-38865497.09</v>
      </c>
      <c r="L11" s="1036">
        <v>-41436478.809999995</v>
      </c>
    </row>
    <row r="12" spans="2:12" ht="15.75" thickBot="1">
      <c r="B12" s="873"/>
      <c r="C12" s="886" t="s">
        <v>824</v>
      </c>
      <c r="D12" s="1043">
        <f>SUM(D7:D11)</f>
        <v>56423588.21</v>
      </c>
      <c r="E12" s="1044">
        <f>SUM(E7:E11)</f>
        <v>53301207.06</v>
      </c>
      <c r="I12" t="s">
        <v>9</v>
      </c>
      <c r="J12" s="1036">
        <v>-191077.42</v>
      </c>
      <c r="K12" s="1036">
        <v>-196518.97</v>
      </c>
      <c r="L12" s="1036">
        <v>-180115</v>
      </c>
    </row>
    <row r="13" spans="2:15" ht="15.75" thickBot="1">
      <c r="B13" s="873"/>
      <c r="C13" s="873"/>
      <c r="I13" t="s">
        <v>10</v>
      </c>
      <c r="J13" s="1036">
        <v>-13484755.02</v>
      </c>
      <c r="K13" s="1036">
        <v>-13966393</v>
      </c>
      <c r="L13" s="1036">
        <v>-14429499.97</v>
      </c>
      <c r="N13" s="1046"/>
      <c r="O13" s="1046"/>
    </row>
    <row r="14" spans="2:12" ht="15.75" thickBot="1">
      <c r="B14" s="1120" t="s">
        <v>673</v>
      </c>
      <c r="C14" s="1121"/>
      <c r="D14" s="887"/>
      <c r="E14" s="1122">
        <f>+D12/E12-1</f>
        <v>0.05857993321774502</v>
      </c>
      <c r="I14" t="s">
        <v>11</v>
      </c>
      <c r="J14" s="1036">
        <v>0</v>
      </c>
      <c r="K14" s="1036">
        <v>0</v>
      </c>
      <c r="L14" s="1036">
        <v>0</v>
      </c>
    </row>
    <row r="15" spans="2:12" ht="15.75" thickBot="1">
      <c r="B15" s="873"/>
      <c r="C15" s="873"/>
      <c r="I15" t="s">
        <v>12</v>
      </c>
      <c r="J15" s="1036">
        <v>-450827.72</v>
      </c>
      <c r="K15" s="1036">
        <v>-455894</v>
      </c>
      <c r="L15" s="1036">
        <v>-586830.24</v>
      </c>
    </row>
    <row r="16" spans="2:12" ht="15">
      <c r="B16" s="1045" t="s">
        <v>679</v>
      </c>
      <c r="D16" s="1127">
        <f>+Personal!D52</f>
        <v>157275.81</v>
      </c>
      <c r="E16" s="1127">
        <f>137562+45534-E17</f>
        <v>137562</v>
      </c>
      <c r="F16" s="1046"/>
      <c r="I16" t="s">
        <v>13</v>
      </c>
      <c r="J16" s="1036">
        <v>0</v>
      </c>
      <c r="K16" s="1036">
        <v>0</v>
      </c>
      <c r="L16" s="1036">
        <v>0</v>
      </c>
    </row>
    <row r="17" spans="2:5" ht="15.75" thickBot="1">
      <c r="B17" s="1045" t="s">
        <v>680</v>
      </c>
      <c r="D17" s="1128">
        <f>+Personal!F52</f>
        <v>52060</v>
      </c>
      <c r="E17" s="1128">
        <v>45534</v>
      </c>
    </row>
    <row r="18" spans="6:12" ht="13.5" thickBot="1">
      <c r="F18" s="1046"/>
      <c r="K18" s="1046">
        <f>+K11+E29</f>
        <v>0</v>
      </c>
      <c r="L18" s="1046">
        <f>+D29+L11</f>
        <v>0</v>
      </c>
    </row>
    <row r="19" spans="2:12" ht="15.75" thickBot="1">
      <c r="B19" s="1047" t="s">
        <v>649</v>
      </c>
      <c r="C19" s="1048"/>
      <c r="D19" s="1049">
        <f>+D17+D16+D12</f>
        <v>56632924.02</v>
      </c>
      <c r="E19" s="1049">
        <f>+E17+E16+E12</f>
        <v>53484303.06</v>
      </c>
      <c r="K19" s="1046">
        <f>+K12+K15+E30</f>
        <v>0</v>
      </c>
      <c r="L19" s="1046">
        <f>+D30+L15+L12</f>
        <v>0</v>
      </c>
    </row>
    <row r="20" spans="9:12" ht="12.75">
      <c r="I20" s="1124"/>
      <c r="J20" s="1124"/>
      <c r="K20" s="1124">
        <f>+K13+E31</f>
        <v>0</v>
      </c>
      <c r="L20" s="1124">
        <f>+D31+L13</f>
        <v>0</v>
      </c>
    </row>
    <row r="21" spans="9:12" ht="12.75">
      <c r="I21" s="1124"/>
      <c r="J21" s="1124"/>
      <c r="K21" s="1124"/>
      <c r="L21" s="1124"/>
    </row>
    <row r="22" spans="9:12" ht="12.75">
      <c r="I22" s="1124"/>
      <c r="J22" s="1124"/>
      <c r="K22" s="1124"/>
      <c r="L22" s="1124"/>
    </row>
    <row r="23" spans="9:12" ht="12.75">
      <c r="I23" s="1124"/>
      <c r="J23" s="1124"/>
      <c r="K23" s="1124"/>
      <c r="L23" s="1124"/>
    </row>
    <row r="24" spans="9:12" ht="12.75">
      <c r="I24" s="1124"/>
      <c r="J24" s="1124"/>
      <c r="K24" s="1124"/>
      <c r="L24" s="1124"/>
    </row>
    <row r="25" spans="2:12" ht="23.25" hidden="1">
      <c r="B25" s="1125" t="s">
        <v>678</v>
      </c>
      <c r="I25" s="1124"/>
      <c r="J25" s="1124"/>
      <c r="K25" s="1124"/>
      <c r="L25" s="1124"/>
    </row>
    <row r="26" spans="9:12" ht="12.75" hidden="1">
      <c r="I26" s="1124"/>
      <c r="J26" s="1124"/>
      <c r="K26" s="1124"/>
      <c r="L26" s="1124"/>
    </row>
    <row r="27" ht="12.75" hidden="1"/>
    <row r="28" ht="12.75" hidden="1"/>
    <row r="29" spans="4:5" ht="12.75" hidden="1">
      <c r="D29" s="1046">
        <f>+D7+D8+D9+D16</f>
        <v>41436478.81</v>
      </c>
      <c r="E29" s="1046">
        <f>+E7+E8+E9+E16</f>
        <v>38865497.09</v>
      </c>
    </row>
    <row r="30" spans="4:5" ht="12.75" hidden="1">
      <c r="D30" s="1046">
        <f>+D10</f>
        <v>766945.24</v>
      </c>
      <c r="E30" s="1046">
        <f>+E10</f>
        <v>652412.97</v>
      </c>
    </row>
    <row r="31" spans="4:5" ht="12.75" hidden="1">
      <c r="D31" s="1046">
        <f>+D11+D17</f>
        <v>14429499.97</v>
      </c>
      <c r="E31" s="1046">
        <f>+E11+E17</f>
        <v>13966393</v>
      </c>
    </row>
    <row r="32" spans="4:5" ht="12.75" hidden="1">
      <c r="D32" s="1129">
        <f>+D31+D30+D29</f>
        <v>56632924.02</v>
      </c>
      <c r="E32" s="1129">
        <f>+E31+E30+E29</f>
        <v>53484303.06</v>
      </c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66"/>
  <sheetViews>
    <sheetView zoomScale="75" zoomScaleNormal="75" zoomScalePageLayoutView="0" workbookViewId="0" topLeftCell="A52">
      <selection activeCell="B2" sqref="B2:E59"/>
    </sheetView>
  </sheetViews>
  <sheetFormatPr defaultColWidth="11.57421875" defaultRowHeight="12.75"/>
  <cols>
    <col min="1" max="1" width="11.57421875" style="214" customWidth="1"/>
    <col min="2" max="2" width="75.00390625" style="214" customWidth="1"/>
    <col min="3" max="3" width="15.57421875" style="214" customWidth="1"/>
    <col min="4" max="4" width="72.140625" style="214" customWidth="1"/>
    <col min="5" max="5" width="16.00390625" style="214" customWidth="1"/>
    <col min="6" max="6" width="11.57421875" style="214" customWidth="1"/>
    <col min="7" max="7" width="11.8515625" style="214" bestFit="1" customWidth="1"/>
    <col min="8" max="16384" width="11.57421875" style="214" customWidth="1"/>
  </cols>
  <sheetData>
    <row r="1" ht="13.5" thickBot="1"/>
    <row r="2" spans="2:5" ht="49.5" customHeight="1">
      <c r="B2" s="1534" t="s">
        <v>211</v>
      </c>
      <c r="C2" s="1535"/>
      <c r="D2" s="1536"/>
      <c r="E2" s="235">
        <f>CPYG!E2</f>
        <v>2017</v>
      </c>
    </row>
    <row r="3" spans="2:5" ht="42.75" customHeight="1">
      <c r="B3" s="1537" t="str">
        <f>CPYG!B3</f>
        <v>ENTIDAD: TRANSPORTES INTERURBANOS DE TENERIFE, S.A.</v>
      </c>
      <c r="C3" s="1538"/>
      <c r="D3" s="1539"/>
      <c r="E3" s="321" t="s">
        <v>884</v>
      </c>
    </row>
    <row r="4" spans="2:5" s="133" customFormat="1" ht="24.75" customHeight="1">
      <c r="B4" s="1540" t="s">
        <v>406</v>
      </c>
      <c r="C4" s="1541"/>
      <c r="D4" s="1541"/>
      <c r="E4" s="1542"/>
    </row>
    <row r="5" spans="2:5" s="133" customFormat="1" ht="16.5" customHeight="1">
      <c r="B5" s="1543" t="s">
        <v>801</v>
      </c>
      <c r="C5" s="1544"/>
      <c r="D5" s="1545" t="s">
        <v>803</v>
      </c>
      <c r="E5" s="1546"/>
    </row>
    <row r="6" spans="2:5" s="133" customFormat="1" ht="19.5" customHeight="1">
      <c r="B6" s="717" t="s">
        <v>802</v>
      </c>
      <c r="C6" s="315" t="s">
        <v>799</v>
      </c>
      <c r="D6" s="315" t="s">
        <v>802</v>
      </c>
      <c r="E6" s="718" t="s">
        <v>799</v>
      </c>
    </row>
    <row r="7" spans="2:5" s="133" customFormat="1" ht="19.5" customHeight="1">
      <c r="B7" s="324" t="s">
        <v>826</v>
      </c>
      <c r="C7" s="316"/>
      <c r="D7" s="317" t="s">
        <v>826</v>
      </c>
      <c r="E7" s="326"/>
    </row>
    <row r="8" spans="2:5" s="229" customFormat="1" ht="19.5" customHeight="1">
      <c r="B8" s="713" t="s">
        <v>827</v>
      </c>
      <c r="C8" s="318"/>
      <c r="D8" s="907" t="s">
        <v>827</v>
      </c>
      <c r="E8" s="716"/>
    </row>
    <row r="9" spans="2:5" s="229" customFormat="1" ht="19.5" customHeight="1">
      <c r="B9" s="713" t="s">
        <v>828</v>
      </c>
      <c r="C9" s="318"/>
      <c r="D9" s="907" t="s">
        <v>828</v>
      </c>
      <c r="E9" s="716"/>
    </row>
    <row r="10" spans="2:5" s="229" customFormat="1" ht="19.5" customHeight="1">
      <c r="B10" s="713" t="s">
        <v>829</v>
      </c>
      <c r="C10" s="318"/>
      <c r="D10" s="907" t="s">
        <v>829</v>
      </c>
      <c r="E10" s="716"/>
    </row>
    <row r="11" spans="2:5" s="229" customFormat="1" ht="19.5" customHeight="1">
      <c r="B11" s="713" t="s">
        <v>830</v>
      </c>
      <c r="C11" s="318"/>
      <c r="D11" s="907" t="s">
        <v>830</v>
      </c>
      <c r="E11" s="716"/>
    </row>
    <row r="12" spans="2:5" s="229" customFormat="1" ht="19.5" customHeight="1">
      <c r="B12" s="713" t="s">
        <v>210</v>
      </c>
      <c r="C12" s="318"/>
      <c r="D12" s="907" t="s">
        <v>210</v>
      </c>
      <c r="E12" s="716"/>
    </row>
    <row r="13" spans="2:5" s="229" customFormat="1" ht="19.5" customHeight="1">
      <c r="B13" s="713" t="s">
        <v>407</v>
      </c>
      <c r="C13" s="318"/>
      <c r="D13" s="907" t="s">
        <v>407</v>
      </c>
      <c r="E13" s="716"/>
    </row>
    <row r="14" spans="2:5" s="229" customFormat="1" ht="19.5" customHeight="1">
      <c r="B14" s="713" t="s">
        <v>863</v>
      </c>
      <c r="C14" s="318"/>
      <c r="D14" s="907" t="s">
        <v>863</v>
      </c>
      <c r="E14" s="716"/>
    </row>
    <row r="15" spans="2:7" s="229" customFormat="1" ht="19.5" customHeight="1">
      <c r="B15" s="713" t="s">
        <v>831</v>
      </c>
      <c r="C15" s="897"/>
      <c r="D15" s="907" t="s">
        <v>831</v>
      </c>
      <c r="E15" s="903"/>
      <c r="G15" s="898"/>
    </row>
    <row r="16" spans="2:5" s="229" customFormat="1" ht="19.5" customHeight="1">
      <c r="B16" s="713" t="s">
        <v>832</v>
      </c>
      <c r="C16" s="897"/>
      <c r="D16" s="907" t="s">
        <v>832</v>
      </c>
      <c r="E16" s="903"/>
    </row>
    <row r="17" spans="2:5" s="229" customFormat="1" ht="19.5" customHeight="1">
      <c r="B17" s="713" t="s">
        <v>833</v>
      </c>
      <c r="C17" s="897"/>
      <c r="D17" s="907" t="s">
        <v>833</v>
      </c>
      <c r="E17" s="903"/>
    </row>
    <row r="18" spans="2:5" s="229" customFormat="1" ht="19.5" customHeight="1">
      <c r="B18" s="713" t="s">
        <v>835</v>
      </c>
      <c r="C18" s="897"/>
      <c r="D18" s="907" t="s">
        <v>835</v>
      </c>
      <c r="E18" s="716"/>
    </row>
    <row r="19" spans="2:5" s="229" customFormat="1" ht="19.5" customHeight="1">
      <c r="B19" s="713" t="s">
        <v>834</v>
      </c>
      <c r="C19" s="318"/>
      <c r="D19" s="907" t="s">
        <v>834</v>
      </c>
      <c r="E19" s="716"/>
    </row>
    <row r="20" spans="2:5" s="229" customFormat="1" ht="19.5" customHeight="1">
      <c r="B20" s="713" t="s">
        <v>408</v>
      </c>
      <c r="C20" s="318"/>
      <c r="D20" s="907" t="s">
        <v>409</v>
      </c>
      <c r="E20" s="716"/>
    </row>
    <row r="21" spans="2:5" s="229" customFormat="1" ht="19.5" customHeight="1">
      <c r="B21" s="713" t="s">
        <v>836</v>
      </c>
      <c r="C21" s="318"/>
      <c r="D21" s="907" t="s">
        <v>836</v>
      </c>
      <c r="E21" s="716"/>
    </row>
    <row r="22" spans="2:5" s="229" customFormat="1" ht="19.5" customHeight="1">
      <c r="B22" s="713" t="s">
        <v>410</v>
      </c>
      <c r="C22" s="318"/>
      <c r="D22" s="907" t="s">
        <v>410</v>
      </c>
      <c r="E22" s="716"/>
    </row>
    <row r="23" spans="2:5" s="229" customFormat="1" ht="19.5" customHeight="1">
      <c r="B23" s="713" t="s">
        <v>839</v>
      </c>
      <c r="C23" s="318"/>
      <c r="D23" s="907" t="s">
        <v>839</v>
      </c>
      <c r="E23" s="716"/>
    </row>
    <row r="24" spans="2:5" s="229" customFormat="1" ht="19.5" customHeight="1">
      <c r="B24" s="713" t="s">
        <v>411</v>
      </c>
      <c r="C24" s="318"/>
      <c r="D24" s="907" t="s">
        <v>411</v>
      </c>
      <c r="E24" s="716"/>
    </row>
    <row r="25" spans="2:5" s="229" customFormat="1" ht="19.5" customHeight="1">
      <c r="B25" s="713" t="s">
        <v>412</v>
      </c>
      <c r="C25" s="318"/>
      <c r="D25" s="907" t="s">
        <v>412</v>
      </c>
      <c r="E25" s="716"/>
    </row>
    <row r="26" spans="2:5" s="229" customFormat="1" ht="19.5" customHeight="1">
      <c r="B26" s="713" t="s">
        <v>838</v>
      </c>
      <c r="C26" s="318"/>
      <c r="D26" s="907" t="s">
        <v>838</v>
      </c>
      <c r="E26" s="716"/>
    </row>
    <row r="27" spans="2:5" s="229" customFormat="1" ht="19.5" customHeight="1">
      <c r="B27" s="713" t="s">
        <v>413</v>
      </c>
      <c r="C27" s="318"/>
      <c r="D27" s="907" t="s">
        <v>413</v>
      </c>
      <c r="E27" s="716"/>
    </row>
    <row r="28" spans="2:5" s="229" customFormat="1" ht="19.5" customHeight="1">
      <c r="B28" s="713" t="s">
        <v>414</v>
      </c>
      <c r="C28" s="318"/>
      <c r="D28" s="907" t="s">
        <v>414</v>
      </c>
      <c r="E28" s="716"/>
    </row>
    <row r="29" spans="2:5" s="229" customFormat="1" ht="19.5" customHeight="1">
      <c r="B29" s="713" t="s">
        <v>415</v>
      </c>
      <c r="C29" s="318"/>
      <c r="D29" s="907" t="s">
        <v>415</v>
      </c>
      <c r="E29" s="716"/>
    </row>
    <row r="30" spans="2:5" s="229" customFormat="1" ht="19.5" customHeight="1">
      <c r="B30" s="713" t="s">
        <v>416</v>
      </c>
      <c r="C30" s="318"/>
      <c r="D30" s="907" t="s">
        <v>416</v>
      </c>
      <c r="E30" s="716"/>
    </row>
    <row r="31" spans="2:5" s="229" customFormat="1" ht="29.25" customHeight="1">
      <c r="B31" s="904" t="s">
        <v>51</v>
      </c>
      <c r="C31" s="318"/>
      <c r="D31" s="907" t="s">
        <v>51</v>
      </c>
      <c r="E31" s="716"/>
    </row>
    <row r="32" spans="2:5" s="229" customFormat="1" ht="29.25" customHeight="1">
      <c r="B32" s="904" t="s">
        <v>864</v>
      </c>
      <c r="C32" s="318"/>
      <c r="D32" s="907" t="s">
        <v>864</v>
      </c>
      <c r="E32" s="716"/>
    </row>
    <row r="33" spans="2:5" s="229" customFormat="1" ht="29.25" customHeight="1">
      <c r="B33" s="904" t="s">
        <v>870</v>
      </c>
      <c r="C33" s="318"/>
      <c r="D33" s="907" t="s">
        <v>870</v>
      </c>
      <c r="E33" s="716"/>
    </row>
    <row r="34" spans="2:5" s="229" customFormat="1" ht="29.25" customHeight="1">
      <c r="B34" s="904" t="s">
        <v>457</v>
      </c>
      <c r="C34" s="318"/>
      <c r="D34" s="908" t="s">
        <v>457</v>
      </c>
      <c r="E34" s="716"/>
    </row>
    <row r="35" spans="2:5" s="229" customFormat="1" ht="29.25" customHeight="1">
      <c r="B35" s="904" t="s">
        <v>458</v>
      </c>
      <c r="C35" s="318"/>
      <c r="D35" s="908" t="s">
        <v>458</v>
      </c>
      <c r="E35" s="716"/>
    </row>
    <row r="36" spans="2:5" s="229" customFormat="1" ht="29.25" customHeight="1">
      <c r="B36" s="904" t="s">
        <v>456</v>
      </c>
      <c r="C36" s="318"/>
      <c r="D36" s="908" t="s">
        <v>456</v>
      </c>
      <c r="E36" s="716"/>
    </row>
    <row r="37" spans="2:5" s="229" customFormat="1" ht="29.25" customHeight="1">
      <c r="B37" s="904" t="s">
        <v>364</v>
      </c>
      <c r="C37" s="318"/>
      <c r="D37" s="907" t="str">
        <f>B37</f>
        <v>FUNDACION TENERIFE RURAL</v>
      </c>
      <c r="E37" s="716"/>
    </row>
    <row r="38" spans="2:5" s="229" customFormat="1" ht="29.25" customHeight="1">
      <c r="B38" s="904" t="s">
        <v>866</v>
      </c>
      <c r="C38" s="318"/>
      <c r="D38" s="907" t="s">
        <v>866</v>
      </c>
      <c r="E38" s="716"/>
    </row>
    <row r="39" spans="2:5" s="229" customFormat="1" ht="22.5" customHeight="1">
      <c r="B39" s="904" t="s">
        <v>865</v>
      </c>
      <c r="C39" s="318"/>
      <c r="D39" s="907" t="s">
        <v>865</v>
      </c>
      <c r="E39" s="716"/>
    </row>
    <row r="40" spans="2:5" s="229" customFormat="1" ht="29.25" customHeight="1">
      <c r="B40" s="904" t="s">
        <v>867</v>
      </c>
      <c r="C40" s="318"/>
      <c r="D40" s="907" t="s">
        <v>867</v>
      </c>
      <c r="E40" s="716"/>
    </row>
    <row r="41" spans="2:5" s="133" customFormat="1" ht="29.25" customHeight="1">
      <c r="B41" s="719" t="s">
        <v>459</v>
      </c>
      <c r="C41" s="316"/>
      <c r="D41" s="906" t="s">
        <v>459</v>
      </c>
      <c r="E41" s="326"/>
    </row>
    <row r="42" spans="2:5" s="133" customFormat="1" ht="29.25" customHeight="1">
      <c r="B42" s="719" t="s">
        <v>465</v>
      </c>
      <c r="C42" s="316"/>
      <c r="D42" s="906" t="s">
        <v>465</v>
      </c>
      <c r="E42" s="326"/>
    </row>
    <row r="43" spans="2:5" s="133" customFormat="1" ht="29.25" customHeight="1">
      <c r="B43" s="719" t="s">
        <v>466</v>
      </c>
      <c r="C43" s="316"/>
      <c r="D43" s="906" t="s">
        <v>466</v>
      </c>
      <c r="E43" s="326"/>
    </row>
    <row r="44" spans="2:5" s="133" customFormat="1" ht="29.25" customHeight="1">
      <c r="B44" s="719" t="s">
        <v>467</v>
      </c>
      <c r="C44" s="316"/>
      <c r="D44" s="906" t="s">
        <v>467</v>
      </c>
      <c r="E44" s="326"/>
    </row>
    <row r="45" spans="2:5" s="133" customFormat="1" ht="29.25" customHeight="1" thickBot="1">
      <c r="B45" s="899" t="s">
        <v>468</v>
      </c>
      <c r="C45" s="900"/>
      <c r="D45" s="902" t="s">
        <v>468</v>
      </c>
      <c r="E45" s="901"/>
    </row>
    <row r="46" spans="2:5" s="133" customFormat="1" ht="33" customHeight="1" thickBot="1">
      <c r="B46" s="909" t="s">
        <v>824</v>
      </c>
      <c r="C46" s="910">
        <f>SUM(C7:C45)</f>
        <v>0</v>
      </c>
      <c r="D46" s="911" t="s">
        <v>824</v>
      </c>
      <c r="E46" s="912">
        <f>SUM(E7:E45)</f>
        <v>0</v>
      </c>
    </row>
    <row r="47" ht="12.75">
      <c r="C47" s="319"/>
    </row>
    <row r="48" ht="13.5" thickBot="1"/>
    <row r="49" spans="2:5" ht="24.75" customHeight="1" thickBot="1">
      <c r="B49" s="1527" t="s">
        <v>868</v>
      </c>
      <c r="C49" s="1528"/>
      <c r="D49" s="1528"/>
      <c r="E49" s="1529"/>
    </row>
    <row r="50" spans="2:5" ht="20.25" customHeight="1" thickBot="1">
      <c r="B50" s="1527" t="s">
        <v>406</v>
      </c>
      <c r="C50" s="1528"/>
      <c r="D50" s="1528"/>
      <c r="E50" s="1529"/>
    </row>
    <row r="51" spans="2:5" ht="18" customHeight="1">
      <c r="B51" s="1530" t="s">
        <v>801</v>
      </c>
      <c r="C51" s="1531"/>
      <c r="D51" s="1532" t="s">
        <v>803</v>
      </c>
      <c r="E51" s="1533"/>
    </row>
    <row r="52" spans="2:5" ht="19.5" customHeight="1">
      <c r="B52" s="717" t="s">
        <v>802</v>
      </c>
      <c r="C52" s="315" t="s">
        <v>799</v>
      </c>
      <c r="D52" s="315" t="s">
        <v>802</v>
      </c>
      <c r="E52" s="718" t="s">
        <v>799</v>
      </c>
    </row>
    <row r="53" spans="2:5" ht="23.25" customHeight="1">
      <c r="B53" s="324" t="s">
        <v>460</v>
      </c>
      <c r="C53" s="315"/>
      <c r="D53" s="905" t="s">
        <v>460</v>
      </c>
      <c r="E53" s="718"/>
    </row>
    <row r="54" spans="2:5" ht="23.25" customHeight="1">
      <c r="B54" s="719" t="s">
        <v>869</v>
      </c>
      <c r="C54" s="315"/>
      <c r="D54" s="906" t="s">
        <v>869</v>
      </c>
      <c r="E54" s="718"/>
    </row>
    <row r="55" spans="2:5" ht="25.5" customHeight="1">
      <c r="B55" s="719" t="s">
        <v>461</v>
      </c>
      <c r="C55" s="315"/>
      <c r="D55" s="906" t="s">
        <v>461</v>
      </c>
      <c r="E55" s="718"/>
    </row>
    <row r="56" spans="2:5" s="133" customFormat="1" ht="29.25" customHeight="1">
      <c r="B56" s="719" t="s">
        <v>462</v>
      </c>
      <c r="C56" s="316"/>
      <c r="D56" s="906" t="s">
        <v>462</v>
      </c>
      <c r="E56" s="326"/>
    </row>
    <row r="57" spans="2:5" s="133" customFormat="1" ht="29.25" customHeight="1">
      <c r="B57" s="899" t="s">
        <v>463</v>
      </c>
      <c r="C57" s="316"/>
      <c r="D57" s="902" t="s">
        <v>463</v>
      </c>
      <c r="E57" s="901"/>
    </row>
    <row r="58" spans="2:5" s="133" customFormat="1" ht="29.25" customHeight="1" thickBot="1">
      <c r="B58" s="899" t="s">
        <v>464</v>
      </c>
      <c r="C58" s="900"/>
      <c r="D58" s="902" t="s">
        <v>464</v>
      </c>
      <c r="E58" s="901"/>
    </row>
    <row r="59" spans="2:5" s="133" customFormat="1" ht="34.5" customHeight="1" thickBot="1">
      <c r="B59" s="909" t="s">
        <v>824</v>
      </c>
      <c r="C59" s="910">
        <f>SUM(C53:C58)</f>
        <v>0</v>
      </c>
      <c r="D59" s="911" t="s">
        <v>824</v>
      </c>
      <c r="E59" s="912">
        <f>SUM(E53:E58)</f>
        <v>0</v>
      </c>
    </row>
    <row r="60" spans="2:3" ht="12.75">
      <c r="B60" s="320"/>
      <c r="C60" s="319"/>
    </row>
    <row r="61" ht="12.75">
      <c r="C61" s="319"/>
    </row>
    <row r="62" spans="2:5" ht="12.75">
      <c r="B62" s="1526" t="s">
        <v>837</v>
      </c>
      <c r="C62" s="1526"/>
      <c r="D62" s="1526"/>
      <c r="E62" s="1526"/>
    </row>
    <row r="63" spans="2:5" ht="12.75">
      <c r="B63" s="1526" t="s">
        <v>840</v>
      </c>
      <c r="C63" s="1526"/>
      <c r="D63" s="1526"/>
      <c r="E63" s="1526"/>
    </row>
    <row r="64" ht="12.75">
      <c r="C64" s="319"/>
    </row>
    <row r="65" ht="12.75">
      <c r="C65" s="319"/>
    </row>
    <row r="66" ht="12.75">
      <c r="C66" s="319"/>
    </row>
  </sheetData>
  <sheetProtection/>
  <mergeCells count="11">
    <mergeCell ref="B49:E49"/>
    <mergeCell ref="B63:E63"/>
    <mergeCell ref="B62:E62"/>
    <mergeCell ref="B50:E50"/>
    <mergeCell ref="B51:C51"/>
    <mergeCell ref="D51:E51"/>
    <mergeCell ref="B2:D2"/>
    <mergeCell ref="B3:D3"/>
    <mergeCell ref="B4:E4"/>
    <mergeCell ref="B5:C5"/>
    <mergeCell ref="D5:E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F48"/>
  <sheetViews>
    <sheetView tabSelected="1" zoomScale="70" zoomScaleNormal="70" zoomScalePageLayoutView="0" workbookViewId="0" topLeftCell="A1">
      <selection activeCell="B2" sqref="B2:F22"/>
    </sheetView>
  </sheetViews>
  <sheetFormatPr defaultColWidth="11.57421875" defaultRowHeight="12.75"/>
  <cols>
    <col min="1" max="1" width="4.00390625" style="133" customWidth="1"/>
    <col min="2" max="2" width="17.57421875" style="133" customWidth="1"/>
    <col min="3" max="3" width="119.8515625" style="133" bestFit="1" customWidth="1"/>
    <col min="4" max="4" width="69.140625" style="133" bestFit="1" customWidth="1"/>
    <col min="5" max="5" width="17.57421875" style="133" customWidth="1"/>
    <col min="6" max="6" width="17.421875" style="133" customWidth="1"/>
    <col min="7" max="16384" width="11.57421875" style="133" customWidth="1"/>
  </cols>
  <sheetData>
    <row r="1" ht="13.5" thickBot="1"/>
    <row r="2" spans="2:6" ht="49.5" customHeight="1">
      <c r="B2" s="1310" t="s">
        <v>211</v>
      </c>
      <c r="C2" s="1311"/>
      <c r="D2" s="1311"/>
      <c r="E2" s="1311"/>
      <c r="F2" s="235">
        <f>CPYG!E2</f>
        <v>2017</v>
      </c>
    </row>
    <row r="3" spans="2:6" ht="44.25" customHeight="1">
      <c r="B3" s="1537" t="str">
        <f>CPYG!B3</f>
        <v>ENTIDAD: TRANSPORTES INTERURBANOS DE TENERIFE, S.A.</v>
      </c>
      <c r="C3" s="1547"/>
      <c r="D3" s="1547"/>
      <c r="E3" s="1548"/>
      <c r="F3" s="321" t="s">
        <v>883</v>
      </c>
    </row>
    <row r="4" spans="2:6" ht="24.75" customHeight="1">
      <c r="B4" s="1540" t="s">
        <v>417</v>
      </c>
      <c r="C4" s="1549"/>
      <c r="D4" s="1549"/>
      <c r="E4" s="1549"/>
      <c r="F4" s="1550"/>
    </row>
    <row r="5" spans="2:6" ht="30" customHeight="1">
      <c r="B5" s="322" t="s">
        <v>797</v>
      </c>
      <c r="C5" s="314" t="s">
        <v>798</v>
      </c>
      <c r="D5" s="726" t="s">
        <v>1027</v>
      </c>
      <c r="E5" s="726" t="s">
        <v>159</v>
      </c>
      <c r="F5" s="323" t="s">
        <v>800</v>
      </c>
    </row>
    <row r="6" spans="2:6" ht="19.5" customHeight="1">
      <c r="B6" s="324" t="s">
        <v>471</v>
      </c>
      <c r="C6" s="328" t="s">
        <v>501</v>
      </c>
      <c r="D6" s="328" t="s">
        <v>502</v>
      </c>
      <c r="E6" s="701"/>
      <c r="F6" s="326" t="s">
        <v>472</v>
      </c>
    </row>
    <row r="7" spans="2:6" ht="19.5" customHeight="1">
      <c r="B7" s="713" t="s">
        <v>471</v>
      </c>
      <c r="C7" s="714" t="s">
        <v>473</v>
      </c>
      <c r="D7" s="714"/>
      <c r="E7" s="715"/>
      <c r="F7" s="716" t="s">
        <v>472</v>
      </c>
    </row>
    <row r="8" spans="2:6" ht="19.5" customHeight="1">
      <c r="B8" s="713" t="s">
        <v>471</v>
      </c>
      <c r="C8" s="714" t="s">
        <v>474</v>
      </c>
      <c r="D8" s="714"/>
      <c r="E8" s="715"/>
      <c r="F8" s="716" t="s">
        <v>475</v>
      </c>
    </row>
    <row r="9" spans="2:6" ht="19.5" customHeight="1">
      <c r="B9" s="713"/>
      <c r="C9" s="714" t="s">
        <v>503</v>
      </c>
      <c r="D9" s="714"/>
      <c r="E9" s="715"/>
      <c r="F9" s="716" t="s">
        <v>504</v>
      </c>
    </row>
    <row r="10" spans="2:6" ht="19.5" customHeight="1">
      <c r="B10" s="324"/>
      <c r="C10" s="328" t="s">
        <v>505</v>
      </c>
      <c r="D10" s="328"/>
      <c r="E10" s="701"/>
      <c r="F10" s="326" t="s">
        <v>506</v>
      </c>
    </row>
    <row r="11" spans="2:6" ht="19.5" customHeight="1">
      <c r="B11" s="324"/>
      <c r="C11" s="328"/>
      <c r="D11" s="328"/>
      <c r="E11" s="701"/>
      <c r="F11" s="326"/>
    </row>
    <row r="12" spans="2:6" ht="19.5" customHeight="1">
      <c r="B12" s="324"/>
      <c r="C12" s="328"/>
      <c r="D12" s="328"/>
      <c r="E12" s="701"/>
      <c r="F12" s="326"/>
    </row>
    <row r="13" spans="2:6" ht="19.5" customHeight="1">
      <c r="B13" s="324"/>
      <c r="C13" s="328"/>
      <c r="D13" s="328"/>
      <c r="E13" s="701"/>
      <c r="F13" s="326"/>
    </row>
    <row r="14" spans="2:6" ht="19.5" customHeight="1">
      <c r="B14" s="324"/>
      <c r="C14" s="327"/>
      <c r="D14" s="327"/>
      <c r="E14" s="328"/>
      <c r="F14" s="326"/>
    </row>
    <row r="15" spans="2:6" ht="19.5" customHeight="1">
      <c r="B15" s="324"/>
      <c r="C15" s="316"/>
      <c r="D15" s="725"/>
      <c r="E15" s="325"/>
      <c r="F15" s="326"/>
    </row>
    <row r="16" spans="2:6" ht="19.5" customHeight="1">
      <c r="B16" s="324"/>
      <c r="C16" s="316"/>
      <c r="D16" s="725"/>
      <c r="E16" s="325"/>
      <c r="F16" s="326"/>
    </row>
    <row r="17" spans="2:6" ht="19.5" customHeight="1">
      <c r="B17" s="324"/>
      <c r="C17" s="316"/>
      <c r="D17" s="725"/>
      <c r="E17" s="325"/>
      <c r="F17" s="326"/>
    </row>
    <row r="18" spans="2:6" ht="19.5" customHeight="1">
      <c r="B18" s="324"/>
      <c r="C18" s="316"/>
      <c r="D18" s="725"/>
      <c r="E18" s="325"/>
      <c r="F18" s="326"/>
    </row>
    <row r="19" spans="2:6" ht="19.5" customHeight="1">
      <c r="B19" s="324"/>
      <c r="C19" s="316"/>
      <c r="D19" s="725"/>
      <c r="E19" s="325"/>
      <c r="F19" s="326"/>
    </row>
    <row r="20" spans="2:6" ht="19.5" customHeight="1">
      <c r="B20" s="324"/>
      <c r="C20" s="316"/>
      <c r="D20" s="725"/>
      <c r="E20" s="325"/>
      <c r="F20" s="326"/>
    </row>
    <row r="21" spans="2:6" ht="19.5" customHeight="1">
      <c r="B21" s="324"/>
      <c r="C21" s="316"/>
      <c r="D21" s="725"/>
      <c r="E21" s="325"/>
      <c r="F21" s="326"/>
    </row>
    <row r="22" spans="2:6" ht="23.25" customHeight="1" thickBot="1">
      <c r="B22" s="329"/>
      <c r="C22" s="330"/>
      <c r="D22" s="330"/>
      <c r="E22" s="644">
        <f>SUM(E6:E21)</f>
        <v>0</v>
      </c>
      <c r="F22" s="310"/>
    </row>
    <row r="23" spans="3:4" ht="12.75">
      <c r="C23" s="659"/>
      <c r="D23" s="659"/>
    </row>
    <row r="24" spans="3:4" ht="12.75">
      <c r="C24" s="659"/>
      <c r="D24" s="659"/>
    </row>
    <row r="25" spans="5:6" ht="12.75">
      <c r="E25" s="169"/>
      <c r="F25" s="169"/>
    </row>
    <row r="26" spans="5:6" ht="12.75">
      <c r="E26" s="169"/>
      <c r="F26" s="169"/>
    </row>
    <row r="27" spans="3:6" ht="12.75">
      <c r="C27" s="659"/>
      <c r="D27" s="659"/>
      <c r="E27" s="169"/>
      <c r="F27" s="169"/>
    </row>
    <row r="28" spans="3:6" ht="12.75">
      <c r="C28" s="659"/>
      <c r="D28" s="659"/>
      <c r="E28" s="169"/>
      <c r="F28" s="169"/>
    </row>
    <row r="29" spans="5:6" ht="12.75">
      <c r="E29" s="169"/>
      <c r="F29" s="169"/>
    </row>
    <row r="30" spans="5:6" ht="12.75">
      <c r="E30" s="169"/>
      <c r="F30" s="169"/>
    </row>
    <row r="31" spans="3:6" ht="12.75">
      <c r="C31" s="702"/>
      <c r="D31" s="702"/>
      <c r="E31" s="703"/>
      <c r="F31" s="703"/>
    </row>
    <row r="32" spans="3:6" ht="12.75">
      <c r="C32" s="659"/>
      <c r="D32" s="659"/>
      <c r="E32" s="169"/>
      <c r="F32" s="169"/>
    </row>
    <row r="33" spans="3:4" ht="12.75">
      <c r="C33" s="659"/>
      <c r="D33" s="659"/>
    </row>
    <row r="34" spans="3:6" ht="12.75">
      <c r="C34" s="702"/>
      <c r="D34" s="702"/>
      <c r="E34" s="703"/>
      <c r="F34" s="703"/>
    </row>
    <row r="35" spans="3:6" ht="12.75">
      <c r="C35" s="702"/>
      <c r="D35" s="702"/>
      <c r="E35" s="703"/>
      <c r="F35" s="703"/>
    </row>
    <row r="36" spans="3:4" ht="12.75">
      <c r="C36" s="659"/>
      <c r="D36" s="659"/>
    </row>
    <row r="37" spans="3:4" ht="12.75">
      <c r="C37" s="659"/>
      <c r="D37" s="659"/>
    </row>
    <row r="38" spans="3:4" ht="12.75">
      <c r="C38" s="659"/>
      <c r="D38" s="659"/>
    </row>
    <row r="39" spans="3:4" ht="12.75">
      <c r="C39" s="659"/>
      <c r="D39" s="659"/>
    </row>
    <row r="40" spans="3:4" ht="12.75">
      <c r="C40" s="659"/>
      <c r="D40" s="659"/>
    </row>
    <row r="41" spans="3:4" ht="12.75">
      <c r="C41" s="659"/>
      <c r="D41" s="659"/>
    </row>
    <row r="42" spans="3:4" ht="12.75">
      <c r="C42" s="659"/>
      <c r="D42" s="659"/>
    </row>
    <row r="43" spans="3:4" ht="12.75">
      <c r="C43" s="659"/>
      <c r="D43" s="659"/>
    </row>
    <row r="44" spans="3:4" ht="12.75">
      <c r="C44" s="659"/>
      <c r="D44" s="659"/>
    </row>
    <row r="45" spans="3:4" ht="12.75">
      <c r="C45" s="659"/>
      <c r="D45" s="659"/>
    </row>
    <row r="46" spans="3:4" ht="12.75">
      <c r="C46" s="659"/>
      <c r="D46" s="659"/>
    </row>
    <row r="47" spans="3:4" ht="12.75">
      <c r="C47" s="659"/>
      <c r="D47" s="659"/>
    </row>
    <row r="48" spans="3:4" ht="12.75">
      <c r="C48" s="659"/>
      <c r="D48" s="659"/>
    </row>
  </sheetData>
  <sheetProtection/>
  <mergeCells count="3">
    <mergeCell ref="B2:E2"/>
    <mergeCell ref="B3:E3"/>
    <mergeCell ref="B4:F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F29"/>
  <sheetViews>
    <sheetView zoomScalePageLayoutView="0" workbookViewId="0" topLeftCell="A1">
      <selection activeCell="B2" sqref="B2:F22"/>
    </sheetView>
  </sheetViews>
  <sheetFormatPr defaultColWidth="11.57421875" defaultRowHeight="12.75"/>
  <cols>
    <col min="1" max="1" width="3.57421875" style="133" customWidth="1"/>
    <col min="2" max="2" width="4.00390625" style="133" customWidth="1"/>
    <col min="3" max="3" width="82.140625" style="133" customWidth="1"/>
    <col min="4" max="4" width="20.8515625" style="133" customWidth="1"/>
    <col min="5" max="5" width="30.57421875" style="133" customWidth="1"/>
    <col min="6" max="6" width="25.421875" style="133" customWidth="1"/>
    <col min="7" max="16384" width="11.57421875" style="133" customWidth="1"/>
  </cols>
  <sheetData>
    <row r="1" ht="13.5" thickBot="1"/>
    <row r="2" spans="2:6" ht="36.75" customHeight="1" thickBot="1">
      <c r="B2" s="1556" t="s">
        <v>185</v>
      </c>
      <c r="C2" s="1557"/>
      <c r="D2" s="1557"/>
      <c r="E2" s="1557"/>
      <c r="F2" s="842">
        <v>2017</v>
      </c>
    </row>
    <row r="3" spans="2:6" ht="36" customHeight="1" thickBot="1">
      <c r="B3" s="1558" t="str">
        <f>+CPYG!B3</f>
        <v>ENTIDAD: TRANSPORTES INTERURBANOS DE TENERIFE, S.A.</v>
      </c>
      <c r="C3" s="1559"/>
      <c r="D3" s="1559"/>
      <c r="E3" s="1559"/>
      <c r="F3" s="843" t="s">
        <v>160</v>
      </c>
    </row>
    <row r="4" spans="2:6" ht="57" customHeight="1" thickBot="1">
      <c r="B4" s="1554" t="s">
        <v>220</v>
      </c>
      <c r="C4" s="1555"/>
      <c r="D4" s="219" t="s">
        <v>161</v>
      </c>
      <c r="E4" s="1560" t="s">
        <v>196</v>
      </c>
      <c r="F4" s="1561"/>
    </row>
    <row r="5" spans="2:6" ht="19.5" customHeight="1">
      <c r="B5" s="844" t="s">
        <v>162</v>
      </c>
      <c r="C5" s="495"/>
      <c r="D5" s="930">
        <f>SUM(D6:D14)</f>
        <v>95388190.87838331</v>
      </c>
      <c r="E5" s="1551"/>
      <c r="F5" s="1552"/>
    </row>
    <row r="6" spans="2:6" ht="15" customHeight="1">
      <c r="B6" s="230"/>
      <c r="C6" s="845" t="s">
        <v>163</v>
      </c>
      <c r="D6" s="931">
        <f>+CPYG!E7</f>
        <v>56228153.96</v>
      </c>
      <c r="E6" s="1553"/>
      <c r="F6" s="1514"/>
    </row>
    <row r="7" spans="2:6" ht="15" customHeight="1">
      <c r="B7" s="230"/>
      <c r="C7" s="845" t="s">
        <v>164</v>
      </c>
      <c r="D7" s="931">
        <f>+CPYG!E11</f>
        <v>0</v>
      </c>
      <c r="E7" s="1553"/>
      <c r="F7" s="1514"/>
    </row>
    <row r="8" spans="2:6" ht="15" customHeight="1">
      <c r="B8" s="230"/>
      <c r="C8" s="845" t="s">
        <v>165</v>
      </c>
      <c r="D8" s="931">
        <f>+CPYG!E18</f>
        <v>1725755.61</v>
      </c>
      <c r="E8" s="1553"/>
      <c r="F8" s="1514"/>
    </row>
    <row r="9" spans="2:6" ht="15" customHeight="1">
      <c r="B9" s="230"/>
      <c r="C9" s="845" t="s">
        <v>166</v>
      </c>
      <c r="D9" s="931">
        <f>+CPYG!E22</f>
        <v>31098751.5683833</v>
      </c>
      <c r="E9" s="1553"/>
      <c r="F9" s="1514"/>
    </row>
    <row r="10" spans="2:6" ht="15" customHeight="1">
      <c r="B10" s="230"/>
      <c r="C10" s="845" t="s">
        <v>167</v>
      </c>
      <c r="D10" s="931">
        <f>+CPYG!E66</f>
        <v>75831.54</v>
      </c>
      <c r="E10" s="1553"/>
      <c r="F10" s="1514"/>
    </row>
    <row r="11" spans="2:6" ht="15" customHeight="1">
      <c r="B11" s="230"/>
      <c r="C11" s="845" t="s">
        <v>168</v>
      </c>
      <c r="D11" s="931">
        <v>0</v>
      </c>
      <c r="E11" s="1553"/>
      <c r="F11" s="1514"/>
    </row>
    <row r="12" spans="2:6" ht="15" customHeight="1">
      <c r="B12" s="230"/>
      <c r="C12" s="845" t="s">
        <v>288</v>
      </c>
      <c r="D12" s="931">
        <f>+CPYG!E64</f>
        <v>0</v>
      </c>
      <c r="E12" s="1553"/>
      <c r="F12" s="1514"/>
    </row>
    <row r="13" spans="2:6" ht="15" customHeight="1">
      <c r="B13" s="230"/>
      <c r="C13" s="845" t="s">
        <v>169</v>
      </c>
      <c r="D13" s="931">
        <v>0</v>
      </c>
      <c r="E13" s="1553"/>
      <c r="F13" s="1514"/>
    </row>
    <row r="14" spans="2:6" ht="15" customHeight="1">
      <c r="B14" s="230"/>
      <c r="C14" s="845" t="s">
        <v>170</v>
      </c>
      <c r="D14" s="931">
        <f>+'Inversiones reales'!H17</f>
        <v>6259698.2</v>
      </c>
      <c r="E14" s="1553"/>
      <c r="F14" s="1514"/>
    </row>
    <row r="15" spans="2:6" ht="3" customHeight="1">
      <c r="B15" s="230"/>
      <c r="C15" s="845"/>
      <c r="D15" s="835"/>
      <c r="E15" s="1553"/>
      <c r="F15" s="1514"/>
    </row>
    <row r="16" spans="2:6" ht="19.5" customHeight="1">
      <c r="B16" s="831" t="s">
        <v>171</v>
      </c>
      <c r="C16" s="845"/>
      <c r="D16" s="932">
        <f>SUM(D17:D28)</f>
        <v>-88700026.2651154</v>
      </c>
      <c r="E16" s="1553"/>
      <c r="F16" s="1514"/>
    </row>
    <row r="17" spans="2:6" ht="15" customHeight="1">
      <c r="B17" s="230"/>
      <c r="C17" s="845" t="s">
        <v>172</v>
      </c>
      <c r="D17" s="931">
        <f>+CPYG!E12</f>
        <v>-13674494</v>
      </c>
      <c r="E17" s="1553"/>
      <c r="F17" s="1514"/>
    </row>
    <row r="18" spans="2:6" ht="15" customHeight="1">
      <c r="B18" s="230"/>
      <c r="C18" s="845" t="s">
        <v>173</v>
      </c>
      <c r="D18" s="931">
        <f>+CPYG!E29</f>
        <v>-56632924.019999996</v>
      </c>
      <c r="E18" s="1553"/>
      <c r="F18" s="1514"/>
    </row>
    <row r="19" spans="2:6" ht="15" customHeight="1">
      <c r="B19" s="230"/>
      <c r="C19" s="845" t="s">
        <v>174</v>
      </c>
      <c r="D19" s="931">
        <f>+CPYG!E37</f>
        <v>-17023386.635115393</v>
      </c>
      <c r="E19" s="1553"/>
      <c r="F19" s="1514"/>
    </row>
    <row r="20" spans="2:6" ht="15" customHeight="1">
      <c r="B20" s="230"/>
      <c r="C20" s="845" t="s">
        <v>175</v>
      </c>
      <c r="D20" s="931">
        <f>+CPYG!E74</f>
        <v>-78890.54000000001</v>
      </c>
      <c r="E20" s="1553"/>
      <c r="F20" s="1514"/>
    </row>
    <row r="21" spans="2:6" ht="15" customHeight="1">
      <c r="B21" s="230"/>
      <c r="C21" s="845" t="s">
        <v>176</v>
      </c>
      <c r="D21" s="931">
        <v>0</v>
      </c>
      <c r="E21" s="1553"/>
      <c r="F21" s="1514"/>
    </row>
    <row r="22" spans="2:6" ht="15" customHeight="1">
      <c r="B22" s="230"/>
      <c r="C22" s="845" t="s">
        <v>177</v>
      </c>
      <c r="D22" s="931">
        <v>0</v>
      </c>
      <c r="E22" s="1553"/>
      <c r="F22" s="1514"/>
    </row>
    <row r="23" spans="2:6" ht="15" customHeight="1">
      <c r="B23" s="230"/>
      <c r="C23" s="845" t="s">
        <v>178</v>
      </c>
      <c r="D23" s="931">
        <f>+CPYG!E63</f>
        <v>-1266731.07</v>
      </c>
      <c r="E23" s="1553"/>
      <c r="F23" s="1514"/>
    </row>
    <row r="24" spans="2:6" ht="15" customHeight="1">
      <c r="B24" s="230"/>
      <c r="C24" s="845" t="s">
        <v>179</v>
      </c>
      <c r="D24" s="931">
        <v>0</v>
      </c>
      <c r="E24" s="1553"/>
      <c r="F24" s="1514"/>
    </row>
    <row r="25" spans="2:6" ht="15" customHeight="1">
      <c r="B25" s="230"/>
      <c r="C25" s="845" t="s">
        <v>184</v>
      </c>
      <c r="D25" s="931">
        <f>+'Inv. NO FIN'!D22+'Inv. NO FIN'!I22</f>
        <v>-23600.000000001863</v>
      </c>
      <c r="E25" s="1553"/>
      <c r="F25" s="1514"/>
    </row>
    <row r="26" spans="2:6" ht="15" customHeight="1">
      <c r="B26" s="230"/>
      <c r="C26" s="845" t="s">
        <v>180</v>
      </c>
      <c r="D26" s="931">
        <v>0</v>
      </c>
      <c r="E26" s="1553"/>
      <c r="F26" s="1514"/>
    </row>
    <row r="27" spans="2:6" ht="15" customHeight="1">
      <c r="B27" s="230"/>
      <c r="C27" s="845" t="s">
        <v>181</v>
      </c>
      <c r="D27" s="931">
        <v>0</v>
      </c>
      <c r="E27" s="1553"/>
      <c r="F27" s="1514"/>
    </row>
    <row r="28" spans="2:6" ht="15" customHeight="1">
      <c r="B28" s="846"/>
      <c r="C28" s="847" t="s">
        <v>182</v>
      </c>
      <c r="D28" s="933">
        <v>0</v>
      </c>
      <c r="E28" s="1566"/>
      <c r="F28" s="1567"/>
    </row>
    <row r="29" spans="2:6" ht="22.5" customHeight="1" thickBot="1">
      <c r="B29" s="1562" t="s">
        <v>183</v>
      </c>
      <c r="C29" s="1563"/>
      <c r="D29" s="934">
        <f>+D5+D16</f>
        <v>6688164.613267913</v>
      </c>
      <c r="E29" s="1564"/>
      <c r="F29" s="1565"/>
    </row>
  </sheetData>
  <sheetProtection/>
  <mergeCells count="30">
    <mergeCell ref="B29:C29"/>
    <mergeCell ref="E29:F29"/>
    <mergeCell ref="E25:F25"/>
    <mergeCell ref="E26:F26"/>
    <mergeCell ref="E27:F27"/>
    <mergeCell ref="E28:F28"/>
    <mergeCell ref="E21:F21"/>
    <mergeCell ref="E22:F22"/>
    <mergeCell ref="E23:F23"/>
    <mergeCell ref="E24:F24"/>
    <mergeCell ref="E17:F17"/>
    <mergeCell ref="E18:F18"/>
    <mergeCell ref="E19:F19"/>
    <mergeCell ref="E20:F20"/>
    <mergeCell ref="E13:F13"/>
    <mergeCell ref="E14:F14"/>
    <mergeCell ref="E15:F15"/>
    <mergeCell ref="E16:F16"/>
    <mergeCell ref="E9:F9"/>
    <mergeCell ref="E10:F10"/>
    <mergeCell ref="E11:F11"/>
    <mergeCell ref="E12:F12"/>
    <mergeCell ref="E5:F5"/>
    <mergeCell ref="E6:F6"/>
    <mergeCell ref="E7:F7"/>
    <mergeCell ref="E8:F8"/>
    <mergeCell ref="B4:C4"/>
    <mergeCell ref="B2:E2"/>
    <mergeCell ref="B3:E3"/>
    <mergeCell ref="E4:F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J49"/>
  <sheetViews>
    <sheetView zoomScale="55" zoomScaleNormal="55" zoomScalePageLayoutView="0" workbookViewId="0" topLeftCell="A1">
      <selection activeCell="B3" sqref="B3:J47"/>
    </sheetView>
  </sheetViews>
  <sheetFormatPr defaultColWidth="11.57421875" defaultRowHeight="12.75"/>
  <cols>
    <col min="1" max="1" width="7.8515625" style="133" customWidth="1"/>
    <col min="2" max="2" width="54.140625" style="133" bestFit="1" customWidth="1"/>
    <col min="3" max="3" width="16.140625" style="133" customWidth="1"/>
    <col min="4" max="4" width="19.57421875" style="133" customWidth="1"/>
    <col min="5" max="5" width="19.421875" style="133" customWidth="1"/>
    <col min="6" max="6" width="18.421875" style="133" customWidth="1"/>
    <col min="7" max="7" width="20.57421875" style="133" customWidth="1"/>
    <col min="8" max="8" width="20.421875" style="133" customWidth="1"/>
    <col min="9" max="9" width="17.421875" style="133" customWidth="1"/>
    <col min="10" max="10" width="20.421875" style="133" customWidth="1"/>
    <col min="11" max="16384" width="11.57421875" style="133" customWidth="1"/>
  </cols>
  <sheetData>
    <row r="2" ht="13.5" thickBot="1"/>
    <row r="3" spans="1:10" ht="33.75" customHeight="1">
      <c r="A3" s="757"/>
      <c r="B3" s="1165" t="s">
        <v>60</v>
      </c>
      <c r="C3" s="1166"/>
      <c r="D3" s="1166"/>
      <c r="E3" s="1166"/>
      <c r="F3" s="1166"/>
      <c r="G3" s="1166"/>
      <c r="H3" s="1166"/>
      <c r="I3" s="1167"/>
      <c r="J3" s="1168">
        <v>2017</v>
      </c>
    </row>
    <row r="4" spans="1:10" ht="22.5" customHeight="1" thickBot="1">
      <c r="A4" s="757"/>
      <c r="B4" s="1170" t="s">
        <v>1022</v>
      </c>
      <c r="C4" s="1171"/>
      <c r="D4" s="1171"/>
      <c r="E4" s="1171"/>
      <c r="F4" s="1171"/>
      <c r="G4" s="1171"/>
      <c r="H4" s="1171"/>
      <c r="I4" s="1172"/>
      <c r="J4" s="1169"/>
    </row>
    <row r="5" spans="2:10" ht="30" customHeight="1">
      <c r="B5" s="1173" t="str">
        <f>'ORGANOS DE GOBIERNO'!B4:I4</f>
        <v>ENTIDAD: TRANSPORTES INTERURBANOS DE TENERIFE, S.A.</v>
      </c>
      <c r="C5" s="1174"/>
      <c r="D5" s="1174"/>
      <c r="E5" s="1174"/>
      <c r="F5" s="1174"/>
      <c r="G5" s="1174"/>
      <c r="H5" s="1174"/>
      <c r="I5" s="1174"/>
      <c r="J5" s="1175"/>
    </row>
    <row r="6" spans="2:10" ht="6" customHeight="1">
      <c r="B6" s="758"/>
      <c r="C6" s="759"/>
      <c r="D6" s="759"/>
      <c r="E6" s="759"/>
      <c r="F6" s="759"/>
      <c r="G6" s="158"/>
      <c r="H6" s="158"/>
      <c r="I6" s="158"/>
      <c r="J6" s="231"/>
    </row>
    <row r="7" spans="2:10" ht="18" customHeight="1">
      <c r="B7" s="760" t="s">
        <v>270</v>
      </c>
      <c r="C7" s="158"/>
      <c r="D7" s="158"/>
      <c r="E7" s="158"/>
      <c r="F7" s="158"/>
      <c r="G7" s="158"/>
      <c r="H7" s="158"/>
      <c r="I7" s="158"/>
      <c r="J7" s="231"/>
    </row>
    <row r="8" spans="2:10" ht="28.5" customHeight="1">
      <c r="B8" s="761"/>
      <c r="C8" s="762"/>
      <c r="D8" s="158"/>
      <c r="E8" s="158"/>
      <c r="F8" s="158"/>
      <c r="G8" s="1163" t="s">
        <v>61</v>
      </c>
      <c r="H8" s="1163"/>
      <c r="I8" s="1163"/>
      <c r="J8" s="1164"/>
    </row>
    <row r="9" spans="2:10" ht="46.5" customHeight="1" thickBot="1">
      <c r="B9" s="763" t="s">
        <v>271</v>
      </c>
      <c r="C9" s="764" t="s">
        <v>272</v>
      </c>
      <c r="D9" s="765" t="s">
        <v>62</v>
      </c>
      <c r="E9" s="765" t="s">
        <v>63</v>
      </c>
      <c r="F9" s="764" t="s">
        <v>69</v>
      </c>
      <c r="G9" s="764" t="s">
        <v>64</v>
      </c>
      <c r="H9" s="764" t="s">
        <v>65</v>
      </c>
      <c r="I9" s="764" t="s">
        <v>66</v>
      </c>
      <c r="J9" s="766" t="s">
        <v>67</v>
      </c>
    </row>
    <row r="10" spans="2:10" ht="15" customHeight="1">
      <c r="B10" s="761" t="s">
        <v>214</v>
      </c>
      <c r="C10" s="767">
        <v>100</v>
      </c>
      <c r="D10" s="768">
        <v>5000</v>
      </c>
      <c r="E10" s="769">
        <v>5409108.94</v>
      </c>
      <c r="F10" s="770"/>
      <c r="G10" s="158"/>
      <c r="H10" s="158"/>
      <c r="I10" s="158"/>
      <c r="J10" s="231"/>
    </row>
    <row r="11" spans="2:10" ht="15" customHeight="1">
      <c r="B11" s="761"/>
      <c r="C11" s="767"/>
      <c r="D11" s="771"/>
      <c r="E11" s="772"/>
      <c r="F11" s="772"/>
      <c r="G11" s="158"/>
      <c r="H11" s="158"/>
      <c r="I11" s="158"/>
      <c r="J11" s="231"/>
    </row>
    <row r="12" spans="2:10" ht="15" customHeight="1">
      <c r="B12" s="761"/>
      <c r="C12" s="767"/>
      <c r="D12" s="771"/>
      <c r="E12" s="772"/>
      <c r="F12" s="772"/>
      <c r="G12" s="158"/>
      <c r="H12" s="158"/>
      <c r="I12" s="158"/>
      <c r="J12" s="231"/>
    </row>
    <row r="13" spans="2:10" ht="15" customHeight="1">
      <c r="B13" s="761"/>
      <c r="C13" s="738"/>
      <c r="D13" s="771"/>
      <c r="E13" s="772"/>
      <c r="F13" s="772"/>
      <c r="G13" s="158"/>
      <c r="H13" s="158"/>
      <c r="I13" s="158"/>
      <c r="J13" s="231"/>
    </row>
    <row r="14" spans="2:10" ht="15" customHeight="1">
      <c r="B14" s="761"/>
      <c r="C14" s="773"/>
      <c r="D14" s="771"/>
      <c r="E14" s="772"/>
      <c r="F14" s="772"/>
      <c r="G14" s="158"/>
      <c r="H14" s="158"/>
      <c r="I14" s="158"/>
      <c r="J14" s="231"/>
    </row>
    <row r="15" spans="2:10" ht="15" customHeight="1">
      <c r="B15" s="230"/>
      <c r="C15" s="738"/>
      <c r="D15" s="771"/>
      <c r="E15" s="772"/>
      <c r="F15" s="772"/>
      <c r="G15" s="158"/>
      <c r="H15" s="158"/>
      <c r="I15" s="158"/>
      <c r="J15" s="231"/>
    </row>
    <row r="16" spans="2:10" ht="15" customHeight="1">
      <c r="B16" s="760" t="s">
        <v>273</v>
      </c>
      <c r="C16" s="738"/>
      <c r="D16" s="158"/>
      <c r="E16" s="772"/>
      <c r="F16" s="772"/>
      <c r="G16" s="158"/>
      <c r="H16" s="158"/>
      <c r="I16" s="158"/>
      <c r="J16" s="231"/>
    </row>
    <row r="17" spans="2:10" ht="27.75" customHeight="1">
      <c r="B17" s="761"/>
      <c r="C17" s="773"/>
      <c r="D17" s="158"/>
      <c r="E17" s="158"/>
      <c r="F17" s="158"/>
      <c r="G17" s="1163" t="s">
        <v>61</v>
      </c>
      <c r="H17" s="1163"/>
      <c r="I17" s="1163"/>
      <c r="J17" s="1164"/>
    </row>
    <row r="18" spans="2:10" ht="36" customHeight="1" thickBot="1">
      <c r="B18" s="763" t="s">
        <v>274</v>
      </c>
      <c r="C18" s="764" t="s">
        <v>272</v>
      </c>
      <c r="D18" s="765" t="s">
        <v>62</v>
      </c>
      <c r="E18" s="765" t="s">
        <v>63</v>
      </c>
      <c r="F18" s="764" t="s">
        <v>68</v>
      </c>
      <c r="G18" s="764" t="s">
        <v>64</v>
      </c>
      <c r="H18" s="764" t="s">
        <v>65</v>
      </c>
      <c r="I18" s="764" t="s">
        <v>66</v>
      </c>
      <c r="J18" s="766" t="s">
        <v>67</v>
      </c>
    </row>
    <row r="19" spans="2:10" ht="15" customHeight="1">
      <c r="B19" s="761" t="s">
        <v>476</v>
      </c>
      <c r="C19" s="774">
        <v>40</v>
      </c>
      <c r="D19" s="158"/>
      <c r="E19" s="158"/>
      <c r="F19" s="158"/>
      <c r="G19" s="158"/>
      <c r="H19" s="158"/>
      <c r="I19" s="158"/>
      <c r="J19" s="231"/>
    </row>
    <row r="20" spans="2:10" ht="15" customHeight="1">
      <c r="B20" s="761" t="s">
        <v>477</v>
      </c>
      <c r="C20" s="774">
        <v>40</v>
      </c>
      <c r="D20" s="158"/>
      <c r="E20" s="158"/>
      <c r="F20" s="158"/>
      <c r="G20" s="158"/>
      <c r="H20" s="158"/>
      <c r="I20" s="158"/>
      <c r="J20" s="231"/>
    </row>
    <row r="21" spans="2:10" ht="15" customHeight="1">
      <c r="B21" s="761"/>
      <c r="C21" s="774"/>
      <c r="D21" s="158"/>
      <c r="E21" s="158"/>
      <c r="F21" s="158"/>
      <c r="G21" s="158"/>
      <c r="H21" s="158"/>
      <c r="I21" s="158"/>
      <c r="J21" s="231"/>
    </row>
    <row r="22" spans="2:10" ht="15" customHeight="1">
      <c r="B22" s="761"/>
      <c r="C22" s="774"/>
      <c r="D22" s="158"/>
      <c r="E22" s="158"/>
      <c r="F22" s="158"/>
      <c r="G22" s="158"/>
      <c r="H22" s="158"/>
      <c r="I22" s="158"/>
      <c r="J22" s="231"/>
    </row>
    <row r="23" spans="2:10" ht="15" customHeight="1">
      <c r="B23" s="761"/>
      <c r="C23" s="762"/>
      <c r="D23" s="158"/>
      <c r="E23" s="158"/>
      <c r="F23" s="158"/>
      <c r="G23" s="158"/>
      <c r="H23" s="158"/>
      <c r="I23" s="158"/>
      <c r="J23" s="231"/>
    </row>
    <row r="24" spans="2:10" ht="15" customHeight="1">
      <c r="B24" s="761"/>
      <c r="C24" s="762"/>
      <c r="D24" s="158"/>
      <c r="E24" s="158"/>
      <c r="F24" s="158"/>
      <c r="G24" s="158"/>
      <c r="H24" s="158"/>
      <c r="I24" s="158"/>
      <c r="J24" s="231"/>
    </row>
    <row r="25" spans="2:10" ht="15" customHeight="1">
      <c r="B25" s="230"/>
      <c r="C25" s="158"/>
      <c r="D25" s="158"/>
      <c r="E25" s="158"/>
      <c r="F25" s="158"/>
      <c r="G25" s="158"/>
      <c r="H25" s="158"/>
      <c r="I25" s="158"/>
      <c r="J25" s="231"/>
    </row>
    <row r="26" spans="2:10" ht="15" customHeight="1">
      <c r="B26" s="761"/>
      <c r="C26" s="762"/>
      <c r="D26" s="158"/>
      <c r="E26" s="158"/>
      <c r="F26" s="158"/>
      <c r="G26" s="158"/>
      <c r="H26" s="158"/>
      <c r="I26" s="158"/>
      <c r="J26" s="231"/>
    </row>
    <row r="27" spans="2:10" ht="15" customHeight="1">
      <c r="B27" s="761"/>
      <c r="C27" s="762"/>
      <c r="D27" s="158"/>
      <c r="E27" s="158"/>
      <c r="F27" s="158"/>
      <c r="G27" s="158"/>
      <c r="H27" s="158"/>
      <c r="I27" s="158"/>
      <c r="J27" s="231"/>
    </row>
    <row r="28" spans="2:10" ht="15" customHeight="1">
      <c r="B28" s="760" t="s">
        <v>275</v>
      </c>
      <c r="C28" s="158"/>
      <c r="D28" s="158"/>
      <c r="E28" s="158"/>
      <c r="F28" s="158"/>
      <c r="G28" s="158"/>
      <c r="H28" s="158"/>
      <c r="I28" s="158"/>
      <c r="J28" s="231"/>
    </row>
    <row r="29" spans="2:10" ht="5.25" customHeight="1">
      <c r="B29" s="761"/>
      <c r="C29" s="762"/>
      <c r="D29" s="158"/>
      <c r="E29" s="158"/>
      <c r="F29" s="158"/>
      <c r="G29" s="158"/>
      <c r="H29" s="158"/>
      <c r="I29" s="158"/>
      <c r="J29" s="231"/>
    </row>
    <row r="30" spans="2:10" ht="29.25" customHeight="1" thickBot="1">
      <c r="B30" s="763" t="s">
        <v>276</v>
      </c>
      <c r="C30" s="775" t="s">
        <v>277</v>
      </c>
      <c r="D30" s="764" t="s">
        <v>278</v>
      </c>
      <c r="E30" s="309"/>
      <c r="F30" s="309"/>
      <c r="G30" s="309"/>
      <c r="H30" s="309"/>
      <c r="I30" s="309"/>
      <c r="J30" s="313"/>
    </row>
    <row r="31" spans="2:10" ht="9.75" customHeight="1">
      <c r="B31" s="776"/>
      <c r="C31" s="777"/>
      <c r="D31" s="756"/>
      <c r="E31" s="158"/>
      <c r="F31" s="158"/>
      <c r="G31" s="158"/>
      <c r="H31" s="158"/>
      <c r="I31" s="158"/>
      <c r="J31" s="231"/>
    </row>
    <row r="32" spans="2:10" ht="16.5" customHeight="1">
      <c r="B32" s="761" t="s">
        <v>478</v>
      </c>
      <c r="C32" s="158" t="s">
        <v>279</v>
      </c>
      <c r="D32" s="778">
        <v>42279</v>
      </c>
      <c r="E32" s="158"/>
      <c r="F32" s="158"/>
      <c r="G32" s="158"/>
      <c r="H32" s="158"/>
      <c r="I32" s="158"/>
      <c r="J32" s="231"/>
    </row>
    <row r="33" spans="2:10" ht="15" customHeight="1">
      <c r="B33" s="761" t="s">
        <v>479</v>
      </c>
      <c r="C33" s="158" t="s">
        <v>280</v>
      </c>
      <c r="D33" s="778">
        <v>42279</v>
      </c>
      <c r="E33" s="158"/>
      <c r="F33" s="158"/>
      <c r="G33" s="158"/>
      <c r="H33" s="158"/>
      <c r="I33" s="158"/>
      <c r="J33" s="231"/>
    </row>
    <row r="34" spans="2:10" ht="15" customHeight="1">
      <c r="B34" s="761" t="s">
        <v>480</v>
      </c>
      <c r="C34" s="158" t="s">
        <v>282</v>
      </c>
      <c r="D34" s="779">
        <v>42279</v>
      </c>
      <c r="E34" s="158"/>
      <c r="F34" s="158"/>
      <c r="G34" s="158"/>
      <c r="H34" s="158"/>
      <c r="I34" s="158"/>
      <c r="J34" s="231"/>
    </row>
    <row r="35" spans="2:10" ht="15" customHeight="1">
      <c r="B35" s="761" t="s">
        <v>481</v>
      </c>
      <c r="C35" s="158" t="s">
        <v>282</v>
      </c>
      <c r="D35" s="779">
        <v>42279</v>
      </c>
      <c r="E35" s="158"/>
      <c r="F35" s="158"/>
      <c r="G35" s="158"/>
      <c r="H35" s="158"/>
      <c r="I35" s="158"/>
      <c r="J35" s="231"/>
    </row>
    <row r="36" spans="2:10" ht="15" customHeight="1">
      <c r="B36" s="761" t="s">
        <v>482</v>
      </c>
      <c r="C36" s="158" t="s">
        <v>282</v>
      </c>
      <c r="D36" s="779">
        <v>42279</v>
      </c>
      <c r="E36" s="158"/>
      <c r="F36" s="158"/>
      <c r="G36" s="158"/>
      <c r="H36" s="158"/>
      <c r="I36" s="158"/>
      <c r="J36" s="231"/>
    </row>
    <row r="37" spans="2:10" ht="15" customHeight="1">
      <c r="B37" s="761" t="s">
        <v>483</v>
      </c>
      <c r="C37" s="158" t="s">
        <v>282</v>
      </c>
      <c r="D37" s="779">
        <v>42279</v>
      </c>
      <c r="E37" s="158"/>
      <c r="F37" s="158"/>
      <c r="G37" s="158"/>
      <c r="H37" s="158"/>
      <c r="I37" s="158"/>
      <c r="J37" s="231"/>
    </row>
    <row r="38" spans="2:10" ht="15" customHeight="1">
      <c r="B38" s="761" t="s">
        <v>484</v>
      </c>
      <c r="C38" s="158" t="s">
        <v>282</v>
      </c>
      <c r="D38" s="779">
        <v>42279</v>
      </c>
      <c r="E38" s="158"/>
      <c r="F38" s="158"/>
      <c r="G38" s="158"/>
      <c r="H38" s="158"/>
      <c r="I38" s="158"/>
      <c r="J38" s="231"/>
    </row>
    <row r="39" spans="2:10" ht="15" customHeight="1">
      <c r="B39" s="761" t="s">
        <v>485</v>
      </c>
      <c r="C39" s="158" t="s">
        <v>282</v>
      </c>
      <c r="D39" s="779">
        <v>42279</v>
      </c>
      <c r="E39" s="158"/>
      <c r="F39" s="158"/>
      <c r="G39" s="158"/>
      <c r="H39" s="158"/>
      <c r="I39" s="158"/>
      <c r="J39" s="231"/>
    </row>
    <row r="40" spans="2:10" ht="15" customHeight="1">
      <c r="B40" s="761" t="s">
        <v>486</v>
      </c>
      <c r="C40" s="158" t="s">
        <v>282</v>
      </c>
      <c r="D40" s="779">
        <v>42279</v>
      </c>
      <c r="E40" s="158"/>
      <c r="F40" s="158"/>
      <c r="G40" s="158"/>
      <c r="H40" s="158"/>
      <c r="I40" s="158"/>
      <c r="J40" s="231"/>
    </row>
    <row r="41" spans="2:10" ht="15" customHeight="1">
      <c r="B41" s="761" t="s">
        <v>499</v>
      </c>
      <c r="C41" s="158" t="s">
        <v>281</v>
      </c>
      <c r="D41" s="778">
        <v>39108</v>
      </c>
      <c r="E41" s="158"/>
      <c r="F41" s="158"/>
      <c r="G41" s="158"/>
      <c r="H41" s="158"/>
      <c r="I41" s="158"/>
      <c r="J41" s="231"/>
    </row>
    <row r="42" spans="2:10" ht="15" customHeight="1">
      <c r="B42" s="761" t="s">
        <v>487</v>
      </c>
      <c r="C42" s="158" t="s">
        <v>283</v>
      </c>
      <c r="D42" s="778">
        <v>41547</v>
      </c>
      <c r="E42" s="158"/>
      <c r="F42" s="158"/>
      <c r="G42" s="158"/>
      <c r="H42" s="158"/>
      <c r="I42" s="158"/>
      <c r="J42" s="231"/>
    </row>
    <row r="43" spans="2:10" ht="15" customHeight="1">
      <c r="B43" s="230"/>
      <c r="C43" s="158"/>
      <c r="D43" s="158"/>
      <c r="E43" s="158"/>
      <c r="F43" s="158"/>
      <c r="G43" s="158"/>
      <c r="H43" s="158"/>
      <c r="I43" s="158"/>
      <c r="J43" s="231"/>
    </row>
    <row r="44" spans="2:10" ht="20.25" customHeight="1">
      <c r="B44" s="760" t="s">
        <v>284</v>
      </c>
      <c r="C44" s="158"/>
      <c r="D44" s="158"/>
      <c r="E44" s="158"/>
      <c r="F44" s="158"/>
      <c r="G44" s="158"/>
      <c r="H44" s="158"/>
      <c r="I44" s="158"/>
      <c r="J44" s="231"/>
    </row>
    <row r="45" spans="2:10" ht="15" customHeight="1">
      <c r="B45" s="230"/>
      <c r="C45" s="158"/>
      <c r="D45" s="158"/>
      <c r="E45" s="158"/>
      <c r="F45" s="158"/>
      <c r="G45" s="158"/>
      <c r="H45" s="158"/>
      <c r="I45" s="158"/>
      <c r="J45" s="231"/>
    </row>
    <row r="46" spans="2:10" ht="15" customHeight="1">
      <c r="B46" s="776" t="s">
        <v>276</v>
      </c>
      <c r="C46" s="762"/>
      <c r="D46" s="158"/>
      <c r="E46" s="158"/>
      <c r="F46" s="158"/>
      <c r="G46" s="158"/>
      <c r="H46" s="158"/>
      <c r="I46" s="158"/>
      <c r="J46" s="231"/>
    </row>
    <row r="47" spans="2:10" ht="15" customHeight="1" thickBot="1">
      <c r="B47" s="925" t="s">
        <v>488</v>
      </c>
      <c r="C47" s="309"/>
      <c r="D47" s="309"/>
      <c r="E47" s="309"/>
      <c r="F47" s="309"/>
      <c r="G47" s="309"/>
      <c r="H47" s="309"/>
      <c r="I47" s="309"/>
      <c r="J47" s="313"/>
    </row>
    <row r="48" spans="2:6" ht="13.5" customHeight="1">
      <c r="B48" s="158"/>
      <c r="C48" s="158"/>
      <c r="D48" s="158"/>
      <c r="E48" s="158"/>
      <c r="F48" s="158"/>
    </row>
    <row r="49" spans="2:6" ht="13.5" customHeight="1">
      <c r="B49" s="158"/>
      <c r="C49" s="158"/>
      <c r="D49" s="158"/>
      <c r="E49" s="158"/>
      <c r="F49" s="158"/>
    </row>
    <row r="50" ht="13.5" customHeight="1"/>
    <row r="51" ht="13.5" customHeight="1"/>
    <row r="52" ht="13.5" customHeight="1"/>
  </sheetData>
  <sheetProtection/>
  <mergeCells count="6">
    <mergeCell ref="G8:J8"/>
    <mergeCell ref="G17:J17"/>
    <mergeCell ref="B3:I3"/>
    <mergeCell ref="J3:J4"/>
    <mergeCell ref="B4:I4"/>
    <mergeCell ref="B5:J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L30"/>
  <sheetViews>
    <sheetView zoomScalePageLayoutView="0" workbookViewId="0" topLeftCell="A1">
      <selection activeCell="B2" sqref="B2:F22"/>
    </sheetView>
  </sheetViews>
  <sheetFormatPr defaultColWidth="11.421875" defaultRowHeight="12.75"/>
  <cols>
    <col min="1" max="1" width="2.140625" style="0" customWidth="1"/>
    <col min="2" max="2" width="18.8515625" style="0" customWidth="1"/>
    <col min="4" max="5" width="15.421875" style="0" bestFit="1" customWidth="1"/>
    <col min="6" max="6" width="23.8515625" style="0" bestFit="1" customWidth="1"/>
    <col min="7" max="7" width="14.421875" style="0" bestFit="1" customWidth="1"/>
    <col min="9" max="9" width="37.57421875" style="0" customWidth="1"/>
    <col min="10" max="12" width="17.421875" style="0" bestFit="1" customWidth="1"/>
  </cols>
  <sheetData>
    <row r="2" ht="13.5" thickBot="1"/>
    <row r="3" spans="2:6" ht="15.75" thickBot="1">
      <c r="B3" s="886" t="s">
        <v>452</v>
      </c>
      <c r="C3" s="887"/>
      <c r="D3" s="887"/>
      <c r="E3" s="887"/>
      <c r="F3" s="888"/>
    </row>
    <row r="5" ht="13.5" thickBot="1"/>
    <row r="6" spans="4:6" s="883" customFormat="1" ht="15.75" thickBot="1">
      <c r="D6" s="1034">
        <v>2017</v>
      </c>
      <c r="E6" s="1035">
        <v>2016</v>
      </c>
      <c r="F6" s="889" t="s">
        <v>23</v>
      </c>
    </row>
    <row r="7" spans="2:6" ht="15">
      <c r="B7" s="890" t="s">
        <v>453</v>
      </c>
      <c r="C7" s="891"/>
      <c r="D7" s="1036">
        <f>38447609.3683019-824835.17</f>
        <v>37622774.1983019</v>
      </c>
      <c r="E7" s="1036">
        <f>53292050-E8-E9-E10-E11</f>
        <v>34533746.425000004</v>
      </c>
      <c r="F7" s="1037"/>
    </row>
    <row r="8" spans="2:6" ht="15">
      <c r="B8" s="892" t="s">
        <v>429</v>
      </c>
      <c r="C8" s="893"/>
      <c r="D8" s="1036">
        <v>3707906.265000001</v>
      </c>
      <c r="E8" s="1036">
        <v>3580180.4250000007</v>
      </c>
      <c r="F8" s="1038"/>
    </row>
    <row r="9" spans="2:6" ht="15">
      <c r="B9" s="892" t="s">
        <v>436</v>
      </c>
      <c r="C9" s="893"/>
      <c r="D9" s="1036">
        <v>551734.2</v>
      </c>
      <c r="E9" s="1036">
        <f>194295.15+355865</f>
        <v>550160.15</v>
      </c>
      <c r="F9" s="1039" t="s">
        <v>647</v>
      </c>
    </row>
    <row r="10" spans="2:12" ht="15">
      <c r="B10" s="894" t="s">
        <v>454</v>
      </c>
      <c r="C10" s="895"/>
      <c r="D10" s="1036">
        <f>+'PRESTACIONES Y GASTOS SOCIALES'!D7+'PRESTACIONES Y GASTOS SOCIALES'!D17</f>
        <v>766945.24</v>
      </c>
      <c r="E10" s="1036">
        <f>+'PRESTACIONES Y GASTOS SOCIALES'!C7+'PRESTACIONES Y GASTOS SOCIALES'!C17</f>
        <v>652413</v>
      </c>
      <c r="F10" s="1040"/>
      <c r="I10" t="s">
        <v>696</v>
      </c>
      <c r="J10" s="1036">
        <v>-53320205.09</v>
      </c>
      <c r="K10" s="1036">
        <v>-53484303.06</v>
      </c>
      <c r="L10" s="1036">
        <v>-56632924.019999996</v>
      </c>
    </row>
    <row r="11" spans="2:12" ht="15.75" thickBot="1">
      <c r="B11" s="896" t="s">
        <v>455</v>
      </c>
      <c r="C11" s="895"/>
      <c r="D11" s="1041">
        <v>14429500</v>
      </c>
      <c r="E11" s="1041">
        <v>13975550</v>
      </c>
      <c r="F11" s="1042"/>
      <c r="I11" t="s">
        <v>697</v>
      </c>
      <c r="J11" s="1036">
        <v>-39193544.93</v>
      </c>
      <c r="K11" s="1036">
        <v>-38865497.09</v>
      </c>
      <c r="L11" s="1036">
        <v>-41436478.809999995</v>
      </c>
    </row>
    <row r="12" spans="2:12" ht="15.75" thickBot="1">
      <c r="B12" s="873"/>
      <c r="C12" s="886" t="s">
        <v>824</v>
      </c>
      <c r="D12" s="1043">
        <f>SUM(D7:D11)</f>
        <v>57078859.9033019</v>
      </c>
      <c r="E12" s="1044">
        <f>SUM(E7:E11)</f>
        <v>53292050.00000001</v>
      </c>
      <c r="I12" t="s">
        <v>9</v>
      </c>
      <c r="J12" s="1036">
        <v>-191077.42</v>
      </c>
      <c r="K12" s="1036">
        <v>-196518.97</v>
      </c>
      <c r="L12" s="1036">
        <v>-180115</v>
      </c>
    </row>
    <row r="13" spans="2:12" ht="15.75" thickBot="1">
      <c r="B13" s="873"/>
      <c r="C13" s="873"/>
      <c r="I13" t="s">
        <v>10</v>
      </c>
      <c r="J13" s="1036">
        <v>-13484755.02</v>
      </c>
      <c r="K13" s="1036">
        <v>-13966393</v>
      </c>
      <c r="L13" s="1036">
        <v>-14429499.97</v>
      </c>
    </row>
    <row r="14" spans="2:12" ht="15.75" thickBot="1">
      <c r="B14" s="1120" t="s">
        <v>673</v>
      </c>
      <c r="C14" s="1121"/>
      <c r="D14" s="887"/>
      <c r="E14" s="1122">
        <f>+D12/E12-1</f>
        <v>0.07105768877913121</v>
      </c>
      <c r="I14" t="s">
        <v>11</v>
      </c>
      <c r="J14" s="1036">
        <v>0</v>
      </c>
      <c r="K14" s="1036">
        <v>0</v>
      </c>
      <c r="L14" s="1036">
        <v>0</v>
      </c>
    </row>
    <row r="15" spans="2:12" ht="15.75" thickBot="1">
      <c r="B15" s="873"/>
      <c r="C15" s="873"/>
      <c r="I15" t="s">
        <v>12</v>
      </c>
      <c r="J15" s="1036">
        <v>-450827.72</v>
      </c>
      <c r="K15" s="1036">
        <v>-455894</v>
      </c>
      <c r="L15" s="1036">
        <v>-586830.24</v>
      </c>
    </row>
    <row r="16" spans="2:12" ht="15.75" thickBot="1">
      <c r="B16" s="1045" t="s">
        <v>648</v>
      </c>
      <c r="D16" s="1043">
        <f>+'[4]Personal'!F51</f>
        <v>209336</v>
      </c>
      <c r="E16" s="1044">
        <f>137562+45534</f>
        <v>183096</v>
      </c>
      <c r="F16" s="1046"/>
      <c r="I16" t="s">
        <v>13</v>
      </c>
      <c r="J16" s="1036">
        <v>0</v>
      </c>
      <c r="K16" s="1036">
        <v>0</v>
      </c>
      <c r="L16" s="1036">
        <v>0</v>
      </c>
    </row>
    <row r="18" spans="6:12" ht="13.5" thickBot="1">
      <c r="F18" s="1046"/>
      <c r="K18" s="1046"/>
      <c r="L18" s="1046"/>
    </row>
    <row r="19" spans="2:5" ht="15.75" thickBot="1">
      <c r="B19" s="1047" t="s">
        <v>649</v>
      </c>
      <c r="C19" s="1048"/>
      <c r="D19" s="1049">
        <f>+D16+D12</f>
        <v>57288195.9033019</v>
      </c>
      <c r="E19" s="1050">
        <f>+E16+E12</f>
        <v>53475146.00000001</v>
      </c>
    </row>
    <row r="20" spans="9:12" ht="12.75">
      <c r="I20" s="1124"/>
      <c r="J20" s="1124"/>
      <c r="K20" s="1124"/>
      <c r="L20" s="1124"/>
    </row>
    <row r="21" spans="9:12" ht="12.75">
      <c r="I21" s="1124"/>
      <c r="J21" s="1124"/>
      <c r="K21" s="1124"/>
      <c r="L21" s="1124"/>
    </row>
    <row r="22" spans="9:12" ht="12.75">
      <c r="I22" s="1124"/>
      <c r="J22" s="1124"/>
      <c r="K22" s="1124"/>
      <c r="L22" s="1124"/>
    </row>
    <row r="23" spans="9:12" ht="12.75">
      <c r="I23" s="1124"/>
      <c r="J23" s="1124"/>
      <c r="K23" s="1124"/>
      <c r="L23" s="1124"/>
    </row>
    <row r="24" spans="2:12" ht="23.25">
      <c r="B24" s="1125" t="s">
        <v>674</v>
      </c>
      <c r="I24" s="1124"/>
      <c r="J24" s="1124"/>
      <c r="K24" s="1124"/>
      <c r="L24" s="1124"/>
    </row>
    <row r="25" spans="2:12" ht="23.25">
      <c r="B25" s="1125"/>
      <c r="I25" s="1124"/>
      <c r="J25" s="1124"/>
      <c r="K25" s="1124"/>
      <c r="L25" s="1124"/>
    </row>
    <row r="26" spans="2:12" ht="23.25">
      <c r="B26" s="1125" t="s">
        <v>675</v>
      </c>
      <c r="I26" s="1124"/>
      <c r="J26" s="1124"/>
      <c r="K26" s="1124"/>
      <c r="L26" s="1124"/>
    </row>
    <row r="27" ht="23.25">
      <c r="B27" s="1125" t="s">
        <v>676</v>
      </c>
    </row>
    <row r="28" ht="23.25">
      <c r="B28" s="1125" t="s">
        <v>677</v>
      </c>
    </row>
    <row r="29" ht="23.25">
      <c r="B29" s="1125"/>
    </row>
    <row r="30" ht="23.25">
      <c r="B30" s="1125"/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27"/>
  <sheetViews>
    <sheetView zoomScalePageLayoutView="0" workbookViewId="0" topLeftCell="A1">
      <selection activeCell="B2" sqref="B2:F22"/>
    </sheetView>
  </sheetViews>
  <sheetFormatPr defaultColWidth="11.421875" defaultRowHeight="12.75"/>
  <cols>
    <col min="1" max="1" width="3.57421875" style="0" customWidth="1"/>
    <col min="2" max="2" width="4.57421875" style="0" customWidth="1"/>
    <col min="3" max="3" width="4.8515625" style="0" customWidth="1"/>
    <col min="8" max="8" width="22.57421875" style="0" customWidth="1"/>
    <col min="9" max="9" width="12.57421875" style="751" bestFit="1" customWidth="1"/>
  </cols>
  <sheetData>
    <row r="1" ht="13.5" thickBot="1"/>
    <row r="2" spans="1:9" ht="51" customHeight="1">
      <c r="A2" s="752">
        <v>1</v>
      </c>
      <c r="B2" s="1154" t="s">
        <v>810</v>
      </c>
      <c r="C2" s="1155"/>
      <c r="D2" s="1155"/>
      <c r="E2" s="1155"/>
      <c r="F2" s="1155"/>
      <c r="G2" s="1155"/>
      <c r="H2" s="1155"/>
      <c r="I2" s="739">
        <f>'ORGANOS DE GOBIERNO'!I3</f>
        <v>2017</v>
      </c>
    </row>
    <row r="3" spans="2:9" ht="24" customHeight="1">
      <c r="B3" s="1160" t="str">
        <f>'ORGANOS DE GOBIERNO'!B4:I4</f>
        <v>ENTIDAD: TRANSPORTES INTERURBANOS DE TENERIFE, S.A.</v>
      </c>
      <c r="C3" s="1161"/>
      <c r="D3" s="1161"/>
      <c r="E3" s="1161"/>
      <c r="F3" s="1161"/>
      <c r="G3" s="1161"/>
      <c r="H3" s="1161"/>
      <c r="I3" s="1162"/>
    </row>
    <row r="4" spans="2:9" ht="12.75">
      <c r="B4" s="741"/>
      <c r="C4" s="742"/>
      <c r="D4" s="742"/>
      <c r="E4" s="742"/>
      <c r="F4" s="742"/>
      <c r="G4" s="742"/>
      <c r="H4" s="742"/>
      <c r="I4" s="753"/>
    </row>
    <row r="5" spans="2:9" ht="15.75">
      <c r="B5" s="744" t="s">
        <v>251</v>
      </c>
      <c r="C5" s="745"/>
      <c r="D5" s="745"/>
      <c r="E5" s="742"/>
      <c r="F5" s="742"/>
      <c r="G5" s="742"/>
      <c r="H5" s="742"/>
      <c r="I5" s="753"/>
    </row>
    <row r="6" spans="2:9" ht="12.75">
      <c r="B6" s="741"/>
      <c r="C6" s="742"/>
      <c r="D6" s="742"/>
      <c r="E6" s="742"/>
      <c r="F6" s="742"/>
      <c r="G6" s="742"/>
      <c r="H6" s="742"/>
      <c r="I6" s="753"/>
    </row>
    <row r="7" spans="2:9" ht="12.75">
      <c r="B7" s="746" t="s">
        <v>252</v>
      </c>
      <c r="C7" s="745" t="s">
        <v>253</v>
      </c>
      <c r="D7" s="745"/>
      <c r="E7" s="742"/>
      <c r="F7" s="742"/>
      <c r="G7" s="742"/>
      <c r="H7" s="742"/>
      <c r="I7" s="1114">
        <f>SUM(I9:I11)</f>
        <v>14143721.11</v>
      </c>
    </row>
    <row r="8" spans="2:9" ht="12.75">
      <c r="B8" s="741"/>
      <c r="C8" s="742"/>
      <c r="D8" s="742"/>
      <c r="E8" s="742"/>
      <c r="F8" s="742"/>
      <c r="G8" s="742"/>
      <c r="H8" s="742"/>
      <c r="I8" s="1115"/>
    </row>
    <row r="9" spans="2:9" ht="12.75">
      <c r="B9" s="741"/>
      <c r="C9" s="742" t="s">
        <v>254</v>
      </c>
      <c r="D9" s="742" t="s">
        <v>255</v>
      </c>
      <c r="E9" s="742"/>
      <c r="F9" s="742"/>
      <c r="G9" s="742"/>
      <c r="H9" s="742"/>
      <c r="I9" s="1114">
        <f>+'INF. ADIC. CPYG '!J8</f>
        <v>13232026.78</v>
      </c>
    </row>
    <row r="10" spans="2:9" ht="12.75">
      <c r="B10" s="741"/>
      <c r="C10" s="742" t="s">
        <v>256</v>
      </c>
      <c r="D10" s="742" t="s">
        <v>257</v>
      </c>
      <c r="E10" s="742"/>
      <c r="F10" s="742"/>
      <c r="G10" s="742"/>
      <c r="H10" s="742"/>
      <c r="I10" s="1114">
        <f>+'INF. ADIC. CPYG '!J20+'INF. ADIC. CPYG '!J24</f>
        <v>911694.3300000001</v>
      </c>
    </row>
    <row r="11" spans="2:9" ht="12.75">
      <c r="B11" s="741"/>
      <c r="C11" s="742" t="s">
        <v>258</v>
      </c>
      <c r="D11" s="742" t="s">
        <v>259</v>
      </c>
      <c r="E11" s="742"/>
      <c r="F11" s="742"/>
      <c r="G11" s="742"/>
      <c r="H11" s="742"/>
      <c r="I11" s="1114">
        <v>0</v>
      </c>
    </row>
    <row r="12" spans="2:9" ht="7.5" customHeight="1">
      <c r="B12" s="741"/>
      <c r="C12" s="742"/>
      <c r="D12" s="742"/>
      <c r="E12" s="742"/>
      <c r="F12" s="742"/>
      <c r="G12" s="742"/>
      <c r="H12" s="742"/>
      <c r="I12" s="1115"/>
    </row>
    <row r="13" spans="2:9" ht="12.75">
      <c r="B13" s="746" t="s">
        <v>260</v>
      </c>
      <c r="C13" s="745" t="s">
        <v>261</v>
      </c>
      <c r="D13" s="742"/>
      <c r="E13" s="742"/>
      <c r="F13" s="742"/>
      <c r="G13" s="742"/>
      <c r="H13" s="742"/>
      <c r="I13" s="1114">
        <f>+'INF. ADIC. CPYG '!J28+'INF. ADIC. CPYG '!J29</f>
        <v>42084432.85</v>
      </c>
    </row>
    <row r="14" spans="2:9" ht="12.75">
      <c r="B14" s="746" t="s">
        <v>262</v>
      </c>
      <c r="C14" s="745" t="s">
        <v>263</v>
      </c>
      <c r="D14" s="742"/>
      <c r="E14" s="742"/>
      <c r="F14" s="742"/>
      <c r="G14" s="742"/>
      <c r="H14" s="742"/>
      <c r="I14" s="1114">
        <f>SUM(I16:I18)</f>
        <v>31098751.5683833</v>
      </c>
    </row>
    <row r="15" spans="2:9" ht="12.75">
      <c r="B15" s="741"/>
      <c r="C15" s="742"/>
      <c r="D15" s="742"/>
      <c r="E15" s="742"/>
      <c r="F15" s="742"/>
      <c r="G15" s="742"/>
      <c r="H15" s="742"/>
      <c r="I15" s="1115"/>
    </row>
    <row r="16" spans="2:9" ht="12.75">
      <c r="B16" s="741"/>
      <c r="C16" s="742" t="s">
        <v>254</v>
      </c>
      <c r="D16" s="742" t="s">
        <v>264</v>
      </c>
      <c r="E16" s="742"/>
      <c r="F16" s="742"/>
      <c r="G16" s="742"/>
      <c r="H16" s="742"/>
      <c r="I16" s="1114">
        <f>+CPYG!E26</f>
        <v>16381204.8833333</v>
      </c>
    </row>
    <row r="17" spans="2:9" ht="12.75">
      <c r="B17" s="741"/>
      <c r="C17" s="742" t="s">
        <v>256</v>
      </c>
      <c r="D17" s="742" t="s">
        <v>265</v>
      </c>
      <c r="E17" s="742"/>
      <c r="F17" s="742"/>
      <c r="G17" s="742"/>
      <c r="H17" s="742"/>
      <c r="I17" s="1114">
        <f>+CPYG!E25</f>
        <v>14717546.68505</v>
      </c>
    </row>
    <row r="18" spans="2:9" ht="12.75">
      <c r="B18" s="741"/>
      <c r="C18" s="742" t="s">
        <v>258</v>
      </c>
      <c r="D18" s="742" t="s">
        <v>266</v>
      </c>
      <c r="E18" s="742"/>
      <c r="F18" s="742"/>
      <c r="G18" s="742"/>
      <c r="H18" s="742"/>
      <c r="I18" s="1114">
        <v>0</v>
      </c>
    </row>
    <row r="19" spans="2:9" ht="12.75">
      <c r="B19" s="741"/>
      <c r="C19" s="742"/>
      <c r="D19" s="742"/>
      <c r="E19" s="742"/>
      <c r="F19" s="742"/>
      <c r="G19" s="742"/>
      <c r="H19" s="742"/>
      <c r="I19" s="1115"/>
    </row>
    <row r="20" spans="2:9" ht="12.75">
      <c r="B20" s="746" t="s">
        <v>267</v>
      </c>
      <c r="C20" s="745" t="s">
        <v>268</v>
      </c>
      <c r="D20" s="742"/>
      <c r="E20" s="742"/>
      <c r="F20" s="742"/>
      <c r="G20" s="742"/>
      <c r="H20" s="742"/>
      <c r="I20" s="1114">
        <f>+CPYG!E18+CPYG!E64</f>
        <v>1725755.61</v>
      </c>
    </row>
    <row r="21" spans="2:9" ht="5.25" customHeight="1">
      <c r="B21" s="741"/>
      <c r="C21" s="742"/>
      <c r="D21" s="742"/>
      <c r="E21" s="742"/>
      <c r="F21" s="742"/>
      <c r="G21" s="742"/>
      <c r="H21" s="742"/>
      <c r="I21" s="1115"/>
    </row>
    <row r="22" spans="2:9" ht="21" customHeight="1">
      <c r="B22" s="741"/>
      <c r="C22" s="742"/>
      <c r="D22" s="1159" t="s">
        <v>500</v>
      </c>
      <c r="E22" s="1159"/>
      <c r="F22" s="1159"/>
      <c r="G22" s="1159"/>
      <c r="H22" s="1159"/>
      <c r="I22" s="1115"/>
    </row>
    <row r="23" spans="2:9" ht="12.75">
      <c r="B23" s="741"/>
      <c r="C23" s="742"/>
      <c r="D23" s="742"/>
      <c r="E23" s="742"/>
      <c r="F23" s="742"/>
      <c r="G23" s="742"/>
      <c r="H23" s="742"/>
      <c r="I23" s="1115"/>
    </row>
    <row r="24" spans="2:9" ht="12.75">
      <c r="B24" s="746" t="s">
        <v>269</v>
      </c>
      <c r="C24" s="742"/>
      <c r="D24" s="742"/>
      <c r="E24" s="742"/>
      <c r="F24" s="742"/>
      <c r="G24" s="742"/>
      <c r="H24" s="742"/>
      <c r="I24" s="1114">
        <f>+I7+I13+I14+I20</f>
        <v>89052661.1383833</v>
      </c>
    </row>
    <row r="25" spans="2:9" ht="13.5" thickBot="1">
      <c r="B25" s="748"/>
      <c r="C25" s="749"/>
      <c r="D25" s="749"/>
      <c r="E25" s="749"/>
      <c r="F25" s="749"/>
      <c r="G25" s="749"/>
      <c r="H25" s="749"/>
      <c r="I25" s="754"/>
    </row>
    <row r="27" ht="12.75">
      <c r="I27" s="751">
        <f>+CPYG!E7+CPYG!E17+CPYG!E64</f>
        <v>89052661.1383833</v>
      </c>
    </row>
  </sheetData>
  <sheetProtection/>
  <mergeCells count="3">
    <mergeCell ref="B2:H2"/>
    <mergeCell ref="D22:H22"/>
    <mergeCell ref="B3:I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H62"/>
  <sheetViews>
    <sheetView zoomScalePageLayoutView="0" workbookViewId="0" topLeftCell="A1">
      <selection activeCell="B2" sqref="B2:F22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57421875" style="134" customWidth="1"/>
    <col min="5" max="5" width="2.57421875" style="673" customWidth="1"/>
    <col min="6" max="6" width="13.57421875" style="668" customWidth="1"/>
    <col min="7" max="7" width="8.8515625" style="133" customWidth="1"/>
    <col min="8" max="16384" width="11.57421875" style="133" customWidth="1"/>
  </cols>
  <sheetData>
    <row r="2" spans="2:5" ht="12.75">
      <c r="B2" s="1180" t="s">
        <v>285</v>
      </c>
      <c r="C2" s="1180"/>
      <c r="D2" s="1180"/>
      <c r="E2" s="671"/>
    </row>
    <row r="3" spans="2:5" ht="13.5" thickBot="1">
      <c r="B3" s="183"/>
      <c r="C3" s="183"/>
      <c r="D3" s="183"/>
      <c r="E3" s="671"/>
    </row>
    <row r="4" spans="2:5" ht="15.75" thickBot="1">
      <c r="B4" s="1181" t="str">
        <f>'ORGANOS DE GOBIERNO'!B4:I4</f>
        <v>ENTIDAD: TRANSPORTES INTERURBANOS DE TENERIFE, S.A.</v>
      </c>
      <c r="C4" s="1182"/>
      <c r="D4" s="1183"/>
      <c r="E4" s="672"/>
    </row>
    <row r="5" spans="2:3" ht="13.5" thickBot="1">
      <c r="B5" s="184"/>
      <c r="C5" s="184"/>
    </row>
    <row r="6" spans="2:5" ht="15.75" thickBot="1">
      <c r="B6" s="1184" t="s">
        <v>36</v>
      </c>
      <c r="C6" s="1182"/>
      <c r="D6" s="1183"/>
      <c r="E6" s="672"/>
    </row>
    <row r="7" spans="2:3" ht="13.5" thickBot="1">
      <c r="B7" s="184"/>
      <c r="C7" s="184"/>
    </row>
    <row r="8" spans="2:5" ht="13.5" customHeight="1">
      <c r="B8" s="1185" t="s">
        <v>306</v>
      </c>
      <c r="C8" s="1186"/>
      <c r="D8" s="1176"/>
      <c r="E8" s="674"/>
    </row>
    <row r="9" spans="2:5" ht="12.75" customHeight="1">
      <c r="B9" s="1194"/>
      <c r="C9" s="1195"/>
      <c r="D9" s="1189"/>
      <c r="E9" s="675"/>
    </row>
    <row r="10" spans="2:5" ht="12.75">
      <c r="B10" s="135"/>
      <c r="C10" s="136"/>
      <c r="D10" s="137"/>
      <c r="E10" s="676"/>
    </row>
    <row r="11" spans="2:8" ht="12.75">
      <c r="B11" s="138" t="s">
        <v>308</v>
      </c>
      <c r="C11" s="139" t="s">
        <v>394</v>
      </c>
      <c r="D11" s="140">
        <v>0</v>
      </c>
      <c r="E11" s="677"/>
      <c r="F11" s="669"/>
      <c r="H11" s="669"/>
    </row>
    <row r="12" spans="2:8" ht="12.75">
      <c r="B12" s="138" t="s">
        <v>309</v>
      </c>
      <c r="C12" s="139" t="s">
        <v>395</v>
      </c>
      <c r="D12" s="140">
        <v>0</v>
      </c>
      <c r="E12" s="677"/>
      <c r="F12" s="669"/>
      <c r="H12" s="669"/>
    </row>
    <row r="13" spans="2:8" ht="12.75">
      <c r="B13" s="138" t="s">
        <v>310</v>
      </c>
      <c r="C13" s="139" t="s">
        <v>396</v>
      </c>
      <c r="D13" s="140">
        <f>'PRESUPUESTO CPYG'!D13</f>
        <v>57350630.08</v>
      </c>
      <c r="E13" s="677"/>
      <c r="F13" s="669"/>
      <c r="H13" s="669"/>
    </row>
    <row r="14" spans="2:8" ht="12.75">
      <c r="B14" s="138" t="s">
        <v>311</v>
      </c>
      <c r="C14" s="139" t="s">
        <v>397</v>
      </c>
      <c r="D14" s="140">
        <f>'PRESUPUESTO CPYG'!D14+'Transf. y subv.'!F44</f>
        <v>31098751.5683833</v>
      </c>
      <c r="E14" s="677"/>
      <c r="F14" s="669"/>
      <c r="H14" s="669"/>
    </row>
    <row r="15" spans="2:8" ht="12.75">
      <c r="B15" s="138" t="s">
        <v>312</v>
      </c>
      <c r="C15" s="139" t="s">
        <v>398</v>
      </c>
      <c r="D15" s="140">
        <f>'PRESUPUESTO CPYG'!D15</f>
        <v>679111.03</v>
      </c>
      <c r="E15" s="677"/>
      <c r="F15" s="669"/>
      <c r="H15" s="669"/>
    </row>
    <row r="16" spans="2:5" ht="12.75">
      <c r="B16" s="141"/>
      <c r="C16" s="142"/>
      <c r="D16" s="143"/>
      <c r="E16" s="678"/>
    </row>
    <row r="17" spans="2:5" ht="12.75">
      <c r="B17" s="144" t="s">
        <v>313</v>
      </c>
      <c r="C17" s="145"/>
      <c r="D17" s="146">
        <f>SUM(D11:D15)</f>
        <v>89128492.67838329</v>
      </c>
      <c r="E17" s="679"/>
    </row>
    <row r="18" spans="2:5" ht="12.75">
      <c r="B18" s="147"/>
      <c r="C18" s="148"/>
      <c r="D18" s="149"/>
      <c r="E18" s="678"/>
    </row>
    <row r="19" spans="2:5" ht="12.75">
      <c r="B19" s="141"/>
      <c r="C19" s="142"/>
      <c r="D19" s="143"/>
      <c r="E19" s="678"/>
    </row>
    <row r="20" spans="2:5" ht="12.75">
      <c r="B20" s="138" t="s">
        <v>314</v>
      </c>
      <c r="C20" s="139" t="s">
        <v>399</v>
      </c>
      <c r="D20" s="143">
        <f>-'Inv. NO FIN'!I21</f>
        <v>0</v>
      </c>
      <c r="E20" s="678"/>
    </row>
    <row r="21" spans="2:5" ht="12.75">
      <c r="B21" s="138" t="s">
        <v>315</v>
      </c>
      <c r="C21" s="139" t="s">
        <v>400</v>
      </c>
      <c r="D21" s="143">
        <f>'Transf. y subv.'!F16</f>
        <v>6259698.2</v>
      </c>
      <c r="E21" s="678"/>
    </row>
    <row r="22" spans="2:5" ht="12.75">
      <c r="B22" s="141"/>
      <c r="C22" s="142"/>
      <c r="D22" s="143"/>
      <c r="E22" s="678"/>
    </row>
    <row r="23" spans="2:5" ht="12.75">
      <c r="B23" s="144" t="s">
        <v>316</v>
      </c>
      <c r="C23" s="145"/>
      <c r="D23" s="146">
        <f>SUM(D20:D21)</f>
        <v>6259698.2</v>
      </c>
      <c r="E23" s="679"/>
    </row>
    <row r="24" spans="2:5" ht="12.75">
      <c r="B24" s="147"/>
      <c r="C24" s="148"/>
      <c r="D24" s="149"/>
      <c r="E24" s="678"/>
    </row>
    <row r="25" spans="2:5" ht="12.75">
      <c r="B25" s="141"/>
      <c r="C25" s="142"/>
      <c r="D25" s="143"/>
      <c r="E25" s="678"/>
    </row>
    <row r="26" spans="2:5" ht="12.75">
      <c r="B26" s="138" t="s">
        <v>317</v>
      </c>
      <c r="C26" s="139" t="s">
        <v>401</v>
      </c>
      <c r="D26" s="140">
        <f>-'Inv. FIN'!H14-'Inv. FIN'!H21-'Inv. FIN'!H33-'Inv. FIN'!H40</f>
        <v>0</v>
      </c>
      <c r="E26" s="677"/>
    </row>
    <row r="27" spans="2:5" ht="12.75">
      <c r="B27" s="138" t="s">
        <v>318</v>
      </c>
      <c r="C27" s="139" t="s">
        <v>402</v>
      </c>
      <c r="D27" s="140">
        <f>'Deuda L.P.'!L24</f>
        <v>5699698.2</v>
      </c>
      <c r="E27" s="677"/>
    </row>
    <row r="28" spans="2:5" ht="12.75">
      <c r="B28" s="141"/>
      <c r="C28" s="142"/>
      <c r="D28" s="143"/>
      <c r="E28" s="678"/>
    </row>
    <row r="29" spans="2:5" ht="12.75">
      <c r="B29" s="144" t="s">
        <v>319</v>
      </c>
      <c r="C29" s="145"/>
      <c r="D29" s="150">
        <f>SUM(D26:D27)</f>
        <v>5699698.2</v>
      </c>
      <c r="E29" s="680"/>
    </row>
    <row r="30" spans="2:5" ht="12.75">
      <c r="B30" s="151"/>
      <c r="C30" s="152"/>
      <c r="D30" s="153"/>
      <c r="E30" s="681"/>
    </row>
    <row r="31" spans="2:5" ht="12.75">
      <c r="B31" s="331"/>
      <c r="C31" s="188"/>
      <c r="D31" s="332"/>
      <c r="E31" s="676"/>
    </row>
    <row r="32" spans="2:5" ht="12.75">
      <c r="B32" s="154"/>
      <c r="C32" s="156" t="s">
        <v>320</v>
      </c>
      <c r="D32" s="157">
        <f>D17+D23+D29</f>
        <v>101087889.0783833</v>
      </c>
      <c r="E32" s="680"/>
    </row>
    <row r="33" spans="2:5" ht="13.5" thickBot="1">
      <c r="B33" s="164"/>
      <c r="C33" s="203"/>
      <c r="D33" s="166"/>
      <c r="E33" s="676"/>
    </row>
    <row r="34" spans="3:5" ht="12.75">
      <c r="C34" s="158"/>
      <c r="D34" s="133"/>
      <c r="E34" s="229"/>
    </row>
    <row r="36" ht="13.5" thickBot="1"/>
    <row r="37" spans="2:5" ht="13.5" customHeight="1">
      <c r="B37" s="1185" t="s">
        <v>306</v>
      </c>
      <c r="C37" s="1192"/>
      <c r="D37" s="1190"/>
      <c r="E37" s="682"/>
    </row>
    <row r="38" spans="2:5" ht="12.75" customHeight="1" thickBot="1">
      <c r="B38" s="1187"/>
      <c r="C38" s="1193"/>
      <c r="D38" s="1191"/>
      <c r="E38" s="683"/>
    </row>
    <row r="39" spans="2:8" ht="12.75">
      <c r="B39" s="151"/>
      <c r="C39" s="159"/>
      <c r="D39" s="153"/>
      <c r="E39" s="681"/>
      <c r="H39" s="158"/>
    </row>
    <row r="40" spans="2:8" ht="12.75">
      <c r="B40" s="138" t="s">
        <v>308</v>
      </c>
      <c r="C40" s="210" t="s">
        <v>322</v>
      </c>
      <c r="D40" s="168">
        <f>'PRESUPUESTO CPYG'!D45</f>
        <v>56632924.019999996</v>
      </c>
      <c r="E40" s="667"/>
      <c r="H40" s="669"/>
    </row>
    <row r="41" spans="2:8" ht="12.75">
      <c r="B41" s="138" t="s">
        <v>309</v>
      </c>
      <c r="C41" s="210" t="s">
        <v>323</v>
      </c>
      <c r="D41" s="168">
        <f>'PRESUPUESTO CPYG'!D46</f>
        <v>31964611.705115397</v>
      </c>
      <c r="E41" s="667"/>
      <c r="H41" s="669"/>
    </row>
    <row r="42" spans="2:8" ht="12.75">
      <c r="B42" s="138" t="s">
        <v>310</v>
      </c>
      <c r="C42" s="210" t="s">
        <v>816</v>
      </c>
      <c r="D42" s="168">
        <f>'PRESUPUESTO CPYG'!D47</f>
        <v>78890.54000000001</v>
      </c>
      <c r="E42" s="667"/>
      <c r="H42" s="669"/>
    </row>
    <row r="43" spans="2:8" ht="12.75">
      <c r="B43" s="138" t="s">
        <v>311</v>
      </c>
      <c r="C43" s="210" t="s">
        <v>324</v>
      </c>
      <c r="D43" s="483">
        <f>'PRESUPUESTO CPYG'!D48</f>
        <v>0</v>
      </c>
      <c r="E43" s="667"/>
      <c r="H43" s="669"/>
    </row>
    <row r="44" spans="2:8" ht="12.75">
      <c r="B44" s="151"/>
      <c r="C44" s="159"/>
      <c r="D44" s="168"/>
      <c r="E44" s="667"/>
      <c r="H44" s="669"/>
    </row>
    <row r="45" spans="2:5" ht="12.75">
      <c r="B45" s="144" t="s">
        <v>325</v>
      </c>
      <c r="C45" s="211"/>
      <c r="D45" s="150">
        <f>SUM(D40:D43)</f>
        <v>88676426.2651154</v>
      </c>
      <c r="E45" s="680"/>
    </row>
    <row r="46" spans="2:5" ht="12.75">
      <c r="B46" s="147"/>
      <c r="C46" s="212"/>
      <c r="D46" s="170"/>
      <c r="E46" s="681"/>
    </row>
    <row r="47" spans="2:5" ht="12.75">
      <c r="B47" s="151"/>
      <c r="C47" s="159"/>
      <c r="D47" s="153"/>
      <c r="E47" s="681"/>
    </row>
    <row r="48" spans="2:5" ht="12.75">
      <c r="B48" s="138" t="s">
        <v>314</v>
      </c>
      <c r="C48" s="210" t="s">
        <v>327</v>
      </c>
      <c r="D48" s="168">
        <f>'Inv. NO FIN'!D21+'Inv. NO FIN'!F21</f>
        <v>6259698.2</v>
      </c>
      <c r="E48" s="667"/>
    </row>
    <row r="49" spans="2:5" ht="12.75">
      <c r="B49" s="138" t="s">
        <v>315</v>
      </c>
      <c r="C49" s="210" t="s">
        <v>328</v>
      </c>
      <c r="D49" s="168">
        <v>0</v>
      </c>
      <c r="E49" s="667"/>
    </row>
    <row r="50" spans="2:5" ht="12.75">
      <c r="B50" s="151"/>
      <c r="C50" s="159"/>
      <c r="D50" s="153"/>
      <c r="E50" s="681"/>
    </row>
    <row r="51" spans="2:5" ht="12.75">
      <c r="B51" s="144" t="s">
        <v>329</v>
      </c>
      <c r="C51" s="211"/>
      <c r="D51" s="150">
        <f>SUM(D48:D49)</f>
        <v>6259698.2</v>
      </c>
      <c r="E51" s="680"/>
    </row>
    <row r="52" spans="2:5" ht="12.75">
      <c r="B52" s="147"/>
      <c r="C52" s="212"/>
      <c r="D52" s="170"/>
      <c r="E52" s="681"/>
    </row>
    <row r="53" spans="2:5" ht="12.75">
      <c r="B53" s="151"/>
      <c r="C53" s="159"/>
      <c r="D53" s="153"/>
      <c r="E53" s="681"/>
    </row>
    <row r="54" spans="2:5" ht="12.75">
      <c r="B54" s="138" t="s">
        <v>317</v>
      </c>
      <c r="C54" s="210" t="s">
        <v>331</v>
      </c>
      <c r="D54" s="168">
        <f>'Inv. FIN'!F14+'Inv. FIN'!F21+'Inv. FIN'!F33+'Inv. FIN'!F40</f>
        <v>0</v>
      </c>
      <c r="E54" s="667"/>
    </row>
    <row r="55" spans="2:5" ht="12.75">
      <c r="B55" s="138" t="s">
        <v>318</v>
      </c>
      <c r="C55" s="210" t="s">
        <v>332</v>
      </c>
      <c r="D55" s="168">
        <f>'Deuda L.P.'!M24</f>
        <v>1520093.82</v>
      </c>
      <c r="E55" s="667"/>
    </row>
    <row r="56" spans="2:5" ht="12.75">
      <c r="B56" s="151"/>
      <c r="C56" s="159"/>
      <c r="D56" s="153"/>
      <c r="E56" s="681"/>
    </row>
    <row r="57" spans="2:5" ht="12.75">
      <c r="B57" s="144" t="s">
        <v>333</v>
      </c>
      <c r="C57" s="211"/>
      <c r="D57" s="150">
        <f>SUM(D54:D55)</f>
        <v>1520093.82</v>
      </c>
      <c r="E57" s="680"/>
    </row>
    <row r="58" spans="2:5" ht="13.5" thickBot="1">
      <c r="B58" s="171"/>
      <c r="C58" s="213"/>
      <c r="D58" s="173"/>
      <c r="E58" s="680"/>
    </row>
    <row r="59" spans="2:5" ht="13.5" thickTop="1">
      <c r="B59" s="161"/>
      <c r="C59" s="204"/>
      <c r="D59" s="163"/>
      <c r="E59" s="676"/>
    </row>
    <row r="60" spans="2:5" ht="12.75">
      <c r="B60" s="154"/>
      <c r="C60" s="205" t="s">
        <v>871</v>
      </c>
      <c r="D60" s="157">
        <f>D45+D51+D57</f>
        <v>96456218.28511539</v>
      </c>
      <c r="E60" s="680"/>
    </row>
    <row r="61" spans="2:5" ht="13.5" thickBot="1">
      <c r="B61" s="164"/>
      <c r="C61" s="165"/>
      <c r="D61" s="166"/>
      <c r="E61" s="676"/>
    </row>
    <row r="62" spans="3:5" ht="12.75">
      <c r="C62" s="174"/>
      <c r="D62" s="133"/>
      <c r="E62" s="229"/>
    </row>
  </sheetData>
  <sheetProtection password="CF7A" sheet="1" formatCells="0" formatColumns="0" formatRows="0" insertColumns="0" insertRows="0" insertHyperlinks="0" deleteColumns="0" deleteRows="0" sort="0" autoFilter="0" pivotTables="0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G95"/>
  <sheetViews>
    <sheetView zoomScalePageLayoutView="0" workbookViewId="0" topLeftCell="A1">
      <selection activeCell="B2" sqref="B2:F22"/>
    </sheetView>
  </sheetViews>
  <sheetFormatPr defaultColWidth="11.57421875" defaultRowHeight="12.75"/>
  <cols>
    <col min="1" max="1" width="4.421875" style="133" customWidth="1"/>
    <col min="2" max="2" width="8.421875" style="133" customWidth="1"/>
    <col min="3" max="3" width="49.57421875" style="133" customWidth="1"/>
    <col min="4" max="4" width="16.57421875" style="134" customWidth="1"/>
    <col min="5" max="5" width="11.421875" style="133" customWidth="1"/>
    <col min="6" max="6" width="11.7109375" style="133" bestFit="1" customWidth="1"/>
    <col min="7" max="16384" width="11.57421875" style="133" customWidth="1"/>
  </cols>
  <sheetData>
    <row r="1" ht="19.5" customHeight="1"/>
    <row r="2" spans="2:6" ht="12.75">
      <c r="B2" s="1180" t="s">
        <v>110</v>
      </c>
      <c r="C2" s="1180"/>
      <c r="D2" s="1180"/>
      <c r="E2" s="132"/>
      <c r="F2" s="132"/>
    </row>
    <row r="3" spans="2:6" ht="13.5" thickBot="1">
      <c r="B3" s="183"/>
      <c r="C3" s="183"/>
      <c r="D3" s="183"/>
      <c r="E3" s="132"/>
      <c r="F3" s="132"/>
    </row>
    <row r="4" spans="2:6" ht="15.75" thickBot="1">
      <c r="B4" s="1181" t="str">
        <f>'ORGANOS DE GOBIERNO'!B4:I4</f>
        <v>ENTIDAD: TRANSPORTES INTERURBANOS DE TENERIFE, S.A.</v>
      </c>
      <c r="C4" s="1182"/>
      <c r="D4" s="1183"/>
      <c r="E4" s="132"/>
      <c r="F4" s="132"/>
    </row>
    <row r="5" spans="2:6" ht="13.5" thickBot="1">
      <c r="B5" s="184"/>
      <c r="C5" s="184"/>
      <c r="E5" s="132"/>
      <c r="F5" s="132"/>
    </row>
    <row r="6" spans="2:4" ht="15.75" thickBot="1">
      <c r="B6" s="1184" t="s">
        <v>36</v>
      </c>
      <c r="C6" s="1182"/>
      <c r="D6" s="1183"/>
    </row>
    <row r="7" ht="15" customHeight="1" thickBot="1"/>
    <row r="8" spans="2:4" ht="12.75">
      <c r="B8" s="1185" t="s">
        <v>306</v>
      </c>
      <c r="C8" s="1186"/>
      <c r="D8" s="1196"/>
    </row>
    <row r="9" spans="2:4" ht="13.5" customHeight="1" thickBot="1">
      <c r="B9" s="1187"/>
      <c r="C9" s="1188"/>
      <c r="D9" s="1197"/>
    </row>
    <row r="10" spans="2:4" ht="12.75" customHeight="1">
      <c r="B10" s="151"/>
      <c r="C10" s="152"/>
      <c r="D10" s="160"/>
    </row>
    <row r="11" spans="2:7" ht="12.75">
      <c r="B11" s="138" t="s">
        <v>308</v>
      </c>
      <c r="C11" s="139" t="s">
        <v>394</v>
      </c>
      <c r="D11" s="484">
        <v>0</v>
      </c>
      <c r="F11" s="169"/>
      <c r="G11" s="169"/>
    </row>
    <row r="12" spans="2:7" ht="12.75">
      <c r="B12" s="138" t="s">
        <v>309</v>
      </c>
      <c r="C12" s="139" t="s">
        <v>395</v>
      </c>
      <c r="D12" s="484">
        <v>0</v>
      </c>
      <c r="F12" s="169"/>
      <c r="G12" s="169"/>
    </row>
    <row r="13" spans="2:7" ht="12.75">
      <c r="B13" s="138" t="s">
        <v>310</v>
      </c>
      <c r="C13" s="139" t="s">
        <v>396</v>
      </c>
      <c r="D13" s="484">
        <f>CPYG!E7+CPYG!E21+CPYG!E19</f>
        <v>57350630.08</v>
      </c>
      <c r="F13" s="169"/>
      <c r="G13" s="169"/>
    </row>
    <row r="14" spans="2:7" ht="12.75">
      <c r="B14" s="138" t="s">
        <v>311</v>
      </c>
      <c r="C14" s="139" t="s">
        <v>397</v>
      </c>
      <c r="D14" s="484">
        <f>CPYG!E22</f>
        <v>31098751.5683833</v>
      </c>
      <c r="F14" s="169"/>
      <c r="G14" s="169"/>
    </row>
    <row r="15" spans="2:7" ht="12.75">
      <c r="B15" s="138" t="s">
        <v>312</v>
      </c>
      <c r="C15" s="139" t="s">
        <v>398</v>
      </c>
      <c r="D15" s="484">
        <f>CPYG!E20+CPYG!E67+CPYG!E70+CPYG!E86</f>
        <v>679111.03</v>
      </c>
      <c r="F15" s="169"/>
      <c r="G15" s="169"/>
    </row>
    <row r="16" spans="2:7" ht="12.75">
      <c r="B16" s="141"/>
      <c r="C16" s="142"/>
      <c r="D16" s="485"/>
      <c r="F16" s="169"/>
      <c r="G16" s="169"/>
    </row>
    <row r="17" spans="2:6" ht="12.75">
      <c r="B17" s="144" t="s">
        <v>313</v>
      </c>
      <c r="C17" s="145"/>
      <c r="D17" s="486">
        <f>SUM(D11:D15)</f>
        <v>89128492.67838329</v>
      </c>
      <c r="F17" s="169"/>
    </row>
    <row r="18" spans="2:4" ht="12.75">
      <c r="B18" s="147"/>
      <c r="C18" s="148"/>
      <c r="D18" s="487"/>
    </row>
    <row r="19" spans="2:4" ht="12.75">
      <c r="B19" s="141"/>
      <c r="C19" s="142"/>
      <c r="D19" s="485"/>
    </row>
    <row r="20" spans="2:4" ht="12.75">
      <c r="B20" s="138" t="s">
        <v>314</v>
      </c>
      <c r="C20" s="139" t="s">
        <v>399</v>
      </c>
      <c r="D20" s="485"/>
    </row>
    <row r="21" spans="2:4" ht="12.75">
      <c r="B21" s="138" t="s">
        <v>315</v>
      </c>
      <c r="C21" s="139" t="s">
        <v>400</v>
      </c>
      <c r="D21" s="485"/>
    </row>
    <row r="22" spans="2:4" ht="12.75">
      <c r="B22" s="141"/>
      <c r="C22" s="142"/>
      <c r="D22" s="485"/>
    </row>
    <row r="23" spans="2:4" ht="12.75">
      <c r="B23" s="144" t="s">
        <v>316</v>
      </c>
      <c r="C23" s="145"/>
      <c r="D23" s="486">
        <f>+D20+D21</f>
        <v>0</v>
      </c>
    </row>
    <row r="24" spans="2:4" ht="12.75">
      <c r="B24" s="147"/>
      <c r="C24" s="148"/>
      <c r="D24" s="487"/>
    </row>
    <row r="25" spans="2:4" ht="12.75">
      <c r="B25" s="141"/>
      <c r="C25" s="142"/>
      <c r="D25" s="485"/>
    </row>
    <row r="26" spans="2:4" ht="12.75">
      <c r="B26" s="138" t="s">
        <v>317</v>
      </c>
      <c r="C26" s="139" t="s">
        <v>401</v>
      </c>
      <c r="D26" s="484"/>
    </row>
    <row r="27" spans="2:4" ht="12.75">
      <c r="B27" s="138" t="s">
        <v>318</v>
      </c>
      <c r="C27" s="139" t="s">
        <v>402</v>
      </c>
      <c r="D27" s="484"/>
    </row>
    <row r="28" spans="2:4" ht="12.75">
      <c r="B28" s="141"/>
      <c r="C28" s="142"/>
      <c r="D28" s="485"/>
    </row>
    <row r="29" spans="2:4" ht="13.5" thickBot="1">
      <c r="B29" s="209" t="s">
        <v>319</v>
      </c>
      <c r="C29" s="489"/>
      <c r="D29" s="488">
        <f>+D27+D26</f>
        <v>0</v>
      </c>
    </row>
    <row r="30" spans="2:4" ht="13.5" thickBot="1">
      <c r="B30" s="151"/>
      <c r="C30" s="159"/>
      <c r="D30" s="160"/>
    </row>
    <row r="31" spans="2:4" ht="12.75">
      <c r="B31" s="161"/>
      <c r="C31" s="162"/>
      <c r="D31" s="490"/>
    </row>
    <row r="32" spans="2:4" ht="12.75">
      <c r="B32" s="154"/>
      <c r="C32" s="156" t="s">
        <v>320</v>
      </c>
      <c r="D32" s="491">
        <f>+D29+D23+D17</f>
        <v>89128492.67838329</v>
      </c>
    </row>
    <row r="33" spans="2:4" ht="13.5" thickBot="1">
      <c r="B33" s="164"/>
      <c r="C33" s="203"/>
      <c r="D33" s="492"/>
    </row>
    <row r="34" spans="2:4" ht="12.75">
      <c r="B34" s="206"/>
      <c r="C34" s="495"/>
      <c r="D34" s="493"/>
    </row>
    <row r="35" spans="2:4" ht="12.75">
      <c r="B35" s="200"/>
      <c r="C35" s="201" t="s">
        <v>321</v>
      </c>
      <c r="D35" s="160">
        <f>CPYG!E9+CPYG!E11+CPYG!E53+CPYG!E47+CPYG!E46+CPYG!E78+CPYG!E57+CPYG!E73</f>
        <v>3987010.42</v>
      </c>
    </row>
    <row r="36" spans="2:4" ht="13.5" thickBot="1">
      <c r="B36" s="208"/>
      <c r="C36" s="496"/>
      <c r="D36" s="494"/>
    </row>
    <row r="37" spans="2:4" ht="12.75">
      <c r="B37" s="161"/>
      <c r="C37" s="162"/>
      <c r="D37" s="490"/>
    </row>
    <row r="38" spans="2:4" ht="12.75">
      <c r="B38" s="1194" t="s">
        <v>37</v>
      </c>
      <c r="C38" s="1195"/>
      <c r="D38" s="491">
        <f>D32+D35</f>
        <v>93115503.0983833</v>
      </c>
    </row>
    <row r="39" spans="2:4" ht="13.5" thickBot="1">
      <c r="B39" s="164"/>
      <c r="C39" s="203"/>
      <c r="D39" s="492"/>
    </row>
    <row r="41" ht="13.5" thickBot="1"/>
    <row r="42" spans="2:4" ht="12.75">
      <c r="B42" s="1185" t="s">
        <v>306</v>
      </c>
      <c r="C42" s="1186"/>
      <c r="D42" s="1198"/>
    </row>
    <row r="43" spans="2:4" ht="13.5" customHeight="1" thickBot="1">
      <c r="B43" s="1187"/>
      <c r="C43" s="1188"/>
      <c r="D43" s="1199"/>
    </row>
    <row r="44" spans="2:4" ht="12.75" customHeight="1">
      <c r="B44" s="151"/>
      <c r="C44" s="152"/>
      <c r="D44" s="497"/>
    </row>
    <row r="45" spans="2:4" ht="12.75">
      <c r="B45" s="138" t="s">
        <v>308</v>
      </c>
      <c r="C45" s="167" t="s">
        <v>322</v>
      </c>
      <c r="D45" s="498">
        <f>-CPYG!E29+CPYG!E35</f>
        <v>56632924.019999996</v>
      </c>
    </row>
    <row r="46" spans="2:4" ht="12.75">
      <c r="B46" s="138" t="s">
        <v>309</v>
      </c>
      <c r="C46" s="167" t="s">
        <v>323</v>
      </c>
      <c r="D46" s="499">
        <f>-CPYG!E12+CPYG!E16-CPYG!E38-CPYG!E39-CPYG!E90-CPYG!E41-'INF. ADIC. CPYG '!H39-'INF. ADIC. CPYG '!H38</f>
        <v>31964611.705115397</v>
      </c>
    </row>
    <row r="47" spans="2:4" ht="12.75">
      <c r="B47" s="138" t="s">
        <v>310</v>
      </c>
      <c r="C47" s="167" t="s">
        <v>816</v>
      </c>
      <c r="D47" s="499">
        <f>-CPYG!E75-CPYG!E76-CPYG!E87</f>
        <v>78890.54000000001</v>
      </c>
    </row>
    <row r="48" spans="2:4" ht="12.75">
      <c r="B48" s="138" t="s">
        <v>311</v>
      </c>
      <c r="C48" s="167" t="s">
        <v>324</v>
      </c>
      <c r="D48" s="499">
        <f>CPYG!E58</f>
        <v>0</v>
      </c>
    </row>
    <row r="49" spans="2:4" ht="12.75">
      <c r="B49" s="151"/>
      <c r="C49" s="152"/>
      <c r="D49" s="499"/>
    </row>
    <row r="50" spans="2:4" ht="12.75">
      <c r="B50" s="144" t="s">
        <v>325</v>
      </c>
      <c r="C50" s="145"/>
      <c r="D50" s="500">
        <f>SUM(D45:D48)</f>
        <v>88676426.2651154</v>
      </c>
    </row>
    <row r="51" spans="2:4" ht="12.75">
      <c r="B51" s="147"/>
      <c r="C51" s="148"/>
      <c r="D51" s="501"/>
    </row>
    <row r="52" spans="2:4" ht="12.75">
      <c r="B52" s="151"/>
      <c r="C52" s="152"/>
      <c r="D52" s="497"/>
    </row>
    <row r="53" spans="2:4" ht="12.75">
      <c r="B53" s="138" t="s">
        <v>314</v>
      </c>
      <c r="C53" s="167" t="s">
        <v>327</v>
      </c>
      <c r="D53" s="499"/>
    </row>
    <row r="54" spans="2:4" ht="12.75">
      <c r="B54" s="138" t="s">
        <v>315</v>
      </c>
      <c r="C54" s="167" t="s">
        <v>328</v>
      </c>
      <c r="D54" s="499"/>
    </row>
    <row r="55" spans="2:4" ht="12.75">
      <c r="B55" s="151"/>
      <c r="C55" s="152"/>
      <c r="D55" s="497"/>
    </row>
    <row r="56" spans="2:4" ht="12.75">
      <c r="B56" s="144" t="s">
        <v>329</v>
      </c>
      <c r="C56" s="145"/>
      <c r="D56" s="500">
        <f>+D54+D53</f>
        <v>0</v>
      </c>
    </row>
    <row r="57" spans="2:4" ht="12.75">
      <c r="B57" s="147"/>
      <c r="C57" s="148"/>
      <c r="D57" s="501"/>
    </row>
    <row r="58" spans="2:4" ht="12.75">
      <c r="B58" s="151"/>
      <c r="C58" s="152"/>
      <c r="D58" s="497"/>
    </row>
    <row r="59" spans="2:4" ht="12.75">
      <c r="B59" s="138" t="s">
        <v>317</v>
      </c>
      <c r="C59" s="167" t="s">
        <v>331</v>
      </c>
      <c r="D59" s="499"/>
    </row>
    <row r="60" spans="2:4" ht="12.75">
      <c r="B60" s="138" t="s">
        <v>318</v>
      </c>
      <c r="C60" s="167" t="s">
        <v>332</v>
      </c>
      <c r="D60" s="499"/>
    </row>
    <row r="61" spans="2:4" ht="12.75">
      <c r="B61" s="151"/>
      <c r="C61" s="152"/>
      <c r="D61" s="497"/>
    </row>
    <row r="62" spans="2:4" ht="13.5" thickBot="1">
      <c r="B62" s="209" t="s">
        <v>333</v>
      </c>
      <c r="C62" s="489"/>
      <c r="D62" s="488">
        <f>+D60+D59</f>
        <v>0</v>
      </c>
    </row>
    <row r="63" spans="2:4" ht="14.25" customHeight="1" thickBot="1">
      <c r="B63" s="151"/>
      <c r="C63" s="159"/>
      <c r="D63" s="160"/>
    </row>
    <row r="64" spans="2:4" ht="14.25" customHeight="1">
      <c r="B64" s="161"/>
      <c r="C64" s="162"/>
      <c r="D64" s="490"/>
    </row>
    <row r="65" spans="2:4" ht="12.75">
      <c r="B65" s="154"/>
      <c r="C65" s="156" t="s">
        <v>336</v>
      </c>
      <c r="D65" s="491">
        <f>+D62+D56+D50</f>
        <v>88676426.2651154</v>
      </c>
    </row>
    <row r="66" spans="2:4" ht="13.5" thickBot="1">
      <c r="B66" s="164"/>
      <c r="C66" s="203"/>
      <c r="D66" s="492"/>
    </row>
    <row r="67" spans="2:4" ht="12.75">
      <c r="B67" s="207"/>
      <c r="C67" s="506"/>
      <c r="D67" s="502"/>
    </row>
    <row r="68" spans="2:4" ht="12.75">
      <c r="B68" s="200"/>
      <c r="C68" s="201" t="s">
        <v>335</v>
      </c>
      <c r="D68" s="503">
        <f>-CPYG!E10-CPYG!E16-CPYG!E49-CPYG!E35-CPYG!E42-CPYG!E40-CPYG!E77-CPYG!E81-CPYG!E82</f>
        <v>4414225.07</v>
      </c>
    </row>
    <row r="69" spans="2:4" ht="14.25" customHeight="1" thickBot="1">
      <c r="B69" s="208"/>
      <c r="C69" s="496"/>
      <c r="D69" s="504"/>
    </row>
    <row r="70" spans="2:4" ht="14.25" customHeight="1">
      <c r="B70" s="154"/>
      <c r="C70" s="507"/>
      <c r="D70" s="505"/>
    </row>
    <row r="71" spans="2:4" ht="12.75">
      <c r="B71" s="1194" t="s">
        <v>38</v>
      </c>
      <c r="C71" s="1195"/>
      <c r="D71" s="491">
        <f>D65+D68</f>
        <v>93090651.3351154</v>
      </c>
    </row>
    <row r="72" spans="2:4" ht="13.5" thickBot="1">
      <c r="B72" s="164"/>
      <c r="C72" s="203"/>
      <c r="D72" s="492"/>
    </row>
    <row r="73" spans="2:3" ht="12.75">
      <c r="B73" s="158"/>
      <c r="C73" s="158"/>
    </row>
    <row r="74" spans="3:4" ht="12.75">
      <c r="C74" s="185" t="s">
        <v>762</v>
      </c>
      <c r="D74" s="186">
        <f>D38-D71</f>
        <v>24851.76326788962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393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345</v>
      </c>
      <c r="D81" s="133"/>
    </row>
    <row r="82" spans="3:4" ht="12.75" hidden="1">
      <c r="C82" s="181" t="s">
        <v>763</v>
      </c>
      <c r="D82" s="133"/>
    </row>
    <row r="83" spans="3:4" ht="18" customHeight="1" hidden="1">
      <c r="C83" s="181" t="s">
        <v>764</v>
      </c>
      <c r="D83" s="133"/>
    </row>
    <row r="84" spans="3:4" ht="18" customHeight="1" hidden="1">
      <c r="C84" s="181" t="s">
        <v>757</v>
      </c>
      <c r="D84" s="133"/>
    </row>
    <row r="85" spans="3:4" ht="18" customHeight="1" hidden="1">
      <c r="C85" s="181" t="s">
        <v>765</v>
      </c>
      <c r="D85" s="133"/>
    </row>
    <row r="86" spans="3:4" ht="18" customHeight="1" hidden="1">
      <c r="C86" s="181" t="s">
        <v>758</v>
      </c>
      <c r="D86" s="133"/>
    </row>
    <row r="87" spans="3:4" ht="18" customHeight="1" hidden="1">
      <c r="C87" s="132" t="s">
        <v>759</v>
      </c>
      <c r="D87" s="133"/>
    </row>
    <row r="88" spans="3:4" ht="21" customHeight="1" hidden="1">
      <c r="C88" s="182"/>
      <c r="D88" s="133"/>
    </row>
    <row r="89" ht="12.75">
      <c r="D89" s="133"/>
    </row>
    <row r="90" ht="12.75">
      <c r="D90" s="133"/>
    </row>
    <row r="91" spans="3:4" ht="12.75">
      <c r="C91" s="665" t="s">
        <v>297</v>
      </c>
      <c r="D91" s="187">
        <f>SUM(D92:D93)</f>
        <v>-1266731.07</v>
      </c>
    </row>
    <row r="92" spans="3:4" ht="12.75">
      <c r="C92" s="666" t="s">
        <v>287</v>
      </c>
      <c r="D92" s="187">
        <f>'INF. ADIC. CPYG '!H37</f>
        <v>-1266731.07</v>
      </c>
    </row>
    <row r="93" spans="3:4" ht="12.75" customHeight="1">
      <c r="C93" s="666" t="s">
        <v>288</v>
      </c>
      <c r="D93" s="187">
        <f>'INF. ADIC. CPYG '!H33</f>
        <v>0</v>
      </c>
    </row>
    <row r="95" spans="4:6" ht="12.75">
      <c r="D95" s="134">
        <f>D74+D91</f>
        <v>-1241879.3067321104</v>
      </c>
      <c r="F95" s="134">
        <f>D74-CPYG!E94</f>
        <v>-2.070737536996603E-08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84"/>
  <sheetViews>
    <sheetView zoomScalePageLayoutView="0" workbookViewId="0" topLeftCell="A54">
      <selection activeCell="A70" sqref="A70:IV84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57421875" style="134" customWidth="1"/>
    <col min="5" max="5" width="13.57421875" style="133" customWidth="1"/>
    <col min="6" max="16384" width="11.57421875" style="133" customWidth="1"/>
  </cols>
  <sheetData>
    <row r="2" spans="2:4" ht="12.75">
      <c r="B2" s="1180" t="s">
        <v>285</v>
      </c>
      <c r="C2" s="1180"/>
      <c r="D2" s="1180"/>
    </row>
    <row r="3" spans="2:4" ht="13.5" thickBot="1">
      <c r="B3" s="183"/>
      <c r="C3" s="183"/>
      <c r="D3" s="183"/>
    </row>
    <row r="4" spans="2:4" ht="15.75" thickBot="1">
      <c r="B4" s="1181" t="str">
        <f>'ORGANOS DE GOBIERNO'!B4:I4</f>
        <v>ENTIDAD: TRANSPORTES INTERURBANOS DE TENERIFE, S.A.</v>
      </c>
      <c r="C4" s="1182"/>
      <c r="D4" s="1183"/>
    </row>
    <row r="5" spans="2:3" ht="13.5" thickBot="1">
      <c r="B5" s="184"/>
      <c r="C5" s="184"/>
    </row>
    <row r="6" spans="2:4" ht="15.75" thickBot="1">
      <c r="B6" s="1184" t="s">
        <v>36</v>
      </c>
      <c r="C6" s="1182"/>
      <c r="D6" s="1183"/>
    </row>
    <row r="7" spans="2:3" ht="13.5" thickBot="1">
      <c r="B7" s="184"/>
      <c r="C7" s="184"/>
    </row>
    <row r="8" spans="2:4" ht="13.5" customHeight="1">
      <c r="B8" s="1185" t="s">
        <v>306</v>
      </c>
      <c r="C8" s="1186"/>
      <c r="D8" s="1176"/>
    </row>
    <row r="9" spans="2:4" ht="12.75" customHeight="1" thickBot="1">
      <c r="B9" s="1187"/>
      <c r="C9" s="1188"/>
      <c r="D9" s="1177"/>
    </row>
    <row r="10" spans="2:4" ht="12.75">
      <c r="B10" s="151"/>
      <c r="C10" s="152"/>
      <c r="D10" s="202"/>
    </row>
    <row r="11" spans="2:4" ht="12.75">
      <c r="B11" s="138" t="s">
        <v>308</v>
      </c>
      <c r="C11" s="139" t="s">
        <v>394</v>
      </c>
      <c r="D11" s="140">
        <f>PRESUPUESTO!D11</f>
        <v>0</v>
      </c>
    </row>
    <row r="12" spans="2:4" ht="12.75">
      <c r="B12" s="138" t="s">
        <v>309</v>
      </c>
      <c r="C12" s="139" t="s">
        <v>395</v>
      </c>
      <c r="D12" s="140">
        <f>PRESUPUESTO!D12</f>
        <v>0</v>
      </c>
    </row>
    <row r="13" spans="2:4" ht="12.75">
      <c r="B13" s="138" t="s">
        <v>310</v>
      </c>
      <c r="C13" s="139" t="s">
        <v>396</v>
      </c>
      <c r="D13" s="140">
        <f>PRESUPUESTO!D13</f>
        <v>57350630.08</v>
      </c>
    </row>
    <row r="14" spans="2:4" ht="12.75">
      <c r="B14" s="138" t="s">
        <v>311</v>
      </c>
      <c r="C14" s="139" t="s">
        <v>397</v>
      </c>
      <c r="D14" s="140">
        <f>PRESUPUESTO!D14</f>
        <v>31098751.5683833</v>
      </c>
    </row>
    <row r="15" spans="2:4" ht="12.75">
      <c r="B15" s="138" t="s">
        <v>312</v>
      </c>
      <c r="C15" s="139" t="s">
        <v>398</v>
      </c>
      <c r="D15" s="140">
        <f>PRESUPUESTO!D15</f>
        <v>679111.03</v>
      </c>
    </row>
    <row r="16" spans="2:4" ht="12.75">
      <c r="B16" s="141"/>
      <c r="C16" s="142"/>
      <c r="D16" s="143"/>
    </row>
    <row r="17" spans="2:4" ht="12.75">
      <c r="B17" s="144" t="s">
        <v>313</v>
      </c>
      <c r="C17" s="145"/>
      <c r="D17" s="146">
        <f>SUM(D11:D15)</f>
        <v>89128492.67838329</v>
      </c>
    </row>
    <row r="18" spans="2:4" ht="12.75">
      <c r="B18" s="147"/>
      <c r="C18" s="148"/>
      <c r="D18" s="149"/>
    </row>
    <row r="19" spans="2:4" ht="12.75">
      <c r="B19" s="141"/>
      <c r="C19" s="142"/>
      <c r="D19" s="143"/>
    </row>
    <row r="20" spans="2:4" ht="12.75">
      <c r="B20" s="138" t="s">
        <v>314</v>
      </c>
      <c r="C20" s="139" t="s">
        <v>399</v>
      </c>
      <c r="D20" s="140">
        <f>PRESUPUESTO!D20</f>
        <v>0</v>
      </c>
    </row>
    <row r="21" spans="2:4" ht="12.75">
      <c r="B21" s="138" t="s">
        <v>315</v>
      </c>
      <c r="C21" s="139" t="s">
        <v>400</v>
      </c>
      <c r="D21" s="140">
        <f>PRESUPUESTO!D21</f>
        <v>6259698.2</v>
      </c>
    </row>
    <row r="22" spans="2:4" ht="12.75">
      <c r="B22" s="141"/>
      <c r="C22" s="142"/>
      <c r="D22" s="143"/>
    </row>
    <row r="23" spans="2:4" ht="12.75">
      <c r="B23" s="144" t="s">
        <v>316</v>
      </c>
      <c r="C23" s="145"/>
      <c r="D23" s="146">
        <f>SUM(D20:D21)</f>
        <v>6259698.2</v>
      </c>
    </row>
    <row r="24" spans="2:4" ht="12.75">
      <c r="B24" s="147"/>
      <c r="C24" s="148"/>
      <c r="D24" s="149"/>
    </row>
    <row r="25" spans="2:4" ht="12.75">
      <c r="B25" s="141"/>
      <c r="C25" s="142"/>
      <c r="D25" s="143"/>
    </row>
    <row r="26" spans="2:4" ht="12.75">
      <c r="B26" s="138" t="s">
        <v>317</v>
      </c>
      <c r="C26" s="139" t="s">
        <v>401</v>
      </c>
      <c r="D26" s="140">
        <f>PRESUPUESTO!D26</f>
        <v>0</v>
      </c>
    </row>
    <row r="27" spans="2:4" ht="12.75">
      <c r="B27" s="138" t="s">
        <v>318</v>
      </c>
      <c r="C27" s="139" t="s">
        <v>402</v>
      </c>
      <c r="D27" s="140">
        <f>PRESUPUESTO!D27</f>
        <v>5699698.2</v>
      </c>
    </row>
    <row r="28" spans="2:4" ht="12.75">
      <c r="B28" s="141"/>
      <c r="C28" s="142"/>
      <c r="D28" s="143"/>
    </row>
    <row r="29" spans="2:4" ht="12.75">
      <c r="B29" s="144" t="s">
        <v>319</v>
      </c>
      <c r="C29" s="145"/>
      <c r="D29" s="150">
        <f>SUM(D26:D27)</f>
        <v>5699698.2</v>
      </c>
    </row>
    <row r="30" spans="2:4" ht="13.5" thickBot="1">
      <c r="B30" s="151"/>
      <c r="C30" s="152"/>
      <c r="D30" s="153"/>
    </row>
    <row r="31" spans="2:4" ht="12.75">
      <c r="B31" s="161"/>
      <c r="C31" s="162"/>
      <c r="D31" s="163"/>
    </row>
    <row r="32" spans="2:7" ht="12.75">
      <c r="B32" s="154"/>
      <c r="C32" s="156" t="s">
        <v>320</v>
      </c>
      <c r="D32" s="157">
        <f>D17+D23+D29</f>
        <v>101087889.0783833</v>
      </c>
      <c r="G32" s="670"/>
    </row>
    <row r="33" spans="2:4" ht="13.5" thickBot="1">
      <c r="B33" s="164"/>
      <c r="C33" s="203"/>
      <c r="D33" s="166"/>
    </row>
    <row r="34" spans="2:4" ht="24" customHeight="1" thickBot="1">
      <c r="B34" s="200"/>
      <c r="C34" s="201" t="s">
        <v>897</v>
      </c>
      <c r="D34" s="202">
        <f>'PRESUPUESTO CPYG'!D35</f>
        <v>3987010.42</v>
      </c>
    </row>
    <row r="35" spans="2:4" ht="12.75">
      <c r="B35" s="161"/>
      <c r="C35" s="162"/>
      <c r="D35" s="163"/>
    </row>
    <row r="36" spans="2:4" ht="12.75">
      <c r="B36" s="154"/>
      <c r="C36" s="156" t="s">
        <v>320</v>
      </c>
      <c r="D36" s="157">
        <f>D32+D34</f>
        <v>105074899.4983833</v>
      </c>
    </row>
    <row r="37" spans="2:4" ht="13.5" thickBot="1">
      <c r="B37" s="164"/>
      <c r="C37" s="203"/>
      <c r="D37" s="166"/>
    </row>
    <row r="38" ht="13.5" thickBot="1"/>
    <row r="39" spans="2:4" ht="13.5" customHeight="1">
      <c r="B39" s="1185" t="s">
        <v>306</v>
      </c>
      <c r="C39" s="1186"/>
      <c r="D39" s="1178"/>
    </row>
    <row r="40" spans="2:4" ht="12.75" customHeight="1" thickBot="1">
      <c r="B40" s="1187"/>
      <c r="C40" s="1188"/>
      <c r="D40" s="1179"/>
    </row>
    <row r="41" spans="2:4" ht="12.75">
      <c r="B41" s="151"/>
      <c r="C41" s="152"/>
      <c r="D41" s="153"/>
    </row>
    <row r="42" spans="2:4" ht="12.75">
      <c r="B42" s="138" t="s">
        <v>308</v>
      </c>
      <c r="C42" s="167" t="s">
        <v>322</v>
      </c>
      <c r="D42" s="168">
        <f>PRESUPUESTO!D40</f>
        <v>56632924.019999996</v>
      </c>
    </row>
    <row r="43" spans="2:4" ht="12.75">
      <c r="B43" s="138" t="s">
        <v>309</v>
      </c>
      <c r="C43" s="167" t="s">
        <v>323</v>
      </c>
      <c r="D43" s="168">
        <f>PRESUPUESTO!D41</f>
        <v>31964611.705115397</v>
      </c>
    </row>
    <row r="44" spans="2:4" ht="12.75">
      <c r="B44" s="138" t="s">
        <v>310</v>
      </c>
      <c r="C44" s="167" t="s">
        <v>816</v>
      </c>
      <c r="D44" s="168">
        <f>PRESUPUESTO!D42</f>
        <v>78890.54000000001</v>
      </c>
    </row>
    <row r="45" spans="2:4" ht="12.75">
      <c r="B45" s="138" t="s">
        <v>311</v>
      </c>
      <c r="C45" s="167" t="s">
        <v>324</v>
      </c>
      <c r="D45" s="168">
        <f>PRESUPUESTO!D43</f>
        <v>0</v>
      </c>
    </row>
    <row r="46" spans="2:4" ht="12.75">
      <c r="B46" s="151"/>
      <c r="C46" s="152"/>
      <c r="D46" s="168"/>
    </row>
    <row r="47" spans="2:4" ht="12.75">
      <c r="B47" s="144" t="s">
        <v>325</v>
      </c>
      <c r="C47" s="145"/>
      <c r="D47" s="150">
        <f>SUM(D42:D45)</f>
        <v>88676426.2651154</v>
      </c>
    </row>
    <row r="48" spans="2:4" ht="12.75">
      <c r="B48" s="147"/>
      <c r="C48" s="148"/>
      <c r="D48" s="170"/>
    </row>
    <row r="49" spans="2:4" ht="12.75">
      <c r="B49" s="151"/>
      <c r="C49" s="152"/>
      <c r="D49" s="153"/>
    </row>
    <row r="50" spans="2:4" ht="12.75">
      <c r="B50" s="138" t="s">
        <v>314</v>
      </c>
      <c r="C50" s="167" t="s">
        <v>327</v>
      </c>
      <c r="D50" s="168">
        <f>PRESUPUESTO!D48</f>
        <v>6259698.2</v>
      </c>
    </row>
    <row r="51" spans="2:4" ht="12.75">
      <c r="B51" s="138" t="s">
        <v>315</v>
      </c>
      <c r="C51" s="167" t="s">
        <v>328</v>
      </c>
      <c r="D51" s="168">
        <f>PRESUPUESTO!D49</f>
        <v>0</v>
      </c>
    </row>
    <row r="52" spans="2:4" ht="12.75">
      <c r="B52" s="151"/>
      <c r="C52" s="152"/>
      <c r="D52" s="153"/>
    </row>
    <row r="53" spans="2:4" ht="12.75">
      <c r="B53" s="144" t="s">
        <v>329</v>
      </c>
      <c r="C53" s="145"/>
      <c r="D53" s="150">
        <f>SUM(D50:D51)</f>
        <v>6259698.2</v>
      </c>
    </row>
    <row r="54" spans="2:4" ht="12.75">
      <c r="B54" s="147"/>
      <c r="C54" s="148"/>
      <c r="D54" s="170"/>
    </row>
    <row r="55" spans="2:4" ht="12.75">
      <c r="B55" s="151"/>
      <c r="C55" s="152"/>
      <c r="D55" s="153"/>
    </row>
    <row r="56" spans="2:4" ht="12.75">
      <c r="B56" s="138" t="s">
        <v>317</v>
      </c>
      <c r="C56" s="167" t="s">
        <v>331</v>
      </c>
      <c r="D56" s="168">
        <f>PRESUPUESTO!D54</f>
        <v>0</v>
      </c>
    </row>
    <row r="57" spans="2:4" ht="12.75">
      <c r="B57" s="138" t="s">
        <v>318</v>
      </c>
      <c r="C57" s="167" t="s">
        <v>332</v>
      </c>
      <c r="D57" s="168">
        <f>PRESUPUESTO!D55</f>
        <v>1520093.82</v>
      </c>
    </row>
    <row r="58" spans="2:4" ht="12.75">
      <c r="B58" s="151"/>
      <c r="C58" s="152"/>
      <c r="D58" s="153"/>
    </row>
    <row r="59" spans="2:4" ht="12.75">
      <c r="B59" s="144" t="s">
        <v>333</v>
      </c>
      <c r="C59" s="145"/>
      <c r="D59" s="150">
        <f>SUM(D56:D57)</f>
        <v>1520093.82</v>
      </c>
    </row>
    <row r="60" spans="2:4" ht="13.5" thickBot="1">
      <c r="B60" s="171"/>
      <c r="C60" s="172"/>
      <c r="D60" s="173"/>
    </row>
    <row r="61" spans="2:4" ht="13.5" thickTop="1">
      <c r="B61" s="161"/>
      <c r="C61" s="162"/>
      <c r="D61" s="163"/>
    </row>
    <row r="62" spans="2:7" ht="12.75">
      <c r="B62" s="154"/>
      <c r="C62" s="156" t="s">
        <v>871</v>
      </c>
      <c r="D62" s="157">
        <f>D47+D53+D59</f>
        <v>96456218.28511539</v>
      </c>
      <c r="G62" s="670"/>
    </row>
    <row r="63" spans="2:4" ht="13.5" thickBot="1">
      <c r="B63" s="189"/>
      <c r="C63" s="190"/>
      <c r="D63" s="155"/>
    </row>
    <row r="64" spans="2:4" ht="22.5" customHeight="1" thickBot="1">
      <c r="B64" s="197"/>
      <c r="C64" s="198" t="s">
        <v>898</v>
      </c>
      <c r="D64" s="199">
        <f>'PRESUPUESTO CPYG'!D68</f>
        <v>4414225.07</v>
      </c>
    </row>
    <row r="65" spans="2:4" ht="12.75">
      <c r="B65" s="161"/>
      <c r="C65" s="162"/>
      <c r="D65" s="163"/>
    </row>
    <row r="66" spans="2:4" ht="12.75">
      <c r="B66" s="154"/>
      <c r="C66" s="156" t="s">
        <v>871</v>
      </c>
      <c r="D66" s="157">
        <f>D62+D64</f>
        <v>100870443.35511538</v>
      </c>
    </row>
    <row r="67" spans="2:4" ht="13.5" thickBot="1">
      <c r="B67" s="164"/>
      <c r="C67" s="165"/>
      <c r="D67" s="166"/>
    </row>
    <row r="70" spans="2:5" ht="17.25" customHeight="1" hidden="1" thickBot="1">
      <c r="B70" s="192" t="s">
        <v>901</v>
      </c>
      <c r="C70" s="195" t="s">
        <v>762</v>
      </c>
      <c r="D70" s="196">
        <f>D36-D66</f>
        <v>4204456.143267915</v>
      </c>
      <c r="E70" s="133" t="s">
        <v>905</v>
      </c>
    </row>
    <row r="71" ht="13.5" hidden="1" thickBot="1"/>
    <row r="72" spans="2:5" ht="17.25" customHeight="1" hidden="1" thickBot="1">
      <c r="B72" s="192" t="s">
        <v>902</v>
      </c>
      <c r="C72" s="192" t="s">
        <v>900</v>
      </c>
      <c r="D72" s="193">
        <f>D74+D79+D80+D81+D82</f>
        <v>-4204456.143267902</v>
      </c>
      <c r="E72" s="133" t="s">
        <v>52</v>
      </c>
    </row>
    <row r="73" spans="2:4" ht="13.5" hidden="1" thickBot="1">
      <c r="B73" s="158"/>
      <c r="C73" s="158"/>
      <c r="D73" s="191"/>
    </row>
    <row r="74" spans="3:4" ht="19.5" customHeight="1" hidden="1" thickBot="1">
      <c r="C74" s="192" t="s">
        <v>899</v>
      </c>
      <c r="D74" s="193">
        <f>SUM(D75:D78)</f>
        <v>4414225.07</v>
      </c>
    </row>
    <row r="75" spans="3:4" ht="21.75" customHeight="1" hidden="1">
      <c r="C75" s="689" t="s">
        <v>54</v>
      </c>
      <c r="D75" s="690">
        <f>-'Inv. NO FIN'!E21</f>
        <v>0</v>
      </c>
    </row>
    <row r="76" spans="3:4" ht="18.75" customHeight="1" hidden="1">
      <c r="C76" s="691" t="s">
        <v>295</v>
      </c>
      <c r="D76" s="692">
        <f>-'Inv. NO FIN'!G21</f>
        <v>4414225.07</v>
      </c>
    </row>
    <row r="77" spans="3:4" ht="21" customHeight="1" hidden="1">
      <c r="C77" s="691" t="s">
        <v>26</v>
      </c>
      <c r="D77" s="692">
        <f>-'Inv. NO FIN'!H21</f>
        <v>0</v>
      </c>
    </row>
    <row r="78" spans="3:4" ht="26.25" hidden="1" thickBot="1">
      <c r="C78" s="693" t="s">
        <v>28</v>
      </c>
      <c r="D78" s="694">
        <f>-'Inv. NO FIN'!J21</f>
        <v>0</v>
      </c>
    </row>
    <row r="79" spans="3:4" ht="19.5" customHeight="1" hidden="1" thickBot="1">
      <c r="C79" s="695" t="s">
        <v>903</v>
      </c>
      <c r="D79" s="696">
        <f>-'Inv. FIN'!I14-'Inv. FIN'!I21-'Inv. FIN'!I33-'Inv. FIN'!I40</f>
        <v>0</v>
      </c>
    </row>
    <row r="80" spans="3:4" ht="30" customHeight="1" hidden="1" thickBot="1">
      <c r="C80" s="697" t="s">
        <v>904</v>
      </c>
      <c r="D80" s="698">
        <f>-(ACTIVO!E23-ACTIVO!D23)+ACTIVO!E37-ACTIVO!D37+ACTIVO!E38-ACTIVO!D38</f>
        <v>-2891200.3547209874</v>
      </c>
    </row>
    <row r="81" spans="3:5" ht="19.5" customHeight="1" hidden="1" thickBot="1">
      <c r="C81" s="192" t="s">
        <v>53</v>
      </c>
      <c r="D81" s="134">
        <f>'Transf. y subv.'!F17+'Transf. y subv.'!F18+'Transf. y subv.'!F19</f>
        <v>-4541063.990025326</v>
      </c>
      <c r="E81" s="661" t="s">
        <v>907</v>
      </c>
    </row>
    <row r="82" spans="3:4" ht="19.5" customHeight="1" hidden="1" thickBot="1">
      <c r="C82" s="194" t="s">
        <v>1043</v>
      </c>
      <c r="D82" s="193">
        <f>PASIVO!E28-PASIVO!D28+PASIVO!E43-PASIVO!D43+D57-D27</f>
        <v>-1186416.8685215889</v>
      </c>
    </row>
    <row r="83" ht="13.5" hidden="1" thickBot="1"/>
    <row r="84" spans="3:4" ht="13.5" hidden="1" thickBot="1">
      <c r="C84" s="192" t="s">
        <v>906</v>
      </c>
      <c r="D84" s="193">
        <f>D70+D72</f>
        <v>1.30385160446167E-08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D8:D9"/>
    <mergeCell ref="D39:D40"/>
    <mergeCell ref="B2:D2"/>
    <mergeCell ref="B4:D4"/>
    <mergeCell ref="B6:D6"/>
    <mergeCell ref="B39:C40"/>
    <mergeCell ref="B8:C9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>
    <tabColor theme="0"/>
    <pageSetUpPr fitToPage="1"/>
  </sheetPr>
  <dimension ref="A2:Q255"/>
  <sheetViews>
    <sheetView zoomScalePageLayoutView="0" workbookViewId="0" topLeftCell="A1">
      <selection activeCell="P7" sqref="P7"/>
    </sheetView>
  </sheetViews>
  <sheetFormatPr defaultColWidth="11.57421875" defaultRowHeight="12.75"/>
  <cols>
    <col min="1" max="1" width="5.00390625" style="381" customWidth="1"/>
    <col min="2" max="2" width="73.57421875" style="381" customWidth="1"/>
    <col min="3" max="3" width="19.8515625" style="381" customWidth="1"/>
    <col min="4" max="4" width="19.421875" style="381" customWidth="1"/>
    <col min="5" max="5" width="20.57421875" style="381" customWidth="1"/>
    <col min="6" max="6" width="1.57421875" style="381" customWidth="1"/>
    <col min="7" max="7" width="14.57421875" style="380" hidden="1" customWidth="1"/>
    <col min="8" max="8" width="15.421875" style="380" hidden="1" customWidth="1"/>
    <col min="9" max="11" width="0" style="381" hidden="1" customWidth="1"/>
    <col min="12" max="12" width="12.7109375" style="381" hidden="1" customWidth="1"/>
    <col min="13" max="13" width="12.00390625" style="381" hidden="1" customWidth="1"/>
    <col min="14" max="15" width="0" style="381" hidden="1" customWidth="1"/>
    <col min="16" max="16384" width="11.57421875" style="381" customWidth="1"/>
  </cols>
  <sheetData>
    <row r="2" spans="2:7" ht="49.5" customHeight="1">
      <c r="B2" s="1205" t="s">
        <v>810</v>
      </c>
      <c r="C2" s="1206"/>
      <c r="D2" s="1207"/>
      <c r="E2" s="377">
        <v>2017</v>
      </c>
      <c r="F2" s="378"/>
      <c r="G2" s="379"/>
    </row>
    <row r="3" spans="2:7" ht="25.5" customHeight="1">
      <c r="B3" s="1202" t="str">
        <f>'ORGANOS DE GOBIERNO'!B4:I4</f>
        <v>ENTIDAD: TRANSPORTES INTERURBANOS DE TENERIFE, S.A.</v>
      </c>
      <c r="C3" s="1203"/>
      <c r="D3" s="1204"/>
      <c r="E3" s="382" t="s">
        <v>294</v>
      </c>
      <c r="F3" s="383"/>
      <c r="G3" s="384"/>
    </row>
    <row r="4" spans="2:7" ht="25.5" customHeight="1">
      <c r="B4" s="1200" t="s">
        <v>896</v>
      </c>
      <c r="C4" s="1201"/>
      <c r="D4" s="1201"/>
      <c r="E4" s="1201"/>
      <c r="F4" s="385"/>
      <c r="G4" s="386"/>
    </row>
    <row r="5" spans="2:8" ht="31.5" customHeight="1">
      <c r="B5" s="387" t="s">
        <v>821</v>
      </c>
      <c r="C5" s="388" t="s">
        <v>105</v>
      </c>
      <c r="D5" s="389" t="s">
        <v>104</v>
      </c>
      <c r="E5" s="389" t="s">
        <v>103</v>
      </c>
      <c r="F5" s="390"/>
      <c r="G5" s="391" t="s">
        <v>760</v>
      </c>
      <c r="H5" s="391" t="s">
        <v>761</v>
      </c>
    </row>
    <row r="6" spans="2:6" s="394" customFormat="1" ht="19.5" customHeight="1">
      <c r="B6" s="392" t="s">
        <v>857</v>
      </c>
      <c r="C6" s="558"/>
      <c r="D6" s="558"/>
      <c r="E6" s="558"/>
      <c r="F6" s="393"/>
    </row>
    <row r="7" spans="2:12" s="394" customFormat="1" ht="19.5" customHeight="1">
      <c r="B7" s="395" t="s">
        <v>682</v>
      </c>
      <c r="C7" s="517">
        <f>'INF. ADIC. CPYG '!D30+'INF. ADIC. CPYG '!E30</f>
        <v>55365287.47</v>
      </c>
      <c r="D7" s="517">
        <f>'INF. ADIC. CPYG '!G30+'INF. ADIC. CPYG '!H30</f>
        <v>56272209.28714286</v>
      </c>
      <c r="E7" s="517">
        <f>'INF. ADIC. CPYG '!J30+'INF. ADIC. CPYG '!K30</f>
        <v>56228153.96</v>
      </c>
      <c r="F7" s="396"/>
      <c r="G7" s="397">
        <f>+D7-C7</f>
        <v>906921.8171428591</v>
      </c>
      <c r="H7" s="398">
        <f>+E7-D7</f>
        <v>-44055.327142857015</v>
      </c>
      <c r="I7" s="805"/>
      <c r="L7" s="805"/>
    </row>
    <row r="8" spans="2:11" s="394" customFormat="1" ht="27.75" customHeight="1">
      <c r="B8" s="404" t="s">
        <v>6</v>
      </c>
      <c r="C8" s="517">
        <f>SUM(C9:C10)</f>
        <v>0</v>
      </c>
      <c r="D8" s="517">
        <f>SUM(D9:D10)</f>
        <v>0</v>
      </c>
      <c r="E8" s="517">
        <f>SUM(E9:E10)</f>
        <v>0</v>
      </c>
      <c r="F8" s="405"/>
      <c r="G8" s="406"/>
      <c r="H8" s="402"/>
      <c r="I8" s="807"/>
      <c r="K8" s="807"/>
    </row>
    <row r="9" spans="2:12" s="394" customFormat="1" ht="18" customHeight="1">
      <c r="B9" s="399" t="s">
        <v>289</v>
      </c>
      <c r="C9" s="515">
        <v>0</v>
      </c>
      <c r="D9" s="515">
        <v>0</v>
      </c>
      <c r="E9" s="515">
        <v>0</v>
      </c>
      <c r="F9" s="405"/>
      <c r="G9" s="406"/>
      <c r="H9" s="402"/>
      <c r="I9" s="806"/>
      <c r="K9" s="806"/>
      <c r="L9" s="805"/>
    </row>
    <row r="10" spans="2:12" s="394" customFormat="1" ht="18" customHeight="1">
      <c r="B10" s="399" t="s">
        <v>290</v>
      </c>
      <c r="C10" s="515">
        <v>0</v>
      </c>
      <c r="D10" s="515">
        <v>0</v>
      </c>
      <c r="E10" s="515">
        <v>0</v>
      </c>
      <c r="F10" s="405"/>
      <c r="G10" s="406"/>
      <c r="H10" s="402"/>
      <c r="I10" s="806"/>
      <c r="K10" s="806"/>
      <c r="L10" s="805"/>
    </row>
    <row r="11" spans="2:12" s="394" customFormat="1" ht="25.5" customHeight="1">
      <c r="B11" s="404" t="s">
        <v>683</v>
      </c>
      <c r="C11" s="514">
        <v>0</v>
      </c>
      <c r="D11" s="514">
        <v>0</v>
      </c>
      <c r="E11" s="514">
        <v>0</v>
      </c>
      <c r="F11" s="405"/>
      <c r="G11" s="406"/>
      <c r="H11" s="402"/>
      <c r="I11" s="806"/>
      <c r="K11" s="806"/>
      <c r="L11" s="805"/>
    </row>
    <row r="12" spans="2:12" s="394" customFormat="1" ht="19.5" customHeight="1">
      <c r="B12" s="407" t="s">
        <v>684</v>
      </c>
      <c r="C12" s="517">
        <f>SUM(C13:C16)</f>
        <v>-14684662.38</v>
      </c>
      <c r="D12" s="517">
        <f>SUM(D13:D16)</f>
        <v>-13423203.206694</v>
      </c>
      <c r="E12" s="517">
        <f>SUM(E13:E16)</f>
        <v>-13674494</v>
      </c>
      <c r="F12" s="405"/>
      <c r="G12" s="397">
        <f>+D12-C12</f>
        <v>1261459.1733060014</v>
      </c>
      <c r="H12" s="398">
        <f>+E12-D12</f>
        <v>-251290.79330600053</v>
      </c>
      <c r="I12" s="805"/>
      <c r="L12" s="805"/>
    </row>
    <row r="13" spans="2:12" s="394" customFormat="1" ht="19.5" customHeight="1">
      <c r="B13" s="399" t="s">
        <v>685</v>
      </c>
      <c r="C13" s="515">
        <v>0</v>
      </c>
      <c r="D13" s="515">
        <v>0</v>
      </c>
      <c r="E13" s="515">
        <v>0</v>
      </c>
      <c r="F13" s="403"/>
      <c r="G13" s="408"/>
      <c r="H13" s="402"/>
      <c r="I13" s="808"/>
      <c r="L13" s="805"/>
    </row>
    <row r="14" spans="2:12" s="394" customFormat="1" ht="19.5" customHeight="1">
      <c r="B14" s="399" t="s">
        <v>686</v>
      </c>
      <c r="C14" s="515">
        <f>-14684662.38-C15</f>
        <v>-14402318.17</v>
      </c>
      <c r="D14" s="515">
        <f>-13396363.836694+297035</f>
        <v>-13099328.836694</v>
      </c>
      <c r="E14" s="515">
        <f>-13674494-E15</f>
        <v>-13277324.63</v>
      </c>
      <c r="F14" s="403"/>
      <c r="G14" s="408"/>
      <c r="H14" s="402"/>
      <c r="I14" s="808"/>
      <c r="L14" s="805"/>
    </row>
    <row r="15" spans="2:12" s="394" customFormat="1" ht="19.5" customHeight="1">
      <c r="B15" s="399" t="s">
        <v>687</v>
      </c>
      <c r="C15" s="515">
        <v>-282344.21</v>
      </c>
      <c r="D15" s="515">
        <f>-24119.37-2720-297035</f>
        <v>-323874.37</v>
      </c>
      <c r="E15" s="515">
        <f>D15+297035-370330</f>
        <v>-397169.37</v>
      </c>
      <c r="F15" s="403"/>
      <c r="G15" s="401">
        <f>+D15-C15</f>
        <v>-41530.159999999974</v>
      </c>
      <c r="H15" s="402">
        <f>-E15-D15</f>
        <v>721043.74</v>
      </c>
      <c r="I15" s="808"/>
      <c r="L15" s="805"/>
    </row>
    <row r="16" spans="2:12" s="394" customFormat="1" ht="19.5" customHeight="1">
      <c r="B16" s="399" t="s">
        <v>688</v>
      </c>
      <c r="C16" s="515">
        <v>0</v>
      </c>
      <c r="D16" s="515">
        <v>0</v>
      </c>
      <c r="E16" s="515">
        <v>0</v>
      </c>
      <c r="F16" s="403"/>
      <c r="G16" s="408"/>
      <c r="H16" s="402"/>
      <c r="I16" s="808"/>
      <c r="J16" s="809"/>
      <c r="K16" s="806"/>
      <c r="L16" s="805"/>
    </row>
    <row r="17" spans="2:12" s="394" customFormat="1" ht="19.5" customHeight="1">
      <c r="B17" s="404" t="s">
        <v>689</v>
      </c>
      <c r="C17" s="517">
        <f>C18+C22</f>
        <v>24937708.54</v>
      </c>
      <c r="D17" s="517">
        <f>D18+D22</f>
        <v>25356446.23244667</v>
      </c>
      <c r="E17" s="517">
        <f>E18+E22</f>
        <v>32824507.1783833</v>
      </c>
      <c r="F17" s="396"/>
      <c r="G17" s="397">
        <f>+D17-C17</f>
        <v>418737.6924466714</v>
      </c>
      <c r="H17" s="398">
        <f>+E17-D17</f>
        <v>7468060.945936628</v>
      </c>
      <c r="I17" s="808"/>
      <c r="L17" s="822"/>
    </row>
    <row r="18" spans="2:12" s="394" customFormat="1" ht="19.5" customHeight="1">
      <c r="B18" s="399" t="s">
        <v>690</v>
      </c>
      <c r="C18" s="518">
        <f>SUM(C19:C21)</f>
        <v>1845061.3900000001</v>
      </c>
      <c r="D18" s="518">
        <f>SUM(D19:D21)</f>
        <v>1726460.61</v>
      </c>
      <c r="E18" s="518">
        <f>SUM(E19:E21)</f>
        <v>1725755.61</v>
      </c>
      <c r="F18" s="400"/>
      <c r="G18" s="401"/>
      <c r="H18" s="402"/>
      <c r="I18" s="808"/>
      <c r="L18" s="822"/>
    </row>
    <row r="19" spans="2:12" s="394" customFormat="1" ht="19.5" customHeight="1">
      <c r="B19" s="399" t="s">
        <v>291</v>
      </c>
      <c r="C19" s="515">
        <v>0</v>
      </c>
      <c r="D19" s="515">
        <v>0</v>
      </c>
      <c r="E19" s="515">
        <v>0</v>
      </c>
      <c r="F19" s="400"/>
      <c r="G19" s="401"/>
      <c r="H19" s="402"/>
      <c r="I19" s="805"/>
      <c r="L19" s="805"/>
    </row>
    <row r="20" spans="2:12" s="394" customFormat="1" ht="19.5" customHeight="1">
      <c r="B20" s="399" t="s">
        <v>292</v>
      </c>
      <c r="C20" s="515">
        <v>606023.43</v>
      </c>
      <c r="D20" s="515">
        <v>603302.49</v>
      </c>
      <c r="E20" s="515">
        <v>603279.49</v>
      </c>
      <c r="F20" s="400"/>
      <c r="G20" s="401"/>
      <c r="H20" s="402"/>
      <c r="I20" s="805"/>
      <c r="L20" s="805"/>
    </row>
    <row r="21" spans="2:12" s="394" customFormat="1" ht="19.5" customHeight="1">
      <c r="B21" s="399" t="s">
        <v>293</v>
      </c>
      <c r="C21" s="515">
        <f>1845061.39-C20</f>
        <v>1239037.96</v>
      </c>
      <c r="D21" s="515">
        <f>1726460.61-D20</f>
        <v>1123158.12</v>
      </c>
      <c r="E21" s="515">
        <f>1725755.61-E20</f>
        <v>1122476.12</v>
      </c>
      <c r="F21" s="400"/>
      <c r="G21" s="401"/>
      <c r="H21" s="402"/>
      <c r="I21" s="805"/>
      <c r="L21" s="805"/>
    </row>
    <row r="22" spans="2:13" s="394" customFormat="1" ht="19.5" customHeight="1">
      <c r="B22" s="399" t="s">
        <v>691</v>
      </c>
      <c r="C22" s="518">
        <f>SUM(C23:C28)</f>
        <v>23092647.15</v>
      </c>
      <c r="D22" s="518">
        <f>SUM(D23:D28)</f>
        <v>23629985.62244667</v>
      </c>
      <c r="E22" s="518">
        <f>SUM(E23:E28)</f>
        <v>31098751.5683833</v>
      </c>
      <c r="F22" s="400"/>
      <c r="G22" s="401">
        <f>+D22-C22</f>
        <v>537338.4724466726</v>
      </c>
      <c r="H22" s="402">
        <f>-E22-D22</f>
        <v>-54728737.19082997</v>
      </c>
      <c r="I22" s="805"/>
      <c r="L22" s="1116">
        <v>31045752</v>
      </c>
      <c r="M22" s="394">
        <f>+E22-L22</f>
        <v>52999.568383298814</v>
      </c>
    </row>
    <row r="23" spans="2:12" s="394" customFormat="1" ht="19.5" customHeight="1">
      <c r="B23" s="399" t="s">
        <v>692</v>
      </c>
      <c r="C23" s="515">
        <v>0</v>
      </c>
      <c r="D23" s="515">
        <v>0</v>
      </c>
      <c r="E23" s="515">
        <v>0</v>
      </c>
      <c r="F23" s="400"/>
      <c r="G23" s="401"/>
      <c r="H23" s="402"/>
      <c r="I23" s="808"/>
      <c r="L23" s="822"/>
    </row>
    <row r="24" spans="2:12" s="394" customFormat="1" ht="19.5" customHeight="1">
      <c r="B24" s="399" t="s">
        <v>7</v>
      </c>
      <c r="C24" s="515">
        <v>0</v>
      </c>
      <c r="D24" s="515">
        <v>0</v>
      </c>
      <c r="E24" s="515">
        <v>0</v>
      </c>
      <c r="F24" s="403"/>
      <c r="G24" s="401">
        <f>+D24-C24</f>
        <v>0</v>
      </c>
      <c r="H24" s="402">
        <f>-E24-D24</f>
        <v>0</v>
      </c>
      <c r="I24" s="808"/>
      <c r="L24" s="822"/>
    </row>
    <row r="25" spans="2:12" s="394" customFormat="1" ht="19.5" customHeight="1">
      <c r="B25" s="399" t="s">
        <v>8</v>
      </c>
      <c r="C25" s="515">
        <f>11283484.51+1115150.11+430143.82-757.57</f>
        <v>12828020.87</v>
      </c>
      <c r="D25" s="515">
        <v>13702064.367</v>
      </c>
      <c r="E25" s="515">
        <v>14717546.68505</v>
      </c>
      <c r="F25" s="403"/>
      <c r="G25" s="408"/>
      <c r="H25" s="402"/>
      <c r="I25" s="808"/>
      <c r="L25" s="822"/>
    </row>
    <row r="26" spans="2:12" s="394" customFormat="1" ht="19.5" customHeight="1">
      <c r="B26" s="399" t="s">
        <v>693</v>
      </c>
      <c r="C26" s="515">
        <f>8104827.51+367116.2+562699.32+954883.05+14412.06+260688.14</f>
        <v>10264626.280000001</v>
      </c>
      <c r="D26" s="515">
        <v>9927921.25544667</v>
      </c>
      <c r="E26" s="515">
        <f>16598463.8833333-267259+50000</f>
        <v>16381204.8833333</v>
      </c>
      <c r="F26" s="403"/>
      <c r="G26" s="408"/>
      <c r="H26" s="402"/>
      <c r="I26" s="808"/>
      <c r="L26" s="1118"/>
    </row>
    <row r="27" spans="2:12" s="394" customFormat="1" ht="19.5" customHeight="1">
      <c r="B27" s="399" t="s">
        <v>694</v>
      </c>
      <c r="C27" s="515">
        <v>0</v>
      </c>
      <c r="D27" s="515">
        <v>0</v>
      </c>
      <c r="E27" s="515">
        <v>0</v>
      </c>
      <c r="F27" s="403"/>
      <c r="G27" s="401">
        <f>+D27-C27</f>
        <v>0</v>
      </c>
      <c r="H27" s="402">
        <f>-E27-D27</f>
        <v>0</v>
      </c>
      <c r="I27" s="808"/>
      <c r="L27" s="822"/>
    </row>
    <row r="28" spans="2:12" s="394" customFormat="1" ht="19.5" customHeight="1">
      <c r="B28" s="399" t="s">
        <v>695</v>
      </c>
      <c r="C28" s="515">
        <v>0</v>
      </c>
      <c r="D28" s="515">
        <v>0</v>
      </c>
      <c r="E28" s="515">
        <v>0</v>
      </c>
      <c r="F28" s="403"/>
      <c r="G28" s="408"/>
      <c r="H28" s="402"/>
      <c r="I28" s="808"/>
      <c r="L28" s="822"/>
    </row>
    <row r="29" spans="2:14" s="394" customFormat="1" ht="19.5" customHeight="1">
      <c r="B29" s="404" t="s">
        <v>696</v>
      </c>
      <c r="C29" s="517">
        <f>SUM(C30:C35)</f>
        <v>-53320205.09</v>
      </c>
      <c r="D29" s="517">
        <f>SUM(D30:D35)</f>
        <v>-53484303.06</v>
      </c>
      <c r="E29" s="517">
        <f>SUM(E30:E35)</f>
        <v>-56632924.019999996</v>
      </c>
      <c r="F29" s="405"/>
      <c r="G29" s="397">
        <f>+D29-C29</f>
        <v>-164097.9699999988</v>
      </c>
      <c r="H29" s="398">
        <f>+E29-D29</f>
        <v>-3148620.9599999934</v>
      </c>
      <c r="I29" s="805"/>
      <c r="L29" s="805"/>
      <c r="N29" s="1123">
        <f>(E29-D29)/D29</f>
        <v>0.05887000072652706</v>
      </c>
    </row>
    <row r="30" spans="2:12" s="394" customFormat="1" ht="19.5" customHeight="1">
      <c r="B30" s="399" t="s">
        <v>697</v>
      </c>
      <c r="C30" s="515">
        <v>-39193544.93</v>
      </c>
      <c r="D30" s="515">
        <f>-38856340.03-9157.06</f>
        <v>-38865497.09</v>
      </c>
      <c r="E30" s="515">
        <f>-Personal!I36-Personal!I44</f>
        <v>-41436478.809999995</v>
      </c>
      <c r="F30" s="403"/>
      <c r="G30" s="401">
        <f>+D30-C30</f>
        <v>328047.8399999961</v>
      </c>
      <c r="H30" s="402">
        <f aca="true" t="shared" si="0" ref="H30:H35">-E30-D30</f>
        <v>80301975.9</v>
      </c>
      <c r="I30" s="808"/>
      <c r="L30" s="805"/>
    </row>
    <row r="31" spans="2:12" s="394" customFormat="1" ht="19.5" customHeight="1">
      <c r="B31" s="399" t="s">
        <v>9</v>
      </c>
      <c r="C31" s="515">
        <v>-191077.42</v>
      </c>
      <c r="D31" s="515">
        <v>-196518.97</v>
      </c>
      <c r="E31" s="515">
        <v>-180115</v>
      </c>
      <c r="F31" s="403"/>
      <c r="G31" s="401">
        <f>+D31-C31</f>
        <v>-5441.549999999988</v>
      </c>
      <c r="H31" s="402">
        <f t="shared" si="0"/>
        <v>376633.97</v>
      </c>
      <c r="I31" s="808"/>
      <c r="L31" s="805"/>
    </row>
    <row r="32" spans="2:12" s="394" customFormat="1" ht="19.5" customHeight="1">
      <c r="B32" s="399" t="s">
        <v>10</v>
      </c>
      <c r="C32" s="515">
        <v>-13484755.02</v>
      </c>
      <c r="D32" s="515">
        <v>-13966393</v>
      </c>
      <c r="E32" s="515">
        <f>-Personal!I43</f>
        <v>-14429499.97</v>
      </c>
      <c r="F32" s="403"/>
      <c r="G32" s="401">
        <f>+D32-C32</f>
        <v>-481637.98000000045</v>
      </c>
      <c r="H32" s="402">
        <f t="shared" si="0"/>
        <v>28395892.97</v>
      </c>
      <c r="I32" s="808"/>
      <c r="L32" s="805"/>
    </row>
    <row r="33" spans="2:12" s="394" customFormat="1" ht="19.5" customHeight="1">
      <c r="B33" s="399" t="s">
        <v>11</v>
      </c>
      <c r="C33" s="515">
        <v>0</v>
      </c>
      <c r="D33" s="515">
        <v>0</v>
      </c>
      <c r="E33" s="515">
        <v>0</v>
      </c>
      <c r="F33" s="403"/>
      <c r="G33" s="401">
        <f>+D33-C33</f>
        <v>0</v>
      </c>
      <c r="H33" s="402">
        <f t="shared" si="0"/>
        <v>0</v>
      </c>
      <c r="I33" s="808"/>
      <c r="L33" s="805"/>
    </row>
    <row r="34" spans="2:12" s="394" customFormat="1" ht="19.5" customHeight="1">
      <c r="B34" s="399" t="s">
        <v>12</v>
      </c>
      <c r="C34" s="515">
        <f>-(2239.8+448587.92)</f>
        <v>-450827.72</v>
      </c>
      <c r="D34" s="515">
        <v>-455894</v>
      </c>
      <c r="E34" s="515">
        <v>-586830.24</v>
      </c>
      <c r="F34" s="403"/>
      <c r="G34" s="408"/>
      <c r="H34" s="402">
        <f t="shared" si="0"/>
        <v>1042724.24</v>
      </c>
      <c r="I34" s="808"/>
      <c r="L34" s="805"/>
    </row>
    <row r="35" spans="2:12" s="394" customFormat="1" ht="19.5" customHeight="1">
      <c r="B35" s="399" t="s">
        <v>13</v>
      </c>
      <c r="C35" s="515">
        <v>0</v>
      </c>
      <c r="D35" s="515">
        <v>0</v>
      </c>
      <c r="E35" s="515">
        <v>0</v>
      </c>
      <c r="F35" s="403"/>
      <c r="G35" s="408"/>
      <c r="H35" s="409">
        <f t="shared" si="0"/>
        <v>0</v>
      </c>
      <c r="I35" s="808"/>
      <c r="J35" s="806"/>
      <c r="K35" s="806"/>
      <c r="L35" s="805"/>
    </row>
    <row r="36" spans="2:8" s="394" customFormat="1" ht="19.5" customHeight="1" hidden="1">
      <c r="B36" s="399" t="s">
        <v>1017</v>
      </c>
      <c r="C36" s="515"/>
      <c r="D36" s="514"/>
      <c r="E36" s="515"/>
      <c r="F36" s="403"/>
      <c r="G36" s="408"/>
      <c r="H36" s="409"/>
    </row>
    <row r="37" spans="2:13" s="394" customFormat="1" ht="19.5" customHeight="1">
      <c r="B37" s="395" t="s">
        <v>698</v>
      </c>
      <c r="C37" s="517">
        <f>+C38+C39+C40+C41</f>
        <v>-12041370.68</v>
      </c>
      <c r="D37" s="517">
        <f>+D38+D39+D40+D41</f>
        <v>-13575820.777706947</v>
      </c>
      <c r="E37" s="517">
        <f>+E38+E39+E40+E41</f>
        <v>-17023386.635115393</v>
      </c>
      <c r="F37" s="405"/>
      <c r="G37" s="397">
        <f>+D37-C37</f>
        <v>-1534450.0977069475</v>
      </c>
      <c r="H37" s="398">
        <f>+E37-D37</f>
        <v>-3447565.8574084453</v>
      </c>
      <c r="I37" s="808"/>
      <c r="L37" s="394">
        <v>16973387</v>
      </c>
      <c r="M37" s="394">
        <f>+L37+E37</f>
        <v>-49999.635115392506</v>
      </c>
    </row>
    <row r="38" spans="2:12" s="394" customFormat="1" ht="19.5" customHeight="1">
      <c r="B38" s="399" t="s">
        <v>14</v>
      </c>
      <c r="C38" s="515">
        <v>-11070915.52</v>
      </c>
      <c r="D38" s="515">
        <v>-12566176.3655179</v>
      </c>
      <c r="E38" s="515">
        <f>-16085386.8546392+267259-50000</f>
        <v>-15868127.8546392</v>
      </c>
      <c r="F38" s="403"/>
      <c r="G38" s="401">
        <f>+D38-C38</f>
        <v>-1495260.8455178998</v>
      </c>
      <c r="H38" s="402">
        <f>-E38-D38</f>
        <v>28434304.2201571</v>
      </c>
      <c r="I38" s="805"/>
      <c r="L38" s="805"/>
    </row>
    <row r="39" spans="2:12" s="394" customFormat="1" ht="19.5" customHeight="1">
      <c r="B39" s="399" t="s">
        <v>15</v>
      </c>
      <c r="C39" s="515">
        <v>-819843.33</v>
      </c>
      <c r="D39" s="515">
        <v>-786555.022189048</v>
      </c>
      <c r="E39" s="515">
        <v>-861274.938571429</v>
      </c>
      <c r="F39" s="403"/>
      <c r="G39" s="401">
        <f>+D39-C39</f>
        <v>33288.307810951956</v>
      </c>
      <c r="H39" s="402">
        <f>-E39-D39</f>
        <v>1647829.960760477</v>
      </c>
      <c r="I39" s="805"/>
      <c r="L39" s="805"/>
    </row>
    <row r="40" spans="2:12" s="394" customFormat="1" ht="19.5" customHeight="1">
      <c r="B40" s="399" t="s">
        <v>699</v>
      </c>
      <c r="C40" s="515">
        <v>-8240.88</v>
      </c>
      <c r="D40" s="515">
        <v>0</v>
      </c>
      <c r="E40" s="515">
        <v>0</v>
      </c>
      <c r="F40" s="400"/>
      <c r="G40" s="401">
        <f>+D40-C40</f>
        <v>8240.88</v>
      </c>
      <c r="H40" s="402">
        <f>-E40-D40</f>
        <v>0</v>
      </c>
      <c r="I40" s="806"/>
      <c r="K40" s="806"/>
      <c r="L40" s="805"/>
    </row>
    <row r="41" spans="2:12" s="394" customFormat="1" ht="19.5" customHeight="1">
      <c r="B41" s="399" t="s">
        <v>700</v>
      </c>
      <c r="C41" s="515">
        <v>-142370.95</v>
      </c>
      <c r="D41" s="515">
        <v>-223089.39</v>
      </c>
      <c r="E41" s="515">
        <v>-293983.841904762</v>
      </c>
      <c r="F41" s="411"/>
      <c r="G41" s="412">
        <f>+D41-C41</f>
        <v>-80718.44</v>
      </c>
      <c r="H41" s="402"/>
      <c r="I41" s="805"/>
      <c r="L41" s="805"/>
    </row>
    <row r="42" spans="2:12" s="394" customFormat="1" ht="19.5" customHeight="1">
      <c r="B42" s="395" t="s">
        <v>701</v>
      </c>
      <c r="C42" s="517">
        <f>SUM(C43:C45)</f>
        <v>-5631906.85</v>
      </c>
      <c r="D42" s="517">
        <f>SUM(D43:D45)</f>
        <v>-4582823.32</v>
      </c>
      <c r="E42" s="517">
        <f>SUM(E43:E45)</f>
        <v>-4414225.07</v>
      </c>
      <c r="F42" s="405"/>
      <c r="G42" s="397">
        <f>+D42-C42</f>
        <v>1049083.5299999993</v>
      </c>
      <c r="H42" s="398">
        <f>+E42-D42</f>
        <v>168598.25</v>
      </c>
      <c r="I42" s="806"/>
      <c r="K42" s="806"/>
      <c r="L42" s="805"/>
    </row>
    <row r="43" spans="2:11" s="394" customFormat="1" ht="19.5" customHeight="1">
      <c r="B43" s="399" t="s">
        <v>237</v>
      </c>
      <c r="C43" s="515">
        <v>-36915.51</v>
      </c>
      <c r="D43" s="515">
        <v>-36359.25</v>
      </c>
      <c r="E43" s="515">
        <v>-23021.16</v>
      </c>
      <c r="F43" s="405"/>
      <c r="G43" s="397"/>
      <c r="H43" s="398"/>
      <c r="I43" s="807"/>
      <c r="K43" s="807"/>
    </row>
    <row r="44" spans="2:11" s="394" customFormat="1" ht="19.5" customHeight="1">
      <c r="B44" s="399" t="s">
        <v>238</v>
      </c>
      <c r="C44" s="515">
        <v>-5594991.34</v>
      </c>
      <c r="D44" s="515">
        <f>-4521619.9-62.4-61141.02-D43</f>
        <v>-4546464.07</v>
      </c>
      <c r="E44" s="515">
        <f>-3742339.7-62.4-61141.02-E43-610681.95</f>
        <v>-4391203.91</v>
      </c>
      <c r="F44" s="405"/>
      <c r="G44" s="397"/>
      <c r="H44" s="398"/>
      <c r="I44" s="807"/>
      <c r="K44" s="807"/>
    </row>
    <row r="45" spans="2:11" s="394" customFormat="1" ht="19.5" customHeight="1">
      <c r="B45" s="399" t="s">
        <v>239</v>
      </c>
      <c r="C45" s="515">
        <v>0</v>
      </c>
      <c r="D45" s="515">
        <v>0</v>
      </c>
      <c r="E45" s="515">
        <v>0</v>
      </c>
      <c r="F45" s="405"/>
      <c r="G45" s="397"/>
      <c r="H45" s="398"/>
      <c r="I45" s="807"/>
      <c r="K45" s="807"/>
    </row>
    <row r="46" spans="1:12" s="394" customFormat="1" ht="25.5" customHeight="1">
      <c r="A46" s="410"/>
      <c r="B46" s="404" t="s">
        <v>702</v>
      </c>
      <c r="C46" s="514">
        <v>5213411.06</v>
      </c>
      <c r="D46" s="514">
        <v>4147582.89</v>
      </c>
      <c r="E46" s="514">
        <f>3376328.47+610681.95</f>
        <v>3987010.42</v>
      </c>
      <c r="F46" s="405"/>
      <c r="G46" s="397">
        <f>+D46-C46</f>
        <v>-1065828.1699999995</v>
      </c>
      <c r="H46" s="398">
        <f>+E46-D46</f>
        <v>-160572.4700000002</v>
      </c>
      <c r="I46" s="806"/>
      <c r="K46" s="806"/>
      <c r="L46" s="805"/>
    </row>
    <row r="47" spans="2:12" s="394" customFormat="1" ht="24.75" customHeight="1">
      <c r="B47" s="404" t="s">
        <v>703</v>
      </c>
      <c r="C47" s="514">
        <v>0</v>
      </c>
      <c r="D47" s="514">
        <v>0</v>
      </c>
      <c r="E47" s="514">
        <v>0</v>
      </c>
      <c r="F47" s="396"/>
      <c r="G47" s="397"/>
      <c r="H47" s="402"/>
      <c r="I47" s="806"/>
      <c r="K47" s="806"/>
      <c r="L47" s="805"/>
    </row>
    <row r="48" spans="2:11" s="394" customFormat="1" ht="28.5" customHeight="1">
      <c r="B48" s="404" t="s">
        <v>704</v>
      </c>
      <c r="C48" s="517">
        <f>C49+C53</f>
        <v>0</v>
      </c>
      <c r="D48" s="517">
        <f>D49+D53</f>
        <v>0</v>
      </c>
      <c r="E48" s="517">
        <f>E49+E53</f>
        <v>0</v>
      </c>
      <c r="F48" s="405"/>
      <c r="G48" s="397">
        <f>+D48-C48</f>
        <v>0</v>
      </c>
      <c r="H48" s="398">
        <f>+E48-D48</f>
        <v>0</v>
      </c>
      <c r="I48" s="807"/>
      <c r="K48" s="807"/>
    </row>
    <row r="49" spans="2:12" s="394" customFormat="1" ht="19.5" customHeight="1">
      <c r="B49" s="399" t="s">
        <v>806</v>
      </c>
      <c r="C49" s="518">
        <f>SUM(C50:C52)</f>
        <v>0</v>
      </c>
      <c r="D49" s="518">
        <f>SUM(D50:D52)</f>
        <v>0</v>
      </c>
      <c r="E49" s="518">
        <f>SUM(E50:E52)</f>
        <v>0</v>
      </c>
      <c r="F49" s="400"/>
      <c r="G49" s="401"/>
      <c r="H49" s="402"/>
      <c r="I49" s="806"/>
      <c r="K49" s="806"/>
      <c r="L49" s="805"/>
    </row>
    <row r="50" spans="2:11" s="394" customFormat="1" ht="19.5" customHeight="1">
      <c r="B50" s="399" t="s">
        <v>240</v>
      </c>
      <c r="C50" s="515">
        <v>0</v>
      </c>
      <c r="D50" s="515">
        <v>0</v>
      </c>
      <c r="E50" s="515">
        <v>0</v>
      </c>
      <c r="F50" s="400"/>
      <c r="G50" s="401"/>
      <c r="H50" s="402"/>
      <c r="I50" s="807"/>
      <c r="K50" s="807"/>
    </row>
    <row r="51" spans="2:11" s="394" customFormat="1" ht="19.5" customHeight="1">
      <c r="B51" s="399" t="s">
        <v>241</v>
      </c>
      <c r="C51" s="515">
        <v>0</v>
      </c>
      <c r="D51" s="515">
        <v>0</v>
      </c>
      <c r="E51" s="515">
        <v>0</v>
      </c>
      <c r="F51" s="400"/>
      <c r="G51" s="401"/>
      <c r="H51" s="402"/>
      <c r="I51" s="807"/>
      <c r="K51" s="807"/>
    </row>
    <row r="52" spans="2:11" s="394" customFormat="1" ht="19.5" customHeight="1">
      <c r="B52" s="399" t="s">
        <v>242</v>
      </c>
      <c r="C52" s="515">
        <v>0</v>
      </c>
      <c r="D52" s="515">
        <v>0</v>
      </c>
      <c r="E52" s="515">
        <v>0</v>
      </c>
      <c r="F52" s="400"/>
      <c r="G52" s="401"/>
      <c r="H52" s="402"/>
      <c r="I52" s="807"/>
      <c r="K52" s="807"/>
    </row>
    <row r="53" spans="2:12" s="394" customFormat="1" ht="19.5" customHeight="1">
      <c r="B53" s="399" t="s">
        <v>16</v>
      </c>
      <c r="C53" s="518">
        <f>SUM(C54:C56)</f>
        <v>0</v>
      </c>
      <c r="D53" s="518">
        <f>SUM(D54:D56)</f>
        <v>0</v>
      </c>
      <c r="E53" s="518">
        <f>SUM(E54:E56)</f>
        <v>0</v>
      </c>
      <c r="F53" s="403"/>
      <c r="G53" s="401">
        <f>+D53-C53</f>
        <v>0</v>
      </c>
      <c r="H53" s="402">
        <f>-E53-D53</f>
        <v>0</v>
      </c>
      <c r="I53" s="806"/>
      <c r="K53" s="806"/>
      <c r="L53" s="805"/>
    </row>
    <row r="54" spans="2:11" s="394" customFormat="1" ht="19.5" customHeight="1">
      <c r="B54" s="399" t="s">
        <v>240</v>
      </c>
      <c r="C54" s="515">
        <v>0</v>
      </c>
      <c r="D54" s="515">
        <v>0</v>
      </c>
      <c r="E54" s="515">
        <v>0</v>
      </c>
      <c r="F54" s="403"/>
      <c r="G54" s="401"/>
      <c r="H54" s="402"/>
      <c r="I54" s="807"/>
      <c r="K54" s="807"/>
    </row>
    <row r="55" spans="2:11" s="394" customFormat="1" ht="19.5" customHeight="1">
      <c r="B55" s="399" t="s">
        <v>241</v>
      </c>
      <c r="C55" s="515">
        <v>0</v>
      </c>
      <c r="D55" s="515">
        <v>0</v>
      </c>
      <c r="E55" s="515">
        <v>0</v>
      </c>
      <c r="F55" s="403"/>
      <c r="G55" s="401"/>
      <c r="H55" s="402"/>
      <c r="I55" s="807"/>
      <c r="K55" s="807"/>
    </row>
    <row r="56" spans="2:11" s="394" customFormat="1" ht="19.5" customHeight="1">
      <c r="B56" s="399" t="s">
        <v>242</v>
      </c>
      <c r="C56" s="515">
        <v>0</v>
      </c>
      <c r="D56" s="515">
        <v>0</v>
      </c>
      <c r="E56" s="515">
        <v>0</v>
      </c>
      <c r="F56" s="403"/>
      <c r="G56" s="401"/>
      <c r="H56" s="402"/>
      <c r="I56" s="807"/>
      <c r="K56" s="807"/>
    </row>
    <row r="57" spans="2:12" s="394" customFormat="1" ht="27" customHeight="1">
      <c r="B57" s="404" t="s">
        <v>1018</v>
      </c>
      <c r="C57" s="517">
        <v>0</v>
      </c>
      <c r="D57" s="517">
        <v>0</v>
      </c>
      <c r="E57" s="517">
        <v>0</v>
      </c>
      <c r="F57" s="403"/>
      <c r="G57" s="401"/>
      <c r="H57" s="402"/>
      <c r="I57" s="806"/>
      <c r="K57" s="806"/>
      <c r="L57" s="805"/>
    </row>
    <row r="58" spans="2:9" s="394" customFormat="1" ht="27" customHeight="1">
      <c r="B58" s="404" t="s">
        <v>909</v>
      </c>
      <c r="C58" s="517">
        <f>SUM(C59:C61)</f>
        <v>0</v>
      </c>
      <c r="D58" s="517">
        <f>SUM(D59:D61)</f>
        <v>0</v>
      </c>
      <c r="E58" s="517">
        <f>SUM(E59:E61)</f>
        <v>0</v>
      </c>
      <c r="F58" s="403"/>
      <c r="G58" s="401"/>
      <c r="H58" s="402"/>
      <c r="I58" s="805"/>
    </row>
    <row r="59" spans="2:17" s="394" customFormat="1" ht="19.5" customHeight="1">
      <c r="B59" s="399" t="s">
        <v>910</v>
      </c>
      <c r="C59" s="515">
        <v>0</v>
      </c>
      <c r="D59" s="515">
        <v>0</v>
      </c>
      <c r="E59" s="515">
        <v>0</v>
      </c>
      <c r="F59" s="403"/>
      <c r="G59" s="401"/>
      <c r="H59" s="402"/>
      <c r="I59" s="808"/>
      <c r="L59" s="954"/>
      <c r="M59" s="954"/>
      <c r="N59" s="954"/>
      <c r="O59" s="954"/>
      <c r="P59" s="954"/>
      <c r="Q59" s="954"/>
    </row>
    <row r="60" spans="2:17" s="394" customFormat="1" ht="19.5" customHeight="1">
      <c r="B60" s="399" t="s">
        <v>911</v>
      </c>
      <c r="C60" s="515">
        <v>0</v>
      </c>
      <c r="D60" s="515">
        <v>0</v>
      </c>
      <c r="E60" s="515">
        <v>0</v>
      </c>
      <c r="F60" s="403"/>
      <c r="G60" s="401"/>
      <c r="H60" s="402"/>
      <c r="I60" s="808"/>
      <c r="L60" s="954"/>
      <c r="M60" s="954"/>
      <c r="N60" s="954"/>
      <c r="O60" s="954"/>
      <c r="P60" s="954"/>
      <c r="Q60" s="954"/>
    </row>
    <row r="61" spans="2:17" s="394" customFormat="1" ht="19.5" customHeight="1">
      <c r="B61" s="399" t="s">
        <v>912</v>
      </c>
      <c r="C61" s="515">
        <v>0</v>
      </c>
      <c r="D61" s="515">
        <v>0</v>
      </c>
      <c r="E61" s="515">
        <v>0</v>
      </c>
      <c r="F61" s="403"/>
      <c r="G61" s="401"/>
      <c r="H61" s="402"/>
      <c r="I61" s="808"/>
      <c r="L61" s="954"/>
      <c r="M61" s="954"/>
      <c r="N61" s="954"/>
      <c r="O61" s="954"/>
      <c r="P61" s="954"/>
      <c r="Q61" s="954"/>
    </row>
    <row r="62" spans="1:17" s="394" customFormat="1" ht="29.25" customHeight="1">
      <c r="A62" s="410"/>
      <c r="B62" s="404" t="s">
        <v>908</v>
      </c>
      <c r="C62" s="517">
        <f>SUM(C63:C64)</f>
        <v>408321.24</v>
      </c>
      <c r="D62" s="517">
        <f>SUM(D63:D64)</f>
        <v>-635312.0700000001</v>
      </c>
      <c r="E62" s="517">
        <f>SUM(E63:E64)</f>
        <v>-1266731.07</v>
      </c>
      <c r="F62" s="403"/>
      <c r="G62" s="401">
        <f>+D62-C62</f>
        <v>-1043633.31</v>
      </c>
      <c r="H62" s="402">
        <f>-E62-D62</f>
        <v>1902043.1400000001</v>
      </c>
      <c r="I62" s="805"/>
      <c r="L62" s="954"/>
      <c r="M62" s="954"/>
      <c r="N62" s="954"/>
      <c r="O62" s="954"/>
      <c r="P62" s="954"/>
      <c r="Q62" s="954"/>
    </row>
    <row r="63" spans="1:17" s="394" customFormat="1" ht="21.75" customHeight="1">
      <c r="A63" s="410"/>
      <c r="B63" s="399" t="s">
        <v>287</v>
      </c>
      <c r="C63" s="515">
        <f>'INF. ADIC. CPYG '!F37</f>
        <v>-9054.09</v>
      </c>
      <c r="D63" s="515">
        <f>-(109.5+0.04+635232)+29.47</f>
        <v>-635312.0700000001</v>
      </c>
      <c r="E63" s="515">
        <f>-109.5-0.04-1266651+29.47</f>
        <v>-1266731.07</v>
      </c>
      <c r="F63" s="403"/>
      <c r="G63" s="401"/>
      <c r="H63" s="402"/>
      <c r="I63" s="808"/>
      <c r="L63" s="954"/>
      <c r="M63" s="955"/>
      <c r="N63" s="954"/>
      <c r="O63" s="954"/>
      <c r="P63" s="954"/>
      <c r="Q63" s="954"/>
    </row>
    <row r="64" spans="1:17" s="394" customFormat="1" ht="21" customHeight="1">
      <c r="A64" s="410"/>
      <c r="B64" s="399" t="s">
        <v>288</v>
      </c>
      <c r="C64" s="515">
        <f>'INF. ADIC. CPYG '!F33</f>
        <v>417375.33</v>
      </c>
      <c r="D64" s="515">
        <v>0</v>
      </c>
      <c r="E64" s="515">
        <v>0</v>
      </c>
      <c r="F64" s="403"/>
      <c r="G64" s="401"/>
      <c r="H64" s="402"/>
      <c r="I64" s="808"/>
      <c r="L64" s="954"/>
      <c r="M64" s="955"/>
      <c r="N64" s="954"/>
      <c r="O64" s="954"/>
      <c r="P64" s="954"/>
      <c r="Q64" s="954"/>
    </row>
    <row r="65" spans="2:17" s="394" customFormat="1" ht="33" customHeight="1">
      <c r="B65" s="404" t="s">
        <v>913</v>
      </c>
      <c r="C65" s="517">
        <f>C7+C8+C11+C12+C17+C29+C37+C42+C46+C47+C48+C62+C57+C58</f>
        <v>246583.3099999919</v>
      </c>
      <c r="D65" s="517">
        <f>D7+D8+D11+D12+D17+D29+D37+D42+D46+D47+D48+D62+D57+D58</f>
        <v>74775.97518858663</v>
      </c>
      <c r="E65" s="517">
        <f>E7+E8+E11+E12+E17+E29+E37+E42+E46+E47+E48+E62+E57+E58</f>
        <v>27910.76326791034</v>
      </c>
      <c r="F65" s="396"/>
      <c r="G65" s="397">
        <f>+D65-C65</f>
        <v>-171807.33481140528</v>
      </c>
      <c r="H65" s="398">
        <f>+E65-D65</f>
        <v>-46865.21192067629</v>
      </c>
      <c r="I65" s="808"/>
      <c r="L65" s="1119"/>
      <c r="M65" s="954"/>
      <c r="N65" s="954"/>
      <c r="O65" s="954"/>
      <c r="P65" s="954"/>
      <c r="Q65" s="954"/>
    </row>
    <row r="66" spans="2:17" s="394" customFormat="1" ht="27.75" customHeight="1">
      <c r="B66" s="404" t="s">
        <v>914</v>
      </c>
      <c r="C66" s="517">
        <f>SUM(C67+C70+C73)</f>
        <v>481885.44</v>
      </c>
      <c r="D66" s="517">
        <f>SUM(D67+D70+D73)</f>
        <v>66715.66</v>
      </c>
      <c r="E66" s="517">
        <f>SUM(E67+E70+E73)</f>
        <v>75831.54</v>
      </c>
      <c r="F66" s="396"/>
      <c r="G66" s="397">
        <f>+D66-C66</f>
        <v>-415169.78</v>
      </c>
      <c r="H66" s="398">
        <f>+E66-D66</f>
        <v>9115.87999999999</v>
      </c>
      <c r="I66" s="808"/>
      <c r="L66" s="1119"/>
      <c r="M66" s="954"/>
      <c r="N66" s="954"/>
      <c r="O66" s="954"/>
      <c r="P66" s="954"/>
      <c r="Q66" s="954"/>
    </row>
    <row r="67" spans="2:17" s="394" customFormat="1" ht="19.5" customHeight="1">
      <c r="B67" s="399" t="s">
        <v>705</v>
      </c>
      <c r="C67" s="518">
        <f>SUM(C68:C69)</f>
        <v>0</v>
      </c>
      <c r="D67" s="518">
        <f>SUM(D68:D69)</f>
        <v>0</v>
      </c>
      <c r="E67" s="518">
        <f>SUM(E68:E69)</f>
        <v>0</v>
      </c>
      <c r="F67" s="403"/>
      <c r="G67" s="408"/>
      <c r="H67" s="402"/>
      <c r="I67" s="805"/>
      <c r="L67" s="1117"/>
      <c r="M67" s="954"/>
      <c r="N67" s="954"/>
      <c r="O67" s="954"/>
      <c r="P67" s="954"/>
      <c r="Q67" s="954"/>
    </row>
    <row r="68" spans="2:17" s="394" customFormat="1" ht="19.5" customHeight="1">
      <c r="B68" s="399" t="s">
        <v>706</v>
      </c>
      <c r="C68" s="515">
        <v>0</v>
      </c>
      <c r="D68" s="515">
        <v>0</v>
      </c>
      <c r="E68" s="515">
        <v>0</v>
      </c>
      <c r="F68" s="403"/>
      <c r="G68" s="408"/>
      <c r="H68" s="402"/>
      <c r="I68" s="808"/>
      <c r="L68" s="1119"/>
      <c r="M68" s="954"/>
      <c r="N68" s="954"/>
      <c r="O68" s="954"/>
      <c r="P68" s="954"/>
      <c r="Q68" s="954"/>
    </row>
    <row r="69" spans="2:17" s="394" customFormat="1" ht="19.5" customHeight="1">
      <c r="B69" s="399" t="s">
        <v>707</v>
      </c>
      <c r="C69" s="515">
        <v>0</v>
      </c>
      <c r="D69" s="515">
        <v>0</v>
      </c>
      <c r="E69" s="515">
        <v>0</v>
      </c>
      <c r="F69" s="403"/>
      <c r="G69" s="408"/>
      <c r="H69" s="402"/>
      <c r="I69" s="808"/>
      <c r="L69" s="1119"/>
      <c r="M69" s="954"/>
      <c r="N69" s="954"/>
      <c r="O69" s="954"/>
      <c r="P69" s="954"/>
      <c r="Q69" s="954"/>
    </row>
    <row r="70" spans="2:17" s="394" customFormat="1" ht="19.5" customHeight="1">
      <c r="B70" s="399" t="s">
        <v>17</v>
      </c>
      <c r="C70" s="518">
        <f>SUM(C71:C72)</f>
        <v>481885.44</v>
      </c>
      <c r="D70" s="518">
        <f>SUM(D71:D72)</f>
        <v>66715.66</v>
      </c>
      <c r="E70" s="518">
        <f>SUM(E71:E72)</f>
        <v>75831.54</v>
      </c>
      <c r="F70" s="403"/>
      <c r="G70" s="401">
        <f>+D70-C70</f>
        <v>-415169.78</v>
      </c>
      <c r="H70" s="402">
        <f>-E70-D70</f>
        <v>-142547.2</v>
      </c>
      <c r="I70" s="805"/>
      <c r="L70" s="1117"/>
      <c r="M70" s="954"/>
      <c r="N70" s="954"/>
      <c r="O70" s="954"/>
      <c r="P70" s="954"/>
      <c r="Q70" s="954"/>
    </row>
    <row r="71" spans="2:17" s="394" customFormat="1" ht="19.5" customHeight="1">
      <c r="B71" s="399" t="s">
        <v>708</v>
      </c>
      <c r="C71" s="515">
        <v>342598.43</v>
      </c>
      <c r="D71" s="515">
        <v>0</v>
      </c>
      <c r="E71" s="515">
        <v>0</v>
      </c>
      <c r="F71" s="403"/>
      <c r="G71" s="408"/>
      <c r="H71" s="402"/>
      <c r="I71" s="808"/>
      <c r="L71" s="1119"/>
      <c r="M71" s="954"/>
      <c r="N71" s="954"/>
      <c r="O71" s="954"/>
      <c r="P71" s="954"/>
      <c r="Q71" s="954"/>
    </row>
    <row r="72" spans="2:12" s="394" customFormat="1" ht="19.5" customHeight="1">
      <c r="B72" s="399" t="s">
        <v>709</v>
      </c>
      <c r="C72" s="515">
        <v>139287.01</v>
      </c>
      <c r="D72" s="515">
        <v>66715.66</v>
      </c>
      <c r="E72" s="515">
        <v>75831.54</v>
      </c>
      <c r="F72" s="413"/>
      <c r="G72" s="401">
        <f>+D72-C72</f>
        <v>-72571.35</v>
      </c>
      <c r="H72" s="402">
        <f>-E72-D72</f>
        <v>-142547.2</v>
      </c>
      <c r="I72" s="808"/>
      <c r="L72" s="822"/>
    </row>
    <row r="73" spans="2:12" s="394" customFormat="1" ht="19.5" customHeight="1">
      <c r="B73" s="399" t="s">
        <v>1019</v>
      </c>
      <c r="C73" s="515">
        <v>0</v>
      </c>
      <c r="D73" s="515">
        <v>0</v>
      </c>
      <c r="E73" s="515">
        <v>0</v>
      </c>
      <c r="F73" s="413"/>
      <c r="G73" s="401"/>
      <c r="H73" s="402"/>
      <c r="I73" s="806"/>
      <c r="K73" s="806"/>
      <c r="L73" s="805"/>
    </row>
    <row r="74" spans="2:12" s="394" customFormat="1" ht="19.5" customHeight="1">
      <c r="B74" s="404" t="s">
        <v>915</v>
      </c>
      <c r="C74" s="517">
        <f>SUM(C75:C77)</f>
        <v>-347373.16</v>
      </c>
      <c r="D74" s="517">
        <f>SUM(D75:D77)</f>
        <v>-69774.66</v>
      </c>
      <c r="E74" s="517">
        <f>E75+E76+E77</f>
        <v>-78890.54000000001</v>
      </c>
      <c r="F74" s="405"/>
      <c r="G74" s="397">
        <f>+D74-C74</f>
        <v>277598.5</v>
      </c>
      <c r="H74" s="398">
        <f>+E74-D74</f>
        <v>-9115.880000000005</v>
      </c>
      <c r="I74" s="808"/>
      <c r="L74" s="822"/>
    </row>
    <row r="75" spans="2:9" s="394" customFormat="1" ht="19.5" customHeight="1">
      <c r="B75" s="399" t="s">
        <v>710</v>
      </c>
      <c r="C75" s="515">
        <v>0</v>
      </c>
      <c r="D75" s="515">
        <v>0</v>
      </c>
      <c r="E75" s="515">
        <v>0</v>
      </c>
      <c r="F75" s="403"/>
      <c r="G75" s="408"/>
      <c r="H75" s="402"/>
      <c r="I75" s="805"/>
    </row>
    <row r="76" spans="2:13" s="394" customFormat="1" ht="19.5" customHeight="1">
      <c r="B76" s="399" t="s">
        <v>18</v>
      </c>
      <c r="C76" s="515">
        <v>-347373.16</v>
      </c>
      <c r="D76" s="515">
        <f>-66719.11-3059+3.45</f>
        <v>-69774.66</v>
      </c>
      <c r="E76" s="515">
        <f>-75834.99-3059+3.45</f>
        <v>-78890.54000000001</v>
      </c>
      <c r="F76" s="413"/>
      <c r="G76" s="414"/>
      <c r="H76" s="402"/>
      <c r="I76" s="805"/>
      <c r="L76" s="1116"/>
      <c r="M76" s="913"/>
    </row>
    <row r="77" spans="2:12" s="394" customFormat="1" ht="19.5" customHeight="1">
      <c r="B77" s="399" t="s">
        <v>19</v>
      </c>
      <c r="C77" s="515">
        <v>0</v>
      </c>
      <c r="D77" s="515">
        <v>0</v>
      </c>
      <c r="E77" s="515">
        <v>0</v>
      </c>
      <c r="F77" s="415"/>
      <c r="G77" s="416"/>
      <c r="H77" s="402"/>
      <c r="I77" s="806"/>
      <c r="K77" s="806"/>
      <c r="L77" s="805"/>
    </row>
    <row r="78" spans="2:12" s="394" customFormat="1" ht="24.75" customHeight="1">
      <c r="B78" s="404" t="s">
        <v>916</v>
      </c>
      <c r="C78" s="517">
        <f>C79+C80</f>
        <v>0</v>
      </c>
      <c r="D78" s="517">
        <f>D79+D80</f>
        <v>0</v>
      </c>
      <c r="E78" s="517">
        <f>E79+E80</f>
        <v>0</v>
      </c>
      <c r="F78" s="405"/>
      <c r="G78" s="397">
        <f>+D78-C78</f>
        <v>0</v>
      </c>
      <c r="H78" s="398">
        <f>+E78-D78</f>
        <v>0</v>
      </c>
      <c r="I78" s="806"/>
      <c r="K78" s="806"/>
      <c r="L78" s="805"/>
    </row>
    <row r="79" spans="2:12" s="394" customFormat="1" ht="19.5" customHeight="1">
      <c r="B79" s="399" t="s">
        <v>711</v>
      </c>
      <c r="C79" s="515">
        <v>0</v>
      </c>
      <c r="D79" s="515">
        <v>0</v>
      </c>
      <c r="E79" s="515">
        <v>0</v>
      </c>
      <c r="F79" s="415"/>
      <c r="G79" s="416"/>
      <c r="H79" s="402"/>
      <c r="I79" s="807"/>
      <c r="K79" s="807"/>
      <c r="L79" s="822"/>
    </row>
    <row r="80" spans="2:12" s="394" customFormat="1" ht="28.5" customHeight="1">
      <c r="B80" s="417" t="s">
        <v>20</v>
      </c>
      <c r="C80" s="515">
        <v>0</v>
      </c>
      <c r="D80" s="515">
        <v>0</v>
      </c>
      <c r="E80" s="515">
        <v>0</v>
      </c>
      <c r="F80" s="415"/>
      <c r="G80" s="416"/>
      <c r="H80" s="402"/>
      <c r="I80" s="807"/>
      <c r="K80" s="807"/>
      <c r="L80" s="822"/>
    </row>
    <row r="81" spans="2:12" s="394" customFormat="1" ht="21.75" customHeight="1">
      <c r="B81" s="404" t="s">
        <v>917</v>
      </c>
      <c r="C81" s="514">
        <v>0</v>
      </c>
      <c r="D81" s="514">
        <v>0</v>
      </c>
      <c r="E81" s="514">
        <v>0</v>
      </c>
      <c r="F81" s="405"/>
      <c r="G81" s="406"/>
      <c r="H81" s="402"/>
      <c r="I81" s="806"/>
      <c r="K81" s="806"/>
      <c r="L81" s="805"/>
    </row>
    <row r="82" spans="2:12" s="394" customFormat="1" ht="28.5" customHeight="1">
      <c r="B82" s="404" t="s">
        <v>918</v>
      </c>
      <c r="C82" s="517">
        <f>SUM(C83:C84)</f>
        <v>0</v>
      </c>
      <c r="D82" s="517">
        <f>SUM(D83:D84)</f>
        <v>0</v>
      </c>
      <c r="E82" s="517">
        <f>SUM(E83:E84)</f>
        <v>0</v>
      </c>
      <c r="F82" s="396"/>
      <c r="G82" s="397"/>
      <c r="H82" s="402"/>
      <c r="I82" s="806"/>
      <c r="K82" s="806"/>
      <c r="L82" s="805"/>
    </row>
    <row r="83" spans="2:12" s="394" customFormat="1" ht="20.25" customHeight="1">
      <c r="B83" s="399" t="s">
        <v>712</v>
      </c>
      <c r="C83" s="515">
        <v>0</v>
      </c>
      <c r="D83" s="515">
        <v>0</v>
      </c>
      <c r="E83" s="515">
        <v>0</v>
      </c>
      <c r="F83" s="411"/>
      <c r="G83" s="412"/>
      <c r="H83" s="402"/>
      <c r="I83" s="807"/>
      <c r="K83" s="807"/>
      <c r="L83" s="822"/>
    </row>
    <row r="84" spans="2:12" s="394" customFormat="1" ht="17.25" customHeight="1">
      <c r="B84" s="417" t="s">
        <v>713</v>
      </c>
      <c r="C84" s="515">
        <v>0</v>
      </c>
      <c r="D84" s="515">
        <v>0</v>
      </c>
      <c r="E84" s="515">
        <v>0</v>
      </c>
      <c r="F84" s="411"/>
      <c r="G84" s="412"/>
      <c r="H84" s="402"/>
      <c r="I84" s="807"/>
      <c r="K84" s="807"/>
      <c r="L84" s="822"/>
    </row>
    <row r="85" spans="2:15" s="394" customFormat="1" ht="17.25" customHeight="1">
      <c r="B85" s="404" t="s">
        <v>921</v>
      </c>
      <c r="C85" s="517">
        <f>SUM(C86:C87)</f>
        <v>0</v>
      </c>
      <c r="D85" s="517">
        <f>SUM(D86:D87)</f>
        <v>0</v>
      </c>
      <c r="E85" s="517">
        <f>SUM(E86:E87)</f>
        <v>0</v>
      </c>
      <c r="F85" s="411"/>
      <c r="G85" s="412"/>
      <c r="H85" s="402"/>
      <c r="I85" s="808"/>
      <c r="L85" s="822"/>
      <c r="M85" s="954"/>
      <c r="N85" s="954"/>
      <c r="O85" s="954"/>
    </row>
    <row r="86" spans="2:15" s="394" customFormat="1" ht="17.25" customHeight="1">
      <c r="B86" s="404" t="s">
        <v>1020</v>
      </c>
      <c r="C86" s="514">
        <v>0</v>
      </c>
      <c r="D86" s="514">
        <v>0</v>
      </c>
      <c r="E86" s="514">
        <v>0</v>
      </c>
      <c r="F86" s="411"/>
      <c r="G86" s="412"/>
      <c r="H86" s="402"/>
      <c r="I86" s="805"/>
      <c r="L86" s="805"/>
      <c r="M86" s="954"/>
      <c r="N86" s="954"/>
      <c r="O86" s="954"/>
    </row>
    <row r="87" spans="2:15" s="394" customFormat="1" ht="17.25" customHeight="1">
      <c r="B87" s="404" t="s">
        <v>1021</v>
      </c>
      <c r="C87" s="514">
        <v>0</v>
      </c>
      <c r="D87" s="514">
        <v>0</v>
      </c>
      <c r="E87" s="514">
        <v>0</v>
      </c>
      <c r="F87" s="411"/>
      <c r="G87" s="412"/>
      <c r="H87" s="402"/>
      <c r="I87" s="805"/>
      <c r="L87" s="805"/>
      <c r="M87" s="954"/>
      <c r="N87" s="954"/>
      <c r="O87" s="954"/>
    </row>
    <row r="88" spans="2:15" s="394" customFormat="1" ht="19.5" customHeight="1">
      <c r="B88" s="418" t="s">
        <v>1054</v>
      </c>
      <c r="C88" s="517">
        <f>C66+C74+C78+C81+C82+C85</f>
        <v>134512.28000000003</v>
      </c>
      <c r="D88" s="517">
        <f>D66+D74+D78+D81+D82+D85</f>
        <v>-3059</v>
      </c>
      <c r="E88" s="517">
        <f>E66+E74+E78+E81+E82+E85</f>
        <v>-3059.0000000000146</v>
      </c>
      <c r="F88" s="396"/>
      <c r="G88" s="397">
        <f aca="true" t="shared" si="1" ref="G88:H94">+D88-C88</f>
        <v>-137571.28000000003</v>
      </c>
      <c r="H88" s="398">
        <f t="shared" si="1"/>
        <v>-1.4551915228366852E-11</v>
      </c>
      <c r="I88" s="808"/>
      <c r="M88" s="954"/>
      <c r="N88" s="954"/>
      <c r="O88" s="954"/>
    </row>
    <row r="89" spans="2:15" s="394" customFormat="1" ht="19.5" customHeight="1">
      <c r="B89" s="418" t="s">
        <v>21</v>
      </c>
      <c r="C89" s="517">
        <f>C88+C65</f>
        <v>381095.58999999193</v>
      </c>
      <c r="D89" s="519">
        <f>D88+D65</f>
        <v>71716.97518858663</v>
      </c>
      <c r="E89" s="519">
        <f>E88+E65</f>
        <v>24851.763267910326</v>
      </c>
      <c r="F89" s="419"/>
      <c r="G89" s="397">
        <f t="shared" si="1"/>
        <v>-309378.6148114053</v>
      </c>
      <c r="H89" s="398">
        <f t="shared" si="1"/>
        <v>-46865.2119206763</v>
      </c>
      <c r="I89" s="808"/>
      <c r="M89" s="954"/>
      <c r="N89" s="954"/>
      <c r="O89" s="954"/>
    </row>
    <row r="90" spans="2:15" s="394" customFormat="1" ht="21.75" customHeight="1">
      <c r="B90" s="404" t="s">
        <v>919</v>
      </c>
      <c r="C90" s="516">
        <v>0</v>
      </c>
      <c r="D90" s="516">
        <v>0</v>
      </c>
      <c r="E90" s="516">
        <v>0</v>
      </c>
      <c r="F90" s="420"/>
      <c r="G90" s="397">
        <f t="shared" si="1"/>
        <v>0</v>
      </c>
      <c r="H90" s="398">
        <f t="shared" si="1"/>
        <v>0</v>
      </c>
      <c r="I90" s="805"/>
      <c r="L90" s="805"/>
      <c r="M90" s="954"/>
      <c r="N90" s="954"/>
      <c r="O90" s="954"/>
    </row>
    <row r="91" spans="2:15" s="394" customFormat="1" ht="31.5" customHeight="1">
      <c r="B91" s="421" t="s">
        <v>714</v>
      </c>
      <c r="C91" s="517">
        <f>C89+C90</f>
        <v>381095.58999999193</v>
      </c>
      <c r="D91" s="517">
        <f>D89+D90</f>
        <v>71716.97518858663</v>
      </c>
      <c r="E91" s="517">
        <f>E89+E90</f>
        <v>24851.763267910326</v>
      </c>
      <c r="F91" s="396"/>
      <c r="G91" s="397">
        <f t="shared" si="1"/>
        <v>-309378.6148114053</v>
      </c>
      <c r="H91" s="398">
        <f t="shared" si="1"/>
        <v>-46865.2119206763</v>
      </c>
      <c r="I91" s="808"/>
      <c r="M91" s="954"/>
      <c r="N91" s="954"/>
      <c r="O91" s="954"/>
    </row>
    <row r="92" spans="2:15" s="394" customFormat="1" ht="19.5" customHeight="1">
      <c r="B92" s="418" t="s">
        <v>22</v>
      </c>
      <c r="C92" s="514">
        <v>0</v>
      </c>
      <c r="D92" s="514">
        <v>0</v>
      </c>
      <c r="E92" s="514">
        <v>0</v>
      </c>
      <c r="F92" s="411"/>
      <c r="G92" s="397">
        <f t="shared" si="1"/>
        <v>0</v>
      </c>
      <c r="H92" s="398">
        <f t="shared" si="1"/>
        <v>0</v>
      </c>
      <c r="I92" s="806"/>
      <c r="M92" s="954"/>
      <c r="N92" s="954"/>
      <c r="O92" s="954"/>
    </row>
    <row r="93" spans="2:15" s="394" customFormat="1" ht="29.25" customHeight="1">
      <c r="B93" s="404" t="s">
        <v>920</v>
      </c>
      <c r="C93" s="514">
        <v>0</v>
      </c>
      <c r="D93" s="514">
        <v>0</v>
      </c>
      <c r="E93" s="514">
        <v>0</v>
      </c>
      <c r="F93" s="411"/>
      <c r="G93" s="397">
        <f t="shared" si="1"/>
        <v>0</v>
      </c>
      <c r="H93" s="398">
        <f t="shared" si="1"/>
        <v>0</v>
      </c>
      <c r="I93" s="822"/>
      <c r="M93" s="954"/>
      <c r="N93" s="954"/>
      <c r="O93" s="954"/>
    </row>
    <row r="94" spans="2:15" s="394" customFormat="1" ht="39.75" customHeight="1">
      <c r="B94" s="422" t="s">
        <v>715</v>
      </c>
      <c r="C94" s="517">
        <f>C91+C93</f>
        <v>381095.58999999193</v>
      </c>
      <c r="D94" s="517">
        <f>D91+D93</f>
        <v>71716.97518858663</v>
      </c>
      <c r="E94" s="517">
        <f>E91+E92+E93</f>
        <v>24851.763267910326</v>
      </c>
      <c r="F94" s="415"/>
      <c r="G94" s="397">
        <f t="shared" si="1"/>
        <v>-309378.6148114053</v>
      </c>
      <c r="H94" s="398">
        <f t="shared" si="1"/>
        <v>-46865.2119206763</v>
      </c>
      <c r="M94" s="954"/>
      <c r="N94" s="954"/>
      <c r="O94" s="954"/>
    </row>
    <row r="95" spans="3:8" ht="19.5" customHeight="1">
      <c r="C95" s="423"/>
      <c r="D95" s="423"/>
      <c r="E95" s="423"/>
      <c r="F95" s="423"/>
      <c r="G95" s="424"/>
      <c r="H95" s="425"/>
    </row>
    <row r="96" spans="2:7" ht="19.5" customHeight="1" hidden="1">
      <c r="B96" s="426" t="s">
        <v>212</v>
      </c>
      <c r="C96" s="427"/>
      <c r="D96" s="427"/>
      <c r="E96" s="427"/>
      <c r="F96" s="427"/>
      <c r="G96" s="428"/>
    </row>
    <row r="97" spans="2:7" ht="19.5" customHeight="1" hidden="1">
      <c r="B97" s="381" t="s">
        <v>716</v>
      </c>
      <c r="C97" s="423"/>
      <c r="D97" s="423"/>
      <c r="E97" s="423"/>
      <c r="F97" s="423"/>
      <c r="G97" s="424"/>
    </row>
    <row r="98" spans="3:7" ht="19.5" customHeight="1" hidden="1">
      <c r="C98" s="423"/>
      <c r="D98" s="423"/>
      <c r="E98" s="423"/>
      <c r="F98" s="423"/>
      <c r="G98" s="424"/>
    </row>
    <row r="99" spans="3:7" ht="19.5" customHeight="1" hidden="1">
      <c r="C99" s="423"/>
      <c r="D99" s="423"/>
      <c r="E99" s="423"/>
      <c r="F99" s="423"/>
      <c r="G99" s="424"/>
    </row>
    <row r="100" spans="3:7" ht="19.5" customHeight="1" hidden="1">
      <c r="C100" s="423"/>
      <c r="D100" s="423"/>
      <c r="E100" s="423"/>
      <c r="F100" s="423"/>
      <c r="G100" s="424"/>
    </row>
    <row r="101" spans="3:7" ht="19.5" customHeight="1" hidden="1">
      <c r="C101" s="423"/>
      <c r="D101" s="423"/>
      <c r="E101" s="423"/>
      <c r="F101" s="423"/>
      <c r="G101" s="424"/>
    </row>
    <row r="102" spans="3:7" ht="19.5" customHeight="1" hidden="1">
      <c r="C102" s="429">
        <f>+PASIVO!C20</f>
        <v>381095.58999999193</v>
      </c>
      <c r="D102" s="429">
        <f>+PASIVO!D20</f>
        <v>71716.97518858663</v>
      </c>
      <c r="E102" s="429"/>
      <c r="F102" s="429"/>
      <c r="G102" s="430"/>
    </row>
    <row r="103" spans="3:7" ht="19.5" customHeight="1" hidden="1">
      <c r="C103" s="431">
        <f>C94-C102</f>
        <v>0</v>
      </c>
      <c r="D103" s="431">
        <f>D94-D102</f>
        <v>0</v>
      </c>
      <c r="E103" s="431"/>
      <c r="F103" s="431"/>
      <c r="G103" s="432"/>
    </row>
    <row r="104" spans="3:8" s="433" customFormat="1" ht="19.5" customHeight="1" hidden="1">
      <c r="C104" s="434"/>
      <c r="D104" s="434"/>
      <c r="E104" s="434"/>
      <c r="F104" s="434"/>
      <c r="G104" s="435"/>
      <c r="H104" s="436"/>
    </row>
    <row r="105" spans="2:7" ht="19.5" customHeight="1" hidden="1">
      <c r="B105" s="381" t="s">
        <v>740</v>
      </c>
      <c r="C105" s="431">
        <f>+PASIVO!C19</f>
        <v>0</v>
      </c>
      <c r="D105" s="431">
        <f>+PASIVO!D19-PASIVO!C19</f>
        <v>0</v>
      </c>
      <c r="E105" s="431"/>
      <c r="F105" s="431"/>
      <c r="G105" s="432"/>
    </row>
    <row r="106" spans="2:7" ht="19.5" customHeight="1" hidden="1">
      <c r="B106" s="381" t="s">
        <v>741</v>
      </c>
      <c r="C106" s="431">
        <f>+C94</f>
        <v>381095.58999999193</v>
      </c>
      <c r="D106" s="431">
        <f>+D94</f>
        <v>71716.97518858663</v>
      </c>
      <c r="E106" s="431"/>
      <c r="F106" s="431"/>
      <c r="G106" s="432"/>
    </row>
    <row r="107" spans="2:7" ht="19.5" customHeight="1" hidden="1">
      <c r="B107" s="381" t="s">
        <v>742</v>
      </c>
      <c r="C107" s="429">
        <f>SUM(C105:C106)</f>
        <v>381095.58999999193</v>
      </c>
      <c r="D107" s="429">
        <f>SUM(D105:D106)</f>
        <v>71716.97518858663</v>
      </c>
      <c r="E107" s="429"/>
      <c r="F107" s="429"/>
      <c r="G107" s="430"/>
    </row>
    <row r="108" spans="2:7" ht="19.5" customHeight="1" hidden="1">
      <c r="B108" s="437" t="s">
        <v>772</v>
      </c>
      <c r="C108" s="431">
        <f>+PASIVO!C19+C94</f>
        <v>381095.58999999193</v>
      </c>
      <c r="D108" s="431">
        <f>+PASIVO!D19+D94-PASIVO!C19</f>
        <v>71716.97518858663</v>
      </c>
      <c r="E108" s="431"/>
      <c r="F108" s="431"/>
      <c r="G108" s="432"/>
    </row>
    <row r="109" spans="2:7" ht="19.5" customHeight="1" hidden="1">
      <c r="B109" s="381" t="s">
        <v>773</v>
      </c>
      <c r="C109" s="423">
        <v>29502.85</v>
      </c>
      <c r="D109" s="423">
        <v>0</v>
      </c>
      <c r="E109" s="423"/>
      <c r="F109" s="423"/>
      <c r="G109" s="424"/>
    </row>
    <row r="110" spans="2:7" ht="19.5" customHeight="1" hidden="1">
      <c r="B110" s="381" t="s">
        <v>767</v>
      </c>
      <c r="C110" s="438">
        <f>+C108-C109</f>
        <v>351592.73999999196</v>
      </c>
      <c r="D110" s="431">
        <f>+D108-D109</f>
        <v>71716.97518858663</v>
      </c>
      <c r="E110" s="438"/>
      <c r="F110" s="438"/>
      <c r="G110" s="439"/>
    </row>
    <row r="111" spans="3:7" ht="19.5" customHeight="1" hidden="1">
      <c r="C111" s="423"/>
      <c r="D111" s="423"/>
      <c r="E111" s="423"/>
      <c r="F111" s="423"/>
      <c r="G111" s="424"/>
    </row>
    <row r="112" spans="3:7" ht="19.5" customHeight="1" hidden="1">
      <c r="C112" s="423"/>
      <c r="D112" s="423"/>
      <c r="E112" s="423"/>
      <c r="F112" s="423"/>
      <c r="G112" s="424"/>
    </row>
    <row r="113" spans="3:7" ht="19.5" customHeight="1" hidden="1">
      <c r="C113" s="423"/>
      <c r="D113" s="423"/>
      <c r="E113" s="423"/>
      <c r="F113" s="423"/>
      <c r="G113" s="424"/>
    </row>
    <row r="114" spans="3:7" ht="19.5" customHeight="1" hidden="1">
      <c r="C114" s="423"/>
      <c r="D114" s="423"/>
      <c r="E114" s="423"/>
      <c r="F114" s="423"/>
      <c r="G114" s="424"/>
    </row>
    <row r="115" spans="3:7" ht="19.5" customHeight="1" hidden="1">
      <c r="C115" s="423"/>
      <c r="D115" s="423"/>
      <c r="E115" s="423"/>
      <c r="F115" s="423"/>
      <c r="G115" s="424"/>
    </row>
    <row r="116" spans="3:7" ht="19.5" customHeight="1" hidden="1">
      <c r="C116" s="423"/>
      <c r="D116" s="423"/>
      <c r="E116" s="423"/>
      <c r="F116" s="423"/>
      <c r="G116" s="424"/>
    </row>
    <row r="117" spans="3:7" ht="19.5" customHeight="1">
      <c r="C117" s="423"/>
      <c r="D117" s="423"/>
      <c r="E117" s="423"/>
      <c r="F117" s="423"/>
      <c r="G117" s="424"/>
    </row>
    <row r="118" spans="3:7" ht="19.5" customHeight="1">
      <c r="C118" s="423"/>
      <c r="D118" s="423"/>
      <c r="E118" s="423"/>
      <c r="F118" s="423"/>
      <c r="G118" s="424"/>
    </row>
    <row r="119" spans="3:7" ht="19.5" customHeight="1">
      <c r="C119" s="423"/>
      <c r="D119" s="423"/>
      <c r="E119" s="423"/>
      <c r="F119" s="423"/>
      <c r="G119" s="424"/>
    </row>
    <row r="120" spans="3:7" ht="19.5" customHeight="1">
      <c r="C120" s="423"/>
      <c r="D120" s="423"/>
      <c r="E120" s="423"/>
      <c r="F120" s="423"/>
      <c r="G120" s="424"/>
    </row>
    <row r="121" spans="3:7" ht="19.5" customHeight="1">
      <c r="C121" s="423"/>
      <c r="D121" s="423"/>
      <c r="E121" s="423"/>
      <c r="F121" s="423"/>
      <c r="G121" s="424"/>
    </row>
    <row r="122" spans="3:7" ht="19.5" customHeight="1">
      <c r="C122" s="423"/>
      <c r="D122" s="423"/>
      <c r="E122" s="423"/>
      <c r="F122" s="423"/>
      <c r="G122" s="424"/>
    </row>
    <row r="123" spans="3:7" ht="19.5" customHeight="1">
      <c r="C123" s="423"/>
      <c r="D123" s="423"/>
      <c r="E123" s="423"/>
      <c r="F123" s="423"/>
      <c r="G123" s="424"/>
    </row>
    <row r="124" spans="3:7" ht="19.5" customHeight="1">
      <c r="C124" s="423"/>
      <c r="D124" s="423"/>
      <c r="E124" s="423"/>
      <c r="F124" s="423"/>
      <c r="G124" s="424"/>
    </row>
    <row r="125" spans="3:7" ht="19.5" customHeight="1">
      <c r="C125" s="423"/>
      <c r="D125" s="423"/>
      <c r="E125" s="423"/>
      <c r="F125" s="423"/>
      <c r="G125" s="424"/>
    </row>
    <row r="126" spans="3:7" ht="19.5" customHeight="1">
      <c r="C126" s="423"/>
      <c r="D126" s="423"/>
      <c r="E126" s="423"/>
      <c r="F126" s="423"/>
      <c r="G126" s="424"/>
    </row>
    <row r="127" spans="3:7" ht="19.5" customHeight="1">
      <c r="C127" s="423"/>
      <c r="D127" s="423"/>
      <c r="E127" s="423"/>
      <c r="F127" s="423"/>
      <c r="G127" s="424"/>
    </row>
    <row r="128" spans="3:7" ht="19.5" customHeight="1">
      <c r="C128" s="423"/>
      <c r="D128" s="423"/>
      <c r="E128" s="423"/>
      <c r="F128" s="423"/>
      <c r="G128" s="424"/>
    </row>
    <row r="129" spans="3:7" ht="19.5" customHeight="1">
      <c r="C129" s="423"/>
      <c r="D129" s="423"/>
      <c r="E129" s="423"/>
      <c r="F129" s="423"/>
      <c r="G129" s="424"/>
    </row>
    <row r="130" spans="3:7" ht="19.5" customHeight="1">
      <c r="C130" s="423"/>
      <c r="D130" s="423"/>
      <c r="E130" s="423"/>
      <c r="F130" s="423"/>
      <c r="G130" s="424"/>
    </row>
    <row r="131" spans="3:7" ht="19.5" customHeight="1">
      <c r="C131" s="423"/>
      <c r="D131" s="423"/>
      <c r="E131" s="423"/>
      <c r="F131" s="423"/>
      <c r="G131" s="424"/>
    </row>
    <row r="132" spans="3:7" ht="19.5" customHeight="1">
      <c r="C132" s="423"/>
      <c r="D132" s="423"/>
      <c r="E132" s="423"/>
      <c r="F132" s="423"/>
      <c r="G132" s="424"/>
    </row>
    <row r="133" spans="3:7" ht="19.5" customHeight="1">
      <c r="C133" s="423"/>
      <c r="D133" s="423"/>
      <c r="E133" s="423"/>
      <c r="F133" s="423"/>
      <c r="G133" s="424"/>
    </row>
    <row r="134" spans="3:7" ht="19.5" customHeight="1">
      <c r="C134" s="423"/>
      <c r="D134" s="423"/>
      <c r="E134" s="423"/>
      <c r="F134" s="423"/>
      <c r="G134" s="424"/>
    </row>
    <row r="135" spans="3:7" ht="19.5" customHeight="1">
      <c r="C135" s="423"/>
      <c r="D135" s="423"/>
      <c r="E135" s="423"/>
      <c r="F135" s="423"/>
      <c r="G135" s="424"/>
    </row>
    <row r="136" spans="3:7" ht="19.5" customHeight="1">
      <c r="C136" s="423"/>
      <c r="D136" s="423"/>
      <c r="E136" s="423"/>
      <c r="F136" s="423"/>
      <c r="G136" s="424"/>
    </row>
    <row r="137" spans="3:7" ht="19.5" customHeight="1">
      <c r="C137" s="423"/>
      <c r="D137" s="423"/>
      <c r="E137" s="423"/>
      <c r="F137" s="423"/>
      <c r="G137" s="424"/>
    </row>
    <row r="138" spans="3:7" ht="19.5" customHeight="1">
      <c r="C138" s="423"/>
      <c r="D138" s="423"/>
      <c r="E138" s="423"/>
      <c r="F138" s="423"/>
      <c r="G138" s="424"/>
    </row>
    <row r="139" spans="3:7" ht="19.5" customHeight="1">
      <c r="C139" s="423"/>
      <c r="D139" s="423"/>
      <c r="E139" s="423"/>
      <c r="F139" s="423"/>
      <c r="G139" s="424"/>
    </row>
    <row r="140" spans="3:7" ht="19.5" customHeight="1">
      <c r="C140" s="423"/>
      <c r="D140" s="423"/>
      <c r="E140" s="423"/>
      <c r="F140" s="423"/>
      <c r="G140" s="424"/>
    </row>
    <row r="141" spans="3:7" ht="19.5" customHeight="1">
      <c r="C141" s="423"/>
      <c r="D141" s="423"/>
      <c r="E141" s="423"/>
      <c r="F141" s="423"/>
      <c r="G141" s="424"/>
    </row>
    <row r="142" spans="3:7" ht="19.5" customHeight="1">
      <c r="C142" s="423"/>
      <c r="D142" s="423"/>
      <c r="E142" s="423"/>
      <c r="F142" s="423"/>
      <c r="G142" s="424"/>
    </row>
    <row r="143" spans="3:7" ht="19.5" customHeight="1">
      <c r="C143" s="423"/>
      <c r="D143" s="423"/>
      <c r="E143" s="423"/>
      <c r="F143" s="423"/>
      <c r="G143" s="424"/>
    </row>
    <row r="144" spans="3:7" ht="19.5" customHeight="1">
      <c r="C144" s="423"/>
      <c r="D144" s="423"/>
      <c r="E144" s="423"/>
      <c r="F144" s="423"/>
      <c r="G144" s="424"/>
    </row>
    <row r="145" spans="3:7" ht="19.5" customHeight="1">
      <c r="C145" s="423"/>
      <c r="D145" s="423"/>
      <c r="E145" s="423"/>
      <c r="F145" s="423"/>
      <c r="G145" s="424"/>
    </row>
    <row r="146" spans="3:7" ht="19.5" customHeight="1">
      <c r="C146" s="423"/>
      <c r="D146" s="423"/>
      <c r="E146" s="423"/>
      <c r="F146" s="423"/>
      <c r="G146" s="424"/>
    </row>
    <row r="147" spans="3:7" ht="19.5" customHeight="1">
      <c r="C147" s="423"/>
      <c r="D147" s="423"/>
      <c r="E147" s="423"/>
      <c r="F147" s="423"/>
      <c r="G147" s="424"/>
    </row>
    <row r="148" spans="3:7" ht="19.5" customHeight="1">
      <c r="C148" s="423"/>
      <c r="D148" s="423"/>
      <c r="E148" s="423"/>
      <c r="F148" s="423"/>
      <c r="G148" s="424"/>
    </row>
    <row r="149" spans="3:7" ht="19.5" customHeight="1">
      <c r="C149" s="423"/>
      <c r="D149" s="423"/>
      <c r="E149" s="423"/>
      <c r="F149" s="423"/>
      <c r="G149" s="424"/>
    </row>
    <row r="150" spans="3:7" ht="19.5" customHeight="1">
      <c r="C150" s="423"/>
      <c r="D150" s="423"/>
      <c r="E150" s="423"/>
      <c r="F150" s="423"/>
      <c r="G150" s="424"/>
    </row>
    <row r="151" spans="3:7" ht="19.5" customHeight="1">
      <c r="C151" s="423"/>
      <c r="D151" s="423"/>
      <c r="E151" s="423"/>
      <c r="F151" s="423"/>
      <c r="G151" s="424"/>
    </row>
    <row r="152" spans="3:7" ht="19.5" customHeight="1">
      <c r="C152" s="423"/>
      <c r="D152" s="423"/>
      <c r="E152" s="423"/>
      <c r="F152" s="423"/>
      <c r="G152" s="424"/>
    </row>
    <row r="153" spans="3:7" ht="19.5" customHeight="1">
      <c r="C153" s="423"/>
      <c r="D153" s="423"/>
      <c r="E153" s="423"/>
      <c r="F153" s="423"/>
      <c r="G153" s="424"/>
    </row>
    <row r="154" spans="3:7" ht="19.5" customHeight="1">
      <c r="C154" s="423"/>
      <c r="D154" s="423"/>
      <c r="E154" s="423"/>
      <c r="F154" s="423"/>
      <c r="G154" s="424"/>
    </row>
    <row r="155" spans="3:7" ht="19.5" customHeight="1">
      <c r="C155" s="423"/>
      <c r="D155" s="423"/>
      <c r="E155" s="423"/>
      <c r="F155" s="423"/>
      <c r="G155" s="424"/>
    </row>
    <row r="156" spans="3:7" ht="19.5" customHeight="1">
      <c r="C156" s="423"/>
      <c r="D156" s="423"/>
      <c r="E156" s="423"/>
      <c r="F156" s="423"/>
      <c r="G156" s="424"/>
    </row>
    <row r="157" spans="3:7" ht="19.5" customHeight="1">
      <c r="C157" s="423"/>
      <c r="D157" s="423"/>
      <c r="E157" s="423"/>
      <c r="F157" s="423"/>
      <c r="G157" s="424"/>
    </row>
    <row r="158" spans="3:7" ht="19.5" customHeight="1">
      <c r="C158" s="423"/>
      <c r="D158" s="423"/>
      <c r="E158" s="423"/>
      <c r="F158" s="423"/>
      <c r="G158" s="424"/>
    </row>
    <row r="159" spans="3:7" ht="19.5" customHeight="1">
      <c r="C159" s="423"/>
      <c r="D159" s="423"/>
      <c r="E159" s="423"/>
      <c r="F159" s="423"/>
      <c r="G159" s="424"/>
    </row>
    <row r="160" spans="3:7" ht="19.5" customHeight="1">
      <c r="C160" s="423"/>
      <c r="D160" s="423"/>
      <c r="E160" s="423"/>
      <c r="F160" s="423"/>
      <c r="G160" s="424"/>
    </row>
    <row r="161" spans="3:7" ht="19.5" customHeight="1">
      <c r="C161" s="423"/>
      <c r="D161" s="423"/>
      <c r="E161" s="423"/>
      <c r="F161" s="423"/>
      <c r="G161" s="424"/>
    </row>
    <row r="162" spans="3:7" ht="19.5" customHeight="1">
      <c r="C162" s="423"/>
      <c r="D162" s="423"/>
      <c r="E162" s="423"/>
      <c r="F162" s="423"/>
      <c r="G162" s="424"/>
    </row>
    <row r="163" spans="3:7" ht="19.5" customHeight="1">
      <c r="C163" s="423"/>
      <c r="D163" s="423"/>
      <c r="E163" s="423"/>
      <c r="F163" s="423"/>
      <c r="G163" s="424"/>
    </row>
    <row r="164" spans="3:7" ht="19.5" customHeight="1">
      <c r="C164" s="423"/>
      <c r="D164" s="423"/>
      <c r="E164" s="423"/>
      <c r="F164" s="423"/>
      <c r="G164" s="424"/>
    </row>
    <row r="165" spans="3:7" ht="19.5" customHeight="1">
      <c r="C165" s="423"/>
      <c r="D165" s="423"/>
      <c r="E165" s="423"/>
      <c r="F165" s="423"/>
      <c r="G165" s="424"/>
    </row>
    <row r="166" spans="3:7" ht="19.5" customHeight="1">
      <c r="C166" s="423"/>
      <c r="D166" s="423"/>
      <c r="E166" s="423"/>
      <c r="F166" s="423"/>
      <c r="G166" s="424"/>
    </row>
    <row r="167" spans="3:7" ht="19.5" customHeight="1">
      <c r="C167" s="423"/>
      <c r="D167" s="423"/>
      <c r="E167" s="423"/>
      <c r="F167" s="423"/>
      <c r="G167" s="424"/>
    </row>
    <row r="168" spans="3:7" ht="19.5" customHeight="1">
      <c r="C168" s="423"/>
      <c r="D168" s="423"/>
      <c r="E168" s="423"/>
      <c r="F168" s="423"/>
      <c r="G168" s="424"/>
    </row>
    <row r="169" spans="3:7" ht="19.5" customHeight="1">
      <c r="C169" s="423"/>
      <c r="D169" s="423"/>
      <c r="E169" s="423"/>
      <c r="F169" s="423"/>
      <c r="G169" s="424"/>
    </row>
    <row r="170" spans="3:7" ht="19.5" customHeight="1">
      <c r="C170" s="423"/>
      <c r="D170" s="423"/>
      <c r="E170" s="423"/>
      <c r="F170" s="423"/>
      <c r="G170" s="424"/>
    </row>
    <row r="171" spans="3:7" ht="19.5" customHeight="1">
      <c r="C171" s="423"/>
      <c r="D171" s="423"/>
      <c r="E171" s="423"/>
      <c r="F171" s="423"/>
      <c r="G171" s="424"/>
    </row>
    <row r="172" spans="3:7" ht="19.5" customHeight="1">
      <c r="C172" s="423"/>
      <c r="D172" s="423"/>
      <c r="E172" s="423"/>
      <c r="F172" s="423"/>
      <c r="G172" s="424"/>
    </row>
    <row r="173" spans="3:7" ht="19.5" customHeight="1">
      <c r="C173" s="423"/>
      <c r="D173" s="423"/>
      <c r="E173" s="423"/>
      <c r="F173" s="423"/>
      <c r="G173" s="424"/>
    </row>
    <row r="174" spans="3:7" ht="19.5" customHeight="1">
      <c r="C174" s="423"/>
      <c r="D174" s="423"/>
      <c r="E174" s="423"/>
      <c r="F174" s="423"/>
      <c r="G174" s="424"/>
    </row>
    <row r="175" spans="3:7" ht="19.5" customHeight="1">
      <c r="C175" s="423"/>
      <c r="D175" s="423"/>
      <c r="E175" s="423"/>
      <c r="F175" s="423"/>
      <c r="G175" s="424"/>
    </row>
    <row r="176" spans="3:7" ht="19.5" customHeight="1">
      <c r="C176" s="423"/>
      <c r="D176" s="423"/>
      <c r="E176" s="423"/>
      <c r="F176" s="423"/>
      <c r="G176" s="424"/>
    </row>
    <row r="177" spans="3:7" ht="19.5" customHeight="1">
      <c r="C177" s="423"/>
      <c r="D177" s="423"/>
      <c r="E177" s="423"/>
      <c r="F177" s="423"/>
      <c r="G177" s="424"/>
    </row>
    <row r="178" spans="3:7" ht="19.5" customHeight="1">
      <c r="C178" s="423"/>
      <c r="D178" s="423"/>
      <c r="E178" s="423"/>
      <c r="F178" s="423"/>
      <c r="G178" s="424"/>
    </row>
    <row r="179" spans="3:7" ht="19.5" customHeight="1">
      <c r="C179" s="423"/>
      <c r="D179" s="423"/>
      <c r="E179" s="423"/>
      <c r="F179" s="423"/>
      <c r="G179" s="424"/>
    </row>
    <row r="180" spans="3:7" ht="19.5" customHeight="1">
      <c r="C180" s="423"/>
      <c r="D180" s="423"/>
      <c r="E180" s="423"/>
      <c r="F180" s="423"/>
      <c r="G180" s="424"/>
    </row>
    <row r="181" spans="3:7" ht="19.5" customHeight="1">
      <c r="C181" s="423"/>
      <c r="D181" s="423"/>
      <c r="E181" s="423"/>
      <c r="F181" s="423"/>
      <c r="G181" s="424"/>
    </row>
    <row r="182" spans="3:7" ht="19.5" customHeight="1">
      <c r="C182" s="423"/>
      <c r="D182" s="423"/>
      <c r="E182" s="423"/>
      <c r="F182" s="423"/>
      <c r="G182" s="424"/>
    </row>
    <row r="183" spans="3:7" ht="19.5" customHeight="1">
      <c r="C183" s="423"/>
      <c r="D183" s="423"/>
      <c r="E183" s="423"/>
      <c r="F183" s="423"/>
      <c r="G183" s="424"/>
    </row>
    <row r="184" spans="3:7" ht="19.5" customHeight="1">
      <c r="C184" s="423"/>
      <c r="D184" s="423"/>
      <c r="E184" s="423"/>
      <c r="F184" s="423"/>
      <c r="G184" s="424"/>
    </row>
    <row r="185" spans="3:7" ht="19.5" customHeight="1">
      <c r="C185" s="423"/>
      <c r="D185" s="423"/>
      <c r="E185" s="423"/>
      <c r="F185" s="423"/>
      <c r="G185" s="424"/>
    </row>
    <row r="186" spans="3:7" ht="19.5" customHeight="1">
      <c r="C186" s="423"/>
      <c r="D186" s="423"/>
      <c r="E186" s="423"/>
      <c r="F186" s="423"/>
      <c r="G186" s="424"/>
    </row>
    <row r="187" spans="3:7" ht="19.5" customHeight="1">
      <c r="C187" s="423"/>
      <c r="D187" s="423"/>
      <c r="E187" s="423"/>
      <c r="F187" s="423"/>
      <c r="G187" s="424"/>
    </row>
    <row r="188" spans="3:7" ht="19.5" customHeight="1">
      <c r="C188" s="423"/>
      <c r="D188" s="423"/>
      <c r="E188" s="423"/>
      <c r="F188" s="423"/>
      <c r="G188" s="424"/>
    </row>
    <row r="189" spans="3:7" ht="19.5" customHeight="1">
      <c r="C189" s="423"/>
      <c r="D189" s="423"/>
      <c r="E189" s="423"/>
      <c r="F189" s="423"/>
      <c r="G189" s="424"/>
    </row>
    <row r="190" spans="3:7" ht="19.5" customHeight="1">
      <c r="C190" s="423"/>
      <c r="D190" s="423"/>
      <c r="E190" s="423"/>
      <c r="F190" s="423"/>
      <c r="G190" s="424"/>
    </row>
    <row r="191" spans="3:7" ht="19.5" customHeight="1">
      <c r="C191" s="423"/>
      <c r="D191" s="423"/>
      <c r="E191" s="423"/>
      <c r="F191" s="423"/>
      <c r="G191" s="424"/>
    </row>
    <row r="192" spans="3:7" ht="19.5" customHeight="1">
      <c r="C192" s="423"/>
      <c r="D192" s="423"/>
      <c r="E192" s="423"/>
      <c r="F192" s="423"/>
      <c r="G192" s="424"/>
    </row>
    <row r="193" spans="3:7" ht="19.5" customHeight="1">
      <c r="C193" s="423"/>
      <c r="D193" s="423"/>
      <c r="E193" s="423"/>
      <c r="F193" s="423"/>
      <c r="G193" s="424"/>
    </row>
    <row r="194" spans="3:7" ht="19.5" customHeight="1">
      <c r="C194" s="423"/>
      <c r="D194" s="423"/>
      <c r="E194" s="423"/>
      <c r="F194" s="423"/>
      <c r="G194" s="424"/>
    </row>
    <row r="195" spans="3:7" ht="19.5" customHeight="1">
      <c r="C195" s="423"/>
      <c r="D195" s="423"/>
      <c r="E195" s="423"/>
      <c r="F195" s="423"/>
      <c r="G195" s="424"/>
    </row>
    <row r="196" spans="3:7" ht="19.5" customHeight="1">
      <c r="C196" s="423"/>
      <c r="D196" s="423"/>
      <c r="E196" s="423"/>
      <c r="F196" s="423"/>
      <c r="G196" s="424"/>
    </row>
    <row r="197" spans="3:7" ht="19.5" customHeight="1">
      <c r="C197" s="423"/>
      <c r="D197" s="423"/>
      <c r="E197" s="423"/>
      <c r="F197" s="423"/>
      <c r="G197" s="424"/>
    </row>
    <row r="198" spans="3:7" ht="19.5" customHeight="1">
      <c r="C198" s="423"/>
      <c r="D198" s="423"/>
      <c r="E198" s="423"/>
      <c r="F198" s="423"/>
      <c r="G198" s="424"/>
    </row>
    <row r="199" spans="3:7" ht="19.5" customHeight="1">
      <c r="C199" s="423"/>
      <c r="D199" s="423"/>
      <c r="E199" s="423"/>
      <c r="F199" s="423"/>
      <c r="G199" s="424"/>
    </row>
    <row r="200" spans="3:7" ht="19.5" customHeight="1">
      <c r="C200" s="423"/>
      <c r="D200" s="423"/>
      <c r="E200" s="423"/>
      <c r="F200" s="423"/>
      <c r="G200" s="424"/>
    </row>
    <row r="201" spans="3:7" ht="19.5" customHeight="1">
      <c r="C201" s="423"/>
      <c r="D201" s="423"/>
      <c r="E201" s="423"/>
      <c r="F201" s="423"/>
      <c r="G201" s="424"/>
    </row>
    <row r="202" spans="3:7" ht="19.5" customHeight="1">
      <c r="C202" s="423"/>
      <c r="D202" s="423"/>
      <c r="E202" s="423"/>
      <c r="F202" s="423"/>
      <c r="G202" s="424"/>
    </row>
    <row r="203" spans="3:7" ht="19.5" customHeight="1">
      <c r="C203" s="423"/>
      <c r="D203" s="423"/>
      <c r="E203" s="423"/>
      <c r="F203" s="423"/>
      <c r="G203" s="424"/>
    </row>
    <row r="204" spans="3:7" ht="19.5" customHeight="1">
      <c r="C204" s="423"/>
      <c r="D204" s="423"/>
      <c r="E204" s="423"/>
      <c r="F204" s="423"/>
      <c r="G204" s="424"/>
    </row>
    <row r="205" spans="3:7" ht="19.5" customHeight="1">
      <c r="C205" s="423"/>
      <c r="D205" s="423"/>
      <c r="E205" s="423"/>
      <c r="F205" s="423"/>
      <c r="G205" s="424"/>
    </row>
    <row r="206" spans="3:7" ht="19.5" customHeight="1">
      <c r="C206" s="423"/>
      <c r="D206" s="423"/>
      <c r="E206" s="423"/>
      <c r="F206" s="423"/>
      <c r="G206" s="424"/>
    </row>
    <row r="207" spans="3:7" ht="19.5" customHeight="1">
      <c r="C207" s="423"/>
      <c r="D207" s="423"/>
      <c r="E207" s="423"/>
      <c r="F207" s="423"/>
      <c r="G207" s="424"/>
    </row>
    <row r="208" spans="3:7" ht="19.5" customHeight="1">
      <c r="C208" s="423"/>
      <c r="D208" s="423"/>
      <c r="E208" s="423"/>
      <c r="F208" s="423"/>
      <c r="G208" s="424"/>
    </row>
    <row r="209" spans="3:7" ht="19.5" customHeight="1">
      <c r="C209" s="423"/>
      <c r="D209" s="423"/>
      <c r="E209" s="423"/>
      <c r="F209" s="423"/>
      <c r="G209" s="424"/>
    </row>
    <row r="210" spans="3:7" ht="19.5" customHeight="1">
      <c r="C210" s="423"/>
      <c r="D210" s="423"/>
      <c r="E210" s="423"/>
      <c r="F210" s="423"/>
      <c r="G210" s="424"/>
    </row>
    <row r="211" spans="3:7" ht="19.5" customHeight="1">
      <c r="C211" s="423"/>
      <c r="D211" s="423"/>
      <c r="E211" s="423"/>
      <c r="F211" s="423"/>
      <c r="G211" s="424"/>
    </row>
    <row r="212" spans="3:7" ht="19.5" customHeight="1">
      <c r="C212" s="423"/>
      <c r="D212" s="423"/>
      <c r="E212" s="423"/>
      <c r="F212" s="423"/>
      <c r="G212" s="424"/>
    </row>
    <row r="213" spans="3:7" ht="19.5" customHeight="1">
      <c r="C213" s="423"/>
      <c r="D213" s="423"/>
      <c r="E213" s="423"/>
      <c r="F213" s="423"/>
      <c r="G213" s="424"/>
    </row>
    <row r="214" spans="3:7" ht="19.5" customHeight="1">
      <c r="C214" s="423"/>
      <c r="D214" s="423"/>
      <c r="E214" s="423"/>
      <c r="F214" s="423"/>
      <c r="G214" s="424"/>
    </row>
    <row r="215" spans="3:7" ht="19.5" customHeight="1">
      <c r="C215" s="423"/>
      <c r="D215" s="423"/>
      <c r="E215" s="423"/>
      <c r="F215" s="423"/>
      <c r="G215" s="424"/>
    </row>
    <row r="216" spans="3:7" ht="19.5" customHeight="1">
      <c r="C216" s="423"/>
      <c r="D216" s="423"/>
      <c r="E216" s="423"/>
      <c r="F216" s="423"/>
      <c r="G216" s="424"/>
    </row>
    <row r="217" spans="3:7" ht="19.5" customHeight="1">
      <c r="C217" s="423"/>
      <c r="D217" s="423"/>
      <c r="E217" s="423"/>
      <c r="F217" s="423"/>
      <c r="G217" s="424"/>
    </row>
    <row r="218" spans="3:7" ht="19.5" customHeight="1">
      <c r="C218" s="423"/>
      <c r="D218" s="423"/>
      <c r="E218" s="423"/>
      <c r="F218" s="423"/>
      <c r="G218" s="424"/>
    </row>
    <row r="219" spans="3:7" ht="19.5" customHeight="1">
      <c r="C219" s="423"/>
      <c r="D219" s="423"/>
      <c r="E219" s="423"/>
      <c r="F219" s="423"/>
      <c r="G219" s="424"/>
    </row>
    <row r="220" spans="3:7" ht="19.5" customHeight="1">
      <c r="C220" s="423"/>
      <c r="D220" s="423"/>
      <c r="E220" s="423"/>
      <c r="F220" s="423"/>
      <c r="G220" s="424"/>
    </row>
    <row r="221" spans="3:7" ht="19.5" customHeight="1">
      <c r="C221" s="423"/>
      <c r="D221" s="423"/>
      <c r="E221" s="423"/>
      <c r="F221" s="423"/>
      <c r="G221" s="424"/>
    </row>
    <row r="222" spans="3:7" ht="19.5" customHeight="1">
      <c r="C222" s="423"/>
      <c r="D222" s="423"/>
      <c r="E222" s="423"/>
      <c r="F222" s="423"/>
      <c r="G222" s="424"/>
    </row>
    <row r="223" spans="3:7" ht="19.5" customHeight="1">
      <c r="C223" s="423"/>
      <c r="D223" s="423"/>
      <c r="E223" s="423"/>
      <c r="F223" s="423"/>
      <c r="G223" s="424"/>
    </row>
    <row r="224" spans="3:7" ht="19.5" customHeight="1">
      <c r="C224" s="423"/>
      <c r="D224" s="423"/>
      <c r="E224" s="423"/>
      <c r="F224" s="423"/>
      <c r="G224" s="424"/>
    </row>
    <row r="225" spans="3:7" ht="19.5" customHeight="1">
      <c r="C225" s="423"/>
      <c r="D225" s="423"/>
      <c r="E225" s="423"/>
      <c r="F225" s="423"/>
      <c r="G225" s="424"/>
    </row>
    <row r="226" spans="3:7" ht="19.5" customHeight="1">
      <c r="C226" s="423"/>
      <c r="D226" s="423"/>
      <c r="E226" s="423"/>
      <c r="F226" s="423"/>
      <c r="G226" s="424"/>
    </row>
    <row r="227" spans="3:7" ht="19.5" customHeight="1">
      <c r="C227" s="423"/>
      <c r="D227" s="423"/>
      <c r="E227" s="423"/>
      <c r="F227" s="423"/>
      <c r="G227" s="424"/>
    </row>
    <row r="228" spans="3:7" ht="19.5" customHeight="1">
      <c r="C228" s="423"/>
      <c r="D228" s="423"/>
      <c r="E228" s="423"/>
      <c r="F228" s="423"/>
      <c r="G228" s="424"/>
    </row>
    <row r="229" spans="3:7" ht="19.5" customHeight="1">
      <c r="C229" s="423"/>
      <c r="D229" s="423"/>
      <c r="E229" s="423"/>
      <c r="F229" s="423"/>
      <c r="G229" s="424"/>
    </row>
    <row r="230" spans="3:7" ht="19.5" customHeight="1">
      <c r="C230" s="423"/>
      <c r="D230" s="423"/>
      <c r="E230" s="423"/>
      <c r="F230" s="423"/>
      <c r="G230" s="424"/>
    </row>
    <row r="231" spans="3:7" ht="19.5" customHeight="1">
      <c r="C231" s="423"/>
      <c r="D231" s="423"/>
      <c r="E231" s="423"/>
      <c r="F231" s="423"/>
      <c r="G231" s="424"/>
    </row>
    <row r="232" spans="3:7" ht="19.5" customHeight="1">
      <c r="C232" s="423"/>
      <c r="D232" s="423"/>
      <c r="E232" s="423"/>
      <c r="F232" s="423"/>
      <c r="G232" s="424"/>
    </row>
    <row r="233" spans="3:7" ht="19.5" customHeight="1">
      <c r="C233" s="423"/>
      <c r="D233" s="423"/>
      <c r="E233" s="423"/>
      <c r="F233" s="423"/>
      <c r="G233" s="424"/>
    </row>
    <row r="234" spans="3:7" ht="19.5" customHeight="1">
      <c r="C234" s="423"/>
      <c r="D234" s="423"/>
      <c r="E234" s="423"/>
      <c r="F234" s="423"/>
      <c r="G234" s="424"/>
    </row>
    <row r="235" spans="3:7" ht="19.5" customHeight="1">
      <c r="C235" s="423"/>
      <c r="D235" s="423"/>
      <c r="E235" s="423"/>
      <c r="F235" s="423"/>
      <c r="G235" s="424"/>
    </row>
    <row r="236" spans="3:7" ht="19.5" customHeight="1">
      <c r="C236" s="423"/>
      <c r="D236" s="423"/>
      <c r="E236" s="423"/>
      <c r="F236" s="423"/>
      <c r="G236" s="424"/>
    </row>
    <row r="237" spans="3:7" ht="19.5" customHeight="1">
      <c r="C237" s="423"/>
      <c r="D237" s="423"/>
      <c r="E237" s="423"/>
      <c r="F237" s="423"/>
      <c r="G237" s="424"/>
    </row>
    <row r="238" spans="3:7" ht="19.5" customHeight="1">
      <c r="C238" s="423"/>
      <c r="D238" s="423"/>
      <c r="E238" s="423"/>
      <c r="F238" s="423"/>
      <c r="G238" s="424"/>
    </row>
    <row r="239" spans="3:7" ht="19.5" customHeight="1">
      <c r="C239" s="423"/>
      <c r="D239" s="423"/>
      <c r="E239" s="423"/>
      <c r="F239" s="423"/>
      <c r="G239" s="424"/>
    </row>
    <row r="240" spans="3:7" ht="19.5" customHeight="1">
      <c r="C240" s="423"/>
      <c r="D240" s="423"/>
      <c r="E240" s="423"/>
      <c r="F240" s="423"/>
      <c r="G240" s="424"/>
    </row>
    <row r="241" spans="3:7" ht="19.5" customHeight="1">
      <c r="C241" s="423"/>
      <c r="D241" s="423"/>
      <c r="E241" s="423"/>
      <c r="F241" s="423"/>
      <c r="G241" s="424"/>
    </row>
    <row r="242" spans="3:7" ht="19.5" customHeight="1">
      <c r="C242" s="423"/>
      <c r="D242" s="423"/>
      <c r="E242" s="423"/>
      <c r="F242" s="423"/>
      <c r="G242" s="424"/>
    </row>
    <row r="243" spans="3:7" ht="19.5" customHeight="1">
      <c r="C243" s="423"/>
      <c r="D243" s="423"/>
      <c r="E243" s="423"/>
      <c r="F243" s="423"/>
      <c r="G243" s="424"/>
    </row>
    <row r="244" spans="3:7" ht="19.5" customHeight="1">
      <c r="C244" s="423"/>
      <c r="D244" s="423"/>
      <c r="E244" s="423"/>
      <c r="F244" s="423"/>
      <c r="G244" s="424"/>
    </row>
    <row r="245" spans="3:7" ht="19.5" customHeight="1">
      <c r="C245" s="423"/>
      <c r="D245" s="423"/>
      <c r="E245" s="423"/>
      <c r="F245" s="423"/>
      <c r="G245" s="424"/>
    </row>
    <row r="246" spans="3:7" ht="19.5" customHeight="1">
      <c r="C246" s="423"/>
      <c r="D246" s="423"/>
      <c r="E246" s="423"/>
      <c r="F246" s="423"/>
      <c r="G246" s="424"/>
    </row>
    <row r="247" spans="3:7" ht="19.5" customHeight="1">
      <c r="C247" s="423"/>
      <c r="D247" s="423"/>
      <c r="E247" s="423"/>
      <c r="F247" s="423"/>
      <c r="G247" s="424"/>
    </row>
    <row r="248" spans="3:7" ht="19.5" customHeight="1">
      <c r="C248" s="423"/>
      <c r="D248" s="423"/>
      <c r="E248" s="423"/>
      <c r="F248" s="423"/>
      <c r="G248" s="424"/>
    </row>
    <row r="249" spans="3:7" ht="19.5" customHeight="1">
      <c r="C249" s="423"/>
      <c r="D249" s="423"/>
      <c r="E249" s="423"/>
      <c r="F249" s="423"/>
      <c r="G249" s="424"/>
    </row>
    <row r="250" spans="3:7" ht="19.5" customHeight="1">
      <c r="C250" s="423"/>
      <c r="D250" s="423"/>
      <c r="E250" s="423"/>
      <c r="F250" s="423"/>
      <c r="G250" s="424"/>
    </row>
    <row r="251" spans="3:7" ht="19.5" customHeight="1">
      <c r="C251" s="423"/>
      <c r="D251" s="423"/>
      <c r="E251" s="423"/>
      <c r="F251" s="423"/>
      <c r="G251" s="424"/>
    </row>
    <row r="252" spans="3:7" ht="19.5" customHeight="1">
      <c r="C252" s="423"/>
      <c r="D252" s="423"/>
      <c r="E252" s="423"/>
      <c r="F252" s="423"/>
      <c r="G252" s="424"/>
    </row>
    <row r="253" spans="3:7" ht="19.5" customHeight="1">
      <c r="C253" s="423"/>
      <c r="D253" s="423"/>
      <c r="E253" s="423"/>
      <c r="F253" s="423"/>
      <c r="G253" s="424"/>
    </row>
    <row r="254" spans="3:7" ht="19.5" customHeight="1">
      <c r="C254" s="423"/>
      <c r="D254" s="423"/>
      <c r="E254" s="423"/>
      <c r="F254" s="423"/>
      <c r="G254" s="424"/>
    </row>
    <row r="255" spans="3:7" ht="19.5" customHeight="1">
      <c r="C255" s="423"/>
      <c r="D255" s="423"/>
      <c r="E255" s="423"/>
      <c r="F255" s="423"/>
      <c r="G255" s="424"/>
    </row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B4:E4"/>
    <mergeCell ref="B3:D3"/>
    <mergeCell ref="B2:D2"/>
  </mergeCells>
  <conditionalFormatting sqref="C29:F29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C42:F45"/>
    <dataValidation allowBlank="1" showInputMessage="1" showErrorMessage="1" promptTitle="FICHA EP-9" prompt="ESTE DATO DEBE COINCIDIR CON LA FICHA EP-9" sqref="C29:F29"/>
    <dataValidation allowBlank="1" showInputMessage="1" showErrorMessage="1" promptTitle="DIVIDENDOS" prompt="COMPROBAR QUE LOS INGRESOS POR REPARTO POR DIVIDENDOS COINCIDEN CON LA HOJA EP-4 INV ACT NO FIN" sqref="C18:G21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ignoredErrors>
    <ignoredError sqref="C42" formulaRange="1"/>
    <ignoredError sqref="C25:C26 C21:E21 D31 D44:D45 E40 E42 D40:D41 D36:D37 E36 D33 E33" unlockedFormula="1"/>
    <ignoredError sqref="D42" formulaRange="1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tabColor theme="0"/>
    <pageSetUpPr fitToPage="1"/>
  </sheetPr>
  <dimension ref="A2:O547"/>
  <sheetViews>
    <sheetView showGridLines="0" zoomScalePageLayoutView="0" workbookViewId="0" topLeftCell="A37">
      <selection activeCell="C67" sqref="C67"/>
    </sheetView>
  </sheetViews>
  <sheetFormatPr defaultColWidth="10.57421875" defaultRowHeight="12.75"/>
  <cols>
    <col min="1" max="1" width="6.421875" style="469" customWidth="1"/>
    <col min="2" max="2" width="53.140625" style="469" bestFit="1" customWidth="1"/>
    <col min="3" max="3" width="17.421875" style="469" customWidth="1"/>
    <col min="4" max="4" width="19.8515625" style="469" customWidth="1"/>
    <col min="5" max="5" width="17.8515625" style="470" customWidth="1"/>
    <col min="6" max="6" width="1.57421875" style="471" customWidth="1"/>
    <col min="7" max="13" width="0" style="469" hidden="1" customWidth="1"/>
    <col min="14" max="15" width="12.7109375" style="469" hidden="1" customWidth="1"/>
    <col min="16" max="16384" width="10.57421875" style="469" customWidth="1"/>
  </cols>
  <sheetData>
    <row r="2" spans="2:6" s="441" customFormat="1" ht="49.5" customHeight="1">
      <c r="B2" s="1208" t="s">
        <v>810</v>
      </c>
      <c r="C2" s="1208"/>
      <c r="D2" s="1208"/>
      <c r="E2" s="377">
        <f>CPYG!E2</f>
        <v>2017</v>
      </c>
      <c r="F2" s="378"/>
    </row>
    <row r="3" spans="2:6" s="441" customFormat="1" ht="37.5" customHeight="1">
      <c r="B3" s="1209" t="str">
        <f>CPYG!B3</f>
        <v>ENTIDAD: TRANSPORTES INTERURBANOS DE TENERIFE, S.A.</v>
      </c>
      <c r="C3" s="1210"/>
      <c r="D3" s="1211"/>
      <c r="E3" s="382" t="s">
        <v>811</v>
      </c>
      <c r="F3" s="383"/>
    </row>
    <row r="4" spans="2:6" s="441" customFormat="1" ht="24.75" customHeight="1">
      <c r="B4" s="1212" t="s">
        <v>895</v>
      </c>
      <c r="C4" s="1212"/>
      <c r="D4" s="1212"/>
      <c r="E4" s="1212"/>
      <c r="F4" s="442"/>
    </row>
    <row r="5" spans="2:6" s="441" customFormat="1" ht="40.5" customHeight="1">
      <c r="B5" s="443" t="s">
        <v>811</v>
      </c>
      <c r="C5" s="444" t="s">
        <v>105</v>
      </c>
      <c r="D5" s="445" t="s">
        <v>111</v>
      </c>
      <c r="E5" s="445" t="s">
        <v>112</v>
      </c>
      <c r="F5" s="446"/>
    </row>
    <row r="6" spans="2:15" s="441" customFormat="1" ht="19.5" customHeight="1">
      <c r="B6" s="447" t="s">
        <v>953</v>
      </c>
      <c r="C6" s="520">
        <f>C7+C12+C16+C19+C20+C21+C22</f>
        <v>34224295.07999995</v>
      </c>
      <c r="D6" s="520">
        <f>D7+D12+D16+D19+D20+D21+D22</f>
        <v>35308701.02430004</v>
      </c>
      <c r="E6" s="520">
        <f>E7+E12+E16+E19+E20+E21+E22</f>
        <v>37154174.15430004</v>
      </c>
      <c r="F6" s="448"/>
      <c r="N6" s="451">
        <f>E6-E20</f>
        <v>37133310.20430004</v>
      </c>
      <c r="O6" s="451">
        <f>D6-D20</f>
        <v>35287837.074300036</v>
      </c>
    </row>
    <row r="7" spans="2:6" s="441" customFormat="1" ht="19.5" customHeight="1">
      <c r="B7" s="447" t="s">
        <v>841</v>
      </c>
      <c r="C7" s="520">
        <f>SUM(C8:C11)</f>
        <v>49569.39999999921</v>
      </c>
      <c r="D7" s="520">
        <f>SUM(D8:D11)</f>
        <v>39378.34999999916</v>
      </c>
      <c r="E7" s="520">
        <f>SUM(E8:E11)</f>
        <v>200846.79306968907</v>
      </c>
      <c r="F7" s="449"/>
    </row>
    <row r="8" spans="2:6" s="441" customFormat="1" ht="19.5" customHeight="1">
      <c r="B8" s="450" t="s">
        <v>956</v>
      </c>
      <c r="C8" s="560">
        <v>0</v>
      </c>
      <c r="D8" s="560">
        <v>0</v>
      </c>
      <c r="E8" s="560">
        <v>0</v>
      </c>
      <c r="F8" s="449"/>
    </row>
    <row r="9" spans="2:6" s="441" customFormat="1" ht="19.5" customHeight="1">
      <c r="B9" s="450" t="s">
        <v>955</v>
      </c>
      <c r="C9" s="560">
        <f>'[2]ACTIVO (DIC2016)'!$D$13+'[2]ACTIVO (DIC2016)'!$D$19</f>
        <v>49569.39999999921</v>
      </c>
      <c r="D9" s="560">
        <f>'[2]ACTIVO (DIC2016)'!$G$13+'[2]ACTIVO (DIC2016)'!$G$19</f>
        <v>39378.34999999916</v>
      </c>
      <c r="E9" s="560">
        <v>200846.79306968907</v>
      </c>
      <c r="F9" s="449"/>
    </row>
    <row r="10" spans="2:6" s="441" customFormat="1" ht="19.5" customHeight="1">
      <c r="B10" s="450" t="s">
        <v>954</v>
      </c>
      <c r="C10" s="560">
        <v>0</v>
      </c>
      <c r="D10" s="560">
        <v>0</v>
      </c>
      <c r="E10" s="560">
        <v>0</v>
      </c>
      <c r="F10" s="449"/>
    </row>
    <row r="11" spans="2:6" s="441" customFormat="1" ht="19.5" customHeight="1">
      <c r="B11" s="450" t="s">
        <v>188</v>
      </c>
      <c r="C11" s="560">
        <f>'[2]ACTIVO (DIC2016)'!$D$9+'[2]ACTIVO (DIC2016)'!$D$16</f>
        <v>0</v>
      </c>
      <c r="D11" s="560">
        <v>0</v>
      </c>
      <c r="E11" s="560">
        <v>0</v>
      </c>
      <c r="F11" s="449"/>
    </row>
    <row r="12" spans="2:6" s="441" customFormat="1" ht="19.5" customHeight="1">
      <c r="B12" s="447" t="s">
        <v>842</v>
      </c>
      <c r="C12" s="520">
        <f>SUM(C13:C15)</f>
        <v>34154347.54999995</v>
      </c>
      <c r="D12" s="520">
        <f>SUM(D13:D15)</f>
        <v>35248458.724300034</v>
      </c>
      <c r="E12" s="520">
        <f>SUM(E13:E15)</f>
        <v>36932463.41123035</v>
      </c>
      <c r="F12" s="449"/>
    </row>
    <row r="13" spans="2:6" s="441" customFormat="1" ht="19.5" customHeight="1">
      <c r="B13" s="450" t="s">
        <v>1057</v>
      </c>
      <c r="C13" s="560">
        <f>'[2]ACTIVO (DIC2016)'!$D$22</f>
        <v>2291671.46</v>
      </c>
      <c r="D13" s="560">
        <f>+'[3]ACTIVO (DIC2016)'!$G$22</f>
        <v>5575244.1343</v>
      </c>
      <c r="E13" s="560">
        <f>+'[3]ACTIVO (DIC2016)'!$I$22</f>
        <v>5575244.1343</v>
      </c>
      <c r="F13" s="449"/>
    </row>
    <row r="14" spans="2:6" s="441" customFormat="1" ht="19.5" customHeight="1">
      <c r="B14" s="450" t="s">
        <v>1056</v>
      </c>
      <c r="C14" s="560">
        <f>'[2]ACTIVO (DIC2016)'!$D$38</f>
        <v>5947.34</v>
      </c>
      <c r="D14" s="560">
        <f>+C14+359080.98*2</f>
        <v>724109.2999999999</v>
      </c>
      <c r="E14" s="560">
        <v>5947.34</v>
      </c>
      <c r="F14" s="449"/>
    </row>
    <row r="15" spans="2:6" s="441" customFormat="1" ht="19.5" customHeight="1">
      <c r="B15" s="450" t="s">
        <v>1055</v>
      </c>
      <c r="C15" s="560">
        <f>'[2]ACTIVO (DIC2016)'!$D$21-C14-C13</f>
        <v>31856728.749999955</v>
      </c>
      <c r="D15" s="560">
        <v>28949105.290000036</v>
      </c>
      <c r="E15" s="560">
        <v>31351271.93693035</v>
      </c>
      <c r="F15" s="449"/>
    </row>
    <row r="16" spans="2:6" s="441" customFormat="1" ht="19.5" customHeight="1">
      <c r="B16" s="447" t="s">
        <v>843</v>
      </c>
      <c r="C16" s="520">
        <f>SUM(C17:C18)</f>
        <v>0</v>
      </c>
      <c r="D16" s="520">
        <f>SUM(D17:D18)</f>
        <v>0</v>
      </c>
      <c r="E16" s="520">
        <f>SUM(E17:E18)</f>
        <v>0</v>
      </c>
      <c r="F16" s="449"/>
    </row>
    <row r="17" spans="2:6" s="441" customFormat="1" ht="19.5" customHeight="1">
      <c r="B17" s="450" t="s">
        <v>844</v>
      </c>
      <c r="C17" s="560">
        <v>0</v>
      </c>
      <c r="D17" s="560">
        <v>0</v>
      </c>
      <c r="E17" s="560">
        <v>0</v>
      </c>
      <c r="F17" s="449"/>
    </row>
    <row r="18" spans="2:6" s="441" customFormat="1" ht="19.5" customHeight="1">
      <c r="B18" s="450" t="s">
        <v>751</v>
      </c>
      <c r="C18" s="560">
        <v>0</v>
      </c>
      <c r="D18" s="560">
        <v>0</v>
      </c>
      <c r="E18" s="560">
        <v>0</v>
      </c>
      <c r="F18" s="449"/>
    </row>
    <row r="19" spans="2:6" s="441" customFormat="1" ht="19.5" customHeight="1">
      <c r="B19" s="447" t="s">
        <v>845</v>
      </c>
      <c r="C19" s="559">
        <v>0</v>
      </c>
      <c r="D19" s="559">
        <v>0</v>
      </c>
      <c r="E19" s="559">
        <v>0</v>
      </c>
      <c r="F19" s="449"/>
    </row>
    <row r="20" spans="1:6" s="441" customFormat="1" ht="19.5" customHeight="1">
      <c r="A20" s="452"/>
      <c r="B20" s="447" t="s">
        <v>846</v>
      </c>
      <c r="C20" s="559">
        <f>'[2]ACTIVO (DIC2016)'!$D$55</f>
        <v>20378.13</v>
      </c>
      <c r="D20" s="559">
        <f>'[2]ACTIVO (DIC2016)'!$G$55</f>
        <v>20863.950000000004</v>
      </c>
      <c r="E20" s="559">
        <f>'[2]ACTIVO (DIC2016)'!$I$55</f>
        <v>20863.950000000004</v>
      </c>
      <c r="F20" s="449"/>
    </row>
    <row r="21" spans="2:13" s="441" customFormat="1" ht="19.5" customHeight="1">
      <c r="B21" s="447" t="s">
        <v>752</v>
      </c>
      <c r="C21" s="559">
        <v>0</v>
      </c>
      <c r="D21" s="559">
        <v>0</v>
      </c>
      <c r="E21" s="559">
        <v>0</v>
      </c>
      <c r="G21" s="727" t="s">
        <v>944</v>
      </c>
      <c r="H21" s="728"/>
      <c r="I21" s="728"/>
      <c r="J21" s="728"/>
      <c r="K21" s="728"/>
      <c r="L21" s="728"/>
      <c r="M21" s="728"/>
    </row>
    <row r="22" spans="2:13" s="441" customFormat="1" ht="19.5" customHeight="1">
      <c r="B22" s="447" t="s">
        <v>1058</v>
      </c>
      <c r="C22" s="559">
        <v>0</v>
      </c>
      <c r="D22" s="559">
        <v>0</v>
      </c>
      <c r="E22" s="559">
        <v>0</v>
      </c>
      <c r="G22" s="727" t="s">
        <v>945</v>
      </c>
      <c r="H22" s="728"/>
      <c r="I22" s="728"/>
      <c r="J22" s="728"/>
      <c r="K22" s="728"/>
      <c r="L22" s="728"/>
      <c r="M22" s="728"/>
    </row>
    <row r="23" spans="2:14" s="441" customFormat="1" ht="19.5" customHeight="1">
      <c r="B23" s="447" t="s">
        <v>957</v>
      </c>
      <c r="C23" s="520">
        <f>C24+C30+C33+C37+C38+C39+C40</f>
        <v>24351885.450000208</v>
      </c>
      <c r="D23" s="520">
        <f>D24+D30+D33+D37+D38+D39+D40</f>
        <v>17781342.857095547</v>
      </c>
      <c r="E23" s="520">
        <f>E24+E30+E33+E37+E38+E39+E40</f>
        <v>20672543.211816534</v>
      </c>
      <c r="F23" s="448"/>
      <c r="N23" s="451">
        <f>E23-D23</f>
        <v>2891200.3547209874</v>
      </c>
    </row>
    <row r="24" spans="2:6" s="441" customFormat="1" ht="23.25" customHeight="1">
      <c r="B24" s="447" t="s">
        <v>847</v>
      </c>
      <c r="C24" s="520">
        <f>C25+C28+C29</f>
        <v>0</v>
      </c>
      <c r="D24" s="520">
        <f>D25+D28+D29</f>
        <v>0</v>
      </c>
      <c r="E24" s="520">
        <f>E25+E28+E29</f>
        <v>0</v>
      </c>
      <c r="F24" s="449"/>
    </row>
    <row r="25" spans="2:6" s="441" customFormat="1" ht="23.25" customHeight="1">
      <c r="B25" s="450" t="s">
        <v>1061</v>
      </c>
      <c r="C25" s="561">
        <f>SUM(C26:C27)</f>
        <v>0</v>
      </c>
      <c r="D25" s="561">
        <f>SUM(D26:D27)</f>
        <v>0</v>
      </c>
      <c r="E25" s="561">
        <f>SUM(E26:E27)</f>
        <v>0</v>
      </c>
      <c r="F25" s="449"/>
    </row>
    <row r="26" spans="2:6" s="441" customFormat="1" ht="23.25" customHeight="1">
      <c r="B26" s="450" t="s">
        <v>1062</v>
      </c>
      <c r="C26" s="560">
        <v>0</v>
      </c>
      <c r="D26" s="560">
        <v>0</v>
      </c>
      <c r="E26" s="560">
        <v>0</v>
      </c>
      <c r="F26" s="449"/>
    </row>
    <row r="27" spans="2:6" s="441" customFormat="1" ht="23.25" customHeight="1">
      <c r="B27" s="450" t="s">
        <v>1063</v>
      </c>
      <c r="C27" s="560">
        <v>0</v>
      </c>
      <c r="D27" s="560">
        <v>0</v>
      </c>
      <c r="E27" s="560">
        <v>0</v>
      </c>
      <c r="F27" s="449"/>
    </row>
    <row r="28" spans="2:6" s="441" customFormat="1" ht="23.25" customHeight="1">
      <c r="B28" s="450" t="s">
        <v>1065</v>
      </c>
      <c r="C28" s="560">
        <v>0</v>
      </c>
      <c r="D28" s="560">
        <v>0</v>
      </c>
      <c r="E28" s="560">
        <v>0</v>
      </c>
      <c r="F28" s="449"/>
    </row>
    <row r="29" spans="2:6" s="441" customFormat="1" ht="23.25" customHeight="1">
      <c r="B29" s="450" t="s">
        <v>1064</v>
      </c>
      <c r="C29" s="560">
        <v>0</v>
      </c>
      <c r="D29" s="560">
        <v>0</v>
      </c>
      <c r="E29" s="560">
        <v>0</v>
      </c>
      <c r="F29" s="449"/>
    </row>
    <row r="30" spans="2:6" s="441" customFormat="1" ht="19.5" customHeight="1">
      <c r="B30" s="447" t="s">
        <v>815</v>
      </c>
      <c r="C30" s="520">
        <f>SUM(C31:C32)</f>
        <v>1973879.1400000004</v>
      </c>
      <c r="D30" s="520">
        <f>SUM(D31:D32)</f>
        <v>1860435.24</v>
      </c>
      <c r="E30" s="520">
        <f>SUM(E31:E32)</f>
        <v>1836835.24</v>
      </c>
      <c r="F30" s="449"/>
    </row>
    <row r="31" spans="2:6" s="441" customFormat="1" ht="19.5" customHeight="1">
      <c r="B31" s="450" t="s">
        <v>1059</v>
      </c>
      <c r="C31" s="560">
        <f>'[2]ACTIVO (DIC2016)'!$D$68</f>
        <v>1973879.1400000004</v>
      </c>
      <c r="D31" s="560">
        <f>1560435.24+300000</f>
        <v>1860435.24</v>
      </c>
      <c r="E31" s="560">
        <f>1536835.24+300000</f>
        <v>1836835.24</v>
      </c>
      <c r="F31" s="449"/>
    </row>
    <row r="32" spans="2:6" s="441" customFormat="1" ht="19.5" customHeight="1">
      <c r="B32" s="450" t="s">
        <v>1060</v>
      </c>
      <c r="C32" s="560">
        <f>'[2]ACTIVO (DIC2016)'!$D$78+'[2]ACTIVO (DIC2016)'!$D$79</f>
        <v>0</v>
      </c>
      <c r="D32" s="560">
        <v>0</v>
      </c>
      <c r="E32" s="560">
        <v>0</v>
      </c>
      <c r="F32" s="449"/>
    </row>
    <row r="33" spans="2:6" s="441" customFormat="1" ht="19.5" customHeight="1">
      <c r="B33" s="447" t="s">
        <v>848</v>
      </c>
      <c r="C33" s="520">
        <f>SUM(C34:C36)</f>
        <v>20115401.920000274</v>
      </c>
      <c r="D33" s="520">
        <f>SUM(D34:D36)</f>
        <v>13775664.497095598</v>
      </c>
      <c r="E33" s="520">
        <f>SUM(E34:E36)</f>
        <v>17972302.891816586</v>
      </c>
      <c r="F33" s="449"/>
    </row>
    <row r="34" spans="2:6" s="441" customFormat="1" ht="19.5" customHeight="1">
      <c r="B34" s="450" t="s">
        <v>753</v>
      </c>
      <c r="C34" s="560">
        <f>'[2]ACTIVO (DIC2016)'!$D$83</f>
        <v>965721.4700002598</v>
      </c>
      <c r="D34" s="560">
        <f>'[2]ACTIVO (DIC2016)'!$G$83</f>
        <v>956232.0699999962</v>
      </c>
      <c r="E34" s="560">
        <f>'[2]ACTIVO (DIC2016)'!$I$83</f>
        <v>956232.0699999962</v>
      </c>
      <c r="F34" s="449"/>
    </row>
    <row r="35" spans="2:6" s="441" customFormat="1" ht="19.5" customHeight="1">
      <c r="B35" s="450" t="s">
        <v>958</v>
      </c>
      <c r="C35" s="560">
        <v>0</v>
      </c>
      <c r="D35" s="560">
        <v>0</v>
      </c>
      <c r="E35" s="560">
        <v>0</v>
      </c>
      <c r="F35" s="449"/>
    </row>
    <row r="36" spans="2:6" s="441" customFormat="1" ht="19.5" customHeight="1">
      <c r="B36" s="450" t="s">
        <v>959</v>
      </c>
      <c r="C36" s="560">
        <v>19149680.450000014</v>
      </c>
      <c r="D36" s="560">
        <v>12819432.427095601</v>
      </c>
      <c r="E36" s="560">
        <v>17016070.82181659</v>
      </c>
      <c r="F36" s="449"/>
    </row>
    <row r="37" spans="2:6" s="441" customFormat="1" ht="19.5" customHeight="1">
      <c r="B37" s="447" t="s">
        <v>849</v>
      </c>
      <c r="C37" s="559">
        <f>'[2]ACTIVO (DIC2016)'!$D$136</f>
        <v>1960</v>
      </c>
      <c r="D37" s="559">
        <v>0</v>
      </c>
      <c r="E37" s="559">
        <f>'[2]ACTIVO (DIC2016)'!$I$136</f>
        <v>0</v>
      </c>
      <c r="F37" s="449"/>
    </row>
    <row r="38" spans="2:6" s="441" customFormat="1" ht="19.5" customHeight="1">
      <c r="B38" s="447" t="s">
        <v>850</v>
      </c>
      <c r="C38" s="559">
        <f>'[2]ACTIVO (DIC2016)'!$D$139</f>
        <v>50166.86000000001</v>
      </c>
      <c r="D38" s="559">
        <f>'[2]ACTIVO (DIC2016)'!$G$139</f>
        <v>49310.77000000001</v>
      </c>
      <c r="E38" s="559">
        <f>'[2]ACTIVO (DIC2016)'!$I$139</f>
        <v>49310.77000000001</v>
      </c>
      <c r="F38" s="449"/>
    </row>
    <row r="39" spans="2:6" s="441" customFormat="1" ht="19.5" customHeight="1">
      <c r="B39" s="447" t="s">
        <v>754</v>
      </c>
      <c r="C39" s="559">
        <f>'[2]ACTIVO (DIC2016)'!$D$156</f>
        <v>45633.17000000109</v>
      </c>
      <c r="D39" s="559">
        <f>'[2]ACTIVO (DIC2016)'!$G$156</f>
        <v>56634.77000000002</v>
      </c>
      <c r="E39" s="559">
        <f>'[2]ACTIVO (DIC2016)'!$I$156</f>
        <v>56634.77000000002</v>
      </c>
      <c r="F39" s="449"/>
    </row>
    <row r="40" spans="2:6" s="441" customFormat="1" ht="19.5" customHeight="1">
      <c r="B40" s="447" t="s">
        <v>755</v>
      </c>
      <c r="C40" s="520">
        <f>SUM(C41:C42)</f>
        <v>2164844.3599999323</v>
      </c>
      <c r="D40" s="520">
        <f>SUM(D41:D42)</f>
        <v>2039297.5799999489</v>
      </c>
      <c r="E40" s="520">
        <f>SUM(E41:E42)</f>
        <v>757459.5399999502</v>
      </c>
      <c r="F40" s="449"/>
    </row>
    <row r="41" spans="2:6" s="441" customFormat="1" ht="19.5" customHeight="1">
      <c r="B41" s="450" t="s">
        <v>756</v>
      </c>
      <c r="C41" s="560">
        <f>'[2]ACTIVO (DIC2016)'!$D$159</f>
        <v>2164844.3599999323</v>
      </c>
      <c r="D41" s="560">
        <f>'[2]ACTIVO (DIC2016)'!$G$159-(359080.98*2)</f>
        <v>2039297.5799999489</v>
      </c>
      <c r="E41" s="560">
        <f>2757459.53999995-2000000</f>
        <v>757459.5399999502</v>
      </c>
      <c r="F41" s="449"/>
    </row>
    <row r="42" spans="2:6" s="441" customFormat="1" ht="19.5" customHeight="1">
      <c r="B42" s="450" t="s">
        <v>774</v>
      </c>
      <c r="C42" s="560">
        <v>0</v>
      </c>
      <c r="D42" s="560">
        <v>0</v>
      </c>
      <c r="E42" s="560">
        <v>0</v>
      </c>
      <c r="F42" s="449"/>
    </row>
    <row r="43" spans="2:6" s="441" customFormat="1" ht="21.75" customHeight="1">
      <c r="B43" s="453" t="s">
        <v>807</v>
      </c>
      <c r="C43" s="520">
        <f>C23+C6</f>
        <v>58576180.530000165</v>
      </c>
      <c r="D43" s="520">
        <f>D23+D6</f>
        <v>53090043.881395586</v>
      </c>
      <c r="E43" s="520">
        <f>E23+E6</f>
        <v>57826717.366116576</v>
      </c>
      <c r="F43" s="448"/>
    </row>
    <row r="44" spans="2:6" s="441" customFormat="1" ht="40.5" customHeight="1">
      <c r="B44" s="454"/>
      <c r="C44" s="455"/>
      <c r="D44" s="455"/>
      <c r="E44" s="455"/>
      <c r="F44" s="448"/>
    </row>
    <row r="45" spans="2:6" s="441" customFormat="1" ht="12.75" hidden="1">
      <c r="B45" s="456" t="s">
        <v>775</v>
      </c>
      <c r="D45" s="451"/>
      <c r="E45" s="457"/>
      <c r="F45" s="458"/>
    </row>
    <row r="46" spans="2:6" s="441" customFormat="1" ht="12.75" hidden="1">
      <c r="B46" s="450" t="s">
        <v>352</v>
      </c>
      <c r="C46" s="459">
        <f>C43-PASIVO!C60</f>
        <v>1.4901161193847656E-07</v>
      </c>
      <c r="D46" s="459">
        <f>D43-PASIVO!D60</f>
        <v>0</v>
      </c>
      <c r="E46" s="459">
        <f>E43-PASIVO!E60</f>
        <v>0</v>
      </c>
      <c r="F46" s="460"/>
    </row>
    <row r="47" spans="2:6" s="441" customFormat="1" ht="12.75" hidden="1">
      <c r="B47" s="452"/>
      <c r="C47" s="460"/>
      <c r="D47" s="460"/>
      <c r="E47" s="460"/>
      <c r="F47" s="460"/>
    </row>
    <row r="48" spans="2:6" s="441" customFormat="1" ht="12.75" hidden="1">
      <c r="B48" s="452"/>
      <c r="C48" s="461"/>
      <c r="D48" s="461"/>
      <c r="E48" s="460"/>
      <c r="F48" s="460"/>
    </row>
    <row r="49" spans="2:6" s="441" customFormat="1" ht="12.75" hidden="1">
      <c r="B49" s="452" t="s">
        <v>769</v>
      </c>
      <c r="C49" s="462">
        <f>+C43-PASIVO!C60</f>
        <v>1.4901161193847656E-07</v>
      </c>
      <c r="D49" s="462">
        <f>+D43-PASIVO!D60</f>
        <v>0</v>
      </c>
      <c r="E49" s="462">
        <f>+E43-PASIVO!E60</f>
        <v>0</v>
      </c>
      <c r="F49" s="460"/>
    </row>
    <row r="50" spans="2:6" s="441" customFormat="1" ht="12.75" hidden="1">
      <c r="B50" s="452"/>
      <c r="C50" s="461"/>
      <c r="D50" s="461"/>
      <c r="E50" s="460"/>
      <c r="F50" s="460"/>
    </row>
    <row r="51" spans="2:6" s="441" customFormat="1" ht="12.75" hidden="1">
      <c r="B51" s="463" t="s">
        <v>768</v>
      </c>
      <c r="C51" s="459">
        <f>+C23-PASIVO!C43</f>
        <v>6164525.430000182</v>
      </c>
      <c r="D51" s="459">
        <f>+D23-PASIVO!D43</f>
        <v>5943138.685953576</v>
      </c>
      <c r="E51" s="459">
        <f>+E23-PASIVO!E43</f>
        <v>10552122.839221483</v>
      </c>
      <c r="F51" s="460"/>
    </row>
    <row r="52" spans="2:6" s="441" customFormat="1" ht="12.75" hidden="1">
      <c r="B52" s="464" t="s">
        <v>236</v>
      </c>
      <c r="C52" s="450"/>
      <c r="D52" s="459">
        <f>+D51-C51</f>
        <v>-221386.74404660612</v>
      </c>
      <c r="E52" s="465">
        <f>+E51-D51</f>
        <v>4608984.153267907</v>
      </c>
      <c r="F52" s="460"/>
    </row>
    <row r="53" spans="3:6" s="441" customFormat="1" ht="12.75" hidden="1">
      <c r="C53" s="466"/>
      <c r="D53" s="466"/>
      <c r="E53" s="467"/>
      <c r="F53" s="467"/>
    </row>
    <row r="54" spans="3:6" s="441" customFormat="1" ht="12.75" hidden="1">
      <c r="C54" s="461"/>
      <c r="D54" s="461"/>
      <c r="E54" s="468"/>
      <c r="F54" s="468"/>
    </row>
    <row r="55" spans="3:6" s="441" customFormat="1" ht="12.75" hidden="1">
      <c r="C55" s="461"/>
      <c r="D55" s="461"/>
      <c r="E55" s="460"/>
      <c r="F55" s="460"/>
    </row>
    <row r="56" spans="3:6" s="441" customFormat="1" ht="12.75">
      <c r="C56" s="460"/>
      <c r="D56" s="460"/>
      <c r="E56" s="460"/>
      <c r="F56" s="460"/>
    </row>
    <row r="57" spans="3:6" s="441" customFormat="1" ht="12.75">
      <c r="C57" s="460"/>
      <c r="D57" s="460"/>
      <c r="E57" s="460"/>
      <c r="F57" s="460">
        <f>+F43-F56</f>
        <v>0</v>
      </c>
    </row>
    <row r="58" spans="3:6" s="441" customFormat="1" ht="12.75">
      <c r="C58" s="461"/>
      <c r="D58" s="461"/>
      <c r="E58" s="460"/>
      <c r="F58" s="460"/>
    </row>
    <row r="59" spans="3:6" s="441" customFormat="1" ht="12.75">
      <c r="C59" s="461"/>
      <c r="D59" s="460"/>
      <c r="E59" s="460"/>
      <c r="F59" s="460"/>
    </row>
    <row r="60" spans="3:6" s="441" customFormat="1" ht="12.75">
      <c r="C60" s="461"/>
      <c r="D60" s="460"/>
      <c r="E60" s="460"/>
      <c r="F60" s="460"/>
    </row>
    <row r="61" spans="3:6" s="441" customFormat="1" ht="12.75">
      <c r="C61" s="466"/>
      <c r="E61" s="467"/>
      <c r="F61" s="467"/>
    </row>
    <row r="62" spans="3:6" s="441" customFormat="1" ht="12.75">
      <c r="C62" s="461"/>
      <c r="D62" s="460"/>
      <c r="E62" s="460"/>
      <c r="F62" s="468"/>
    </row>
    <row r="63" spans="3:6" s="441" customFormat="1" ht="12.75">
      <c r="C63" s="461"/>
      <c r="D63" s="460"/>
      <c r="E63" s="460"/>
      <c r="F63" s="468"/>
    </row>
    <row r="64" spans="3:6" s="441" customFormat="1" ht="12.75">
      <c r="C64" s="461"/>
      <c r="D64" s="460"/>
      <c r="E64" s="460"/>
      <c r="F64" s="468"/>
    </row>
    <row r="65" spans="4:6" s="441" customFormat="1" ht="12.75">
      <c r="D65" s="460"/>
      <c r="E65" s="460"/>
      <c r="F65" s="458"/>
    </row>
    <row r="66" spans="5:6" s="441" customFormat="1" ht="12.75">
      <c r="E66" s="460"/>
      <c r="F66" s="458"/>
    </row>
    <row r="67" spans="5:6" s="441" customFormat="1" ht="12.75">
      <c r="E67" s="457"/>
      <c r="F67" s="458"/>
    </row>
    <row r="68" spans="5:6" s="441" customFormat="1" ht="12.75">
      <c r="E68" s="457"/>
      <c r="F68" s="458"/>
    </row>
    <row r="69" spans="5:6" s="441" customFormat="1" ht="12.75">
      <c r="E69" s="457"/>
      <c r="F69" s="458"/>
    </row>
    <row r="70" spans="5:6" s="441" customFormat="1" ht="12.75">
      <c r="E70" s="457"/>
      <c r="F70" s="458"/>
    </row>
    <row r="71" spans="5:6" s="441" customFormat="1" ht="12.75">
      <c r="E71" s="457"/>
      <c r="F71" s="458"/>
    </row>
    <row r="72" spans="5:6" s="441" customFormat="1" ht="12.75">
      <c r="E72" s="457"/>
      <c r="F72" s="458"/>
    </row>
    <row r="73" spans="5:6" s="441" customFormat="1" ht="12.75">
      <c r="E73" s="457"/>
      <c r="F73" s="458"/>
    </row>
    <row r="74" spans="5:6" s="441" customFormat="1" ht="12.75">
      <c r="E74" s="457"/>
      <c r="F74" s="458"/>
    </row>
    <row r="75" spans="5:6" s="441" customFormat="1" ht="12.75">
      <c r="E75" s="457"/>
      <c r="F75" s="458"/>
    </row>
    <row r="76" spans="5:6" s="441" customFormat="1" ht="12.75">
      <c r="E76" s="457"/>
      <c r="F76" s="458"/>
    </row>
    <row r="77" spans="5:6" s="441" customFormat="1" ht="12.75">
      <c r="E77" s="457"/>
      <c r="F77" s="458"/>
    </row>
    <row r="78" spans="5:6" s="441" customFormat="1" ht="12.75">
      <c r="E78" s="457"/>
      <c r="F78" s="458"/>
    </row>
    <row r="79" spans="5:6" s="441" customFormat="1" ht="12.75">
      <c r="E79" s="457"/>
      <c r="F79" s="458"/>
    </row>
    <row r="80" spans="5:6" s="441" customFormat="1" ht="12.75">
      <c r="E80" s="457"/>
      <c r="F80" s="458"/>
    </row>
    <row r="81" spans="5:6" s="441" customFormat="1" ht="12.75">
      <c r="E81" s="457"/>
      <c r="F81" s="458"/>
    </row>
    <row r="82" spans="5:6" s="441" customFormat="1" ht="12.75">
      <c r="E82" s="457"/>
      <c r="F82" s="458"/>
    </row>
    <row r="83" spans="5:6" s="441" customFormat="1" ht="12.75">
      <c r="E83" s="457"/>
      <c r="F83" s="458"/>
    </row>
    <row r="84" spans="5:6" s="441" customFormat="1" ht="12.75">
      <c r="E84" s="457"/>
      <c r="F84" s="458"/>
    </row>
    <row r="85" spans="5:6" s="441" customFormat="1" ht="12.75">
      <c r="E85" s="457"/>
      <c r="F85" s="458"/>
    </row>
    <row r="86" spans="5:6" s="441" customFormat="1" ht="12.75">
      <c r="E86" s="457"/>
      <c r="F86" s="458"/>
    </row>
    <row r="87" spans="5:6" s="441" customFormat="1" ht="12.75">
      <c r="E87" s="457"/>
      <c r="F87" s="458"/>
    </row>
    <row r="88" spans="5:6" s="441" customFormat="1" ht="12.75">
      <c r="E88" s="457"/>
      <c r="F88" s="458"/>
    </row>
    <row r="89" spans="5:6" s="441" customFormat="1" ht="12.75">
      <c r="E89" s="457"/>
      <c r="F89" s="458"/>
    </row>
    <row r="90" spans="5:6" s="441" customFormat="1" ht="12.75">
      <c r="E90" s="457"/>
      <c r="F90" s="458"/>
    </row>
    <row r="91" spans="5:6" s="441" customFormat="1" ht="12.75">
      <c r="E91" s="457"/>
      <c r="F91" s="458"/>
    </row>
    <row r="92" spans="5:6" s="441" customFormat="1" ht="12.75">
      <c r="E92" s="457"/>
      <c r="F92" s="458"/>
    </row>
    <row r="93" spans="5:6" s="441" customFormat="1" ht="12.75">
      <c r="E93" s="457"/>
      <c r="F93" s="458"/>
    </row>
    <row r="94" spans="5:6" s="441" customFormat="1" ht="12.75">
      <c r="E94" s="457"/>
      <c r="F94" s="458"/>
    </row>
    <row r="95" spans="5:6" s="441" customFormat="1" ht="12.75">
      <c r="E95" s="457"/>
      <c r="F95" s="458"/>
    </row>
    <row r="96" spans="5:6" s="441" customFormat="1" ht="12.75">
      <c r="E96" s="457"/>
      <c r="F96" s="458"/>
    </row>
    <row r="97" spans="5:6" s="441" customFormat="1" ht="12.75">
      <c r="E97" s="457"/>
      <c r="F97" s="458"/>
    </row>
    <row r="98" spans="5:6" s="441" customFormat="1" ht="12.75">
      <c r="E98" s="457"/>
      <c r="F98" s="458"/>
    </row>
    <row r="99" spans="5:6" s="441" customFormat="1" ht="12.75">
      <c r="E99" s="457"/>
      <c r="F99" s="458"/>
    </row>
    <row r="100" spans="5:6" s="441" customFormat="1" ht="12.75">
      <c r="E100" s="457"/>
      <c r="F100" s="458"/>
    </row>
    <row r="101" spans="5:6" s="441" customFormat="1" ht="12.75">
      <c r="E101" s="457"/>
      <c r="F101" s="458"/>
    </row>
    <row r="102" spans="5:6" s="441" customFormat="1" ht="12.75">
      <c r="E102" s="457"/>
      <c r="F102" s="458"/>
    </row>
    <row r="103" spans="5:6" s="441" customFormat="1" ht="12.75">
      <c r="E103" s="457"/>
      <c r="F103" s="458"/>
    </row>
    <row r="104" spans="5:6" s="441" customFormat="1" ht="12.75">
      <c r="E104" s="457"/>
      <c r="F104" s="458"/>
    </row>
    <row r="105" spans="5:6" s="441" customFormat="1" ht="12.75">
      <c r="E105" s="457"/>
      <c r="F105" s="458"/>
    </row>
    <row r="106" spans="5:6" s="441" customFormat="1" ht="12.75">
      <c r="E106" s="457"/>
      <c r="F106" s="458"/>
    </row>
    <row r="107" spans="5:6" s="441" customFormat="1" ht="12.75">
      <c r="E107" s="457"/>
      <c r="F107" s="458"/>
    </row>
    <row r="108" spans="5:6" s="441" customFormat="1" ht="12.75">
      <c r="E108" s="457"/>
      <c r="F108" s="458"/>
    </row>
    <row r="109" spans="5:6" s="441" customFormat="1" ht="12.75">
      <c r="E109" s="457"/>
      <c r="F109" s="458"/>
    </row>
    <row r="110" spans="5:6" s="441" customFormat="1" ht="12.75">
      <c r="E110" s="457"/>
      <c r="F110" s="458"/>
    </row>
    <row r="111" spans="5:6" s="441" customFormat="1" ht="12.75">
      <c r="E111" s="457"/>
      <c r="F111" s="458"/>
    </row>
    <row r="112" spans="5:6" s="441" customFormat="1" ht="12.75">
      <c r="E112" s="457"/>
      <c r="F112" s="458"/>
    </row>
    <row r="113" spans="5:6" s="441" customFormat="1" ht="12.75">
      <c r="E113" s="457"/>
      <c r="F113" s="458"/>
    </row>
    <row r="114" spans="5:6" s="441" customFormat="1" ht="12.75">
      <c r="E114" s="457"/>
      <c r="F114" s="458"/>
    </row>
    <row r="115" spans="5:6" s="441" customFormat="1" ht="12.75">
      <c r="E115" s="457"/>
      <c r="F115" s="458"/>
    </row>
    <row r="116" spans="5:6" s="441" customFormat="1" ht="12.75">
      <c r="E116" s="457"/>
      <c r="F116" s="458"/>
    </row>
    <row r="117" spans="5:6" s="441" customFormat="1" ht="12.75">
      <c r="E117" s="457"/>
      <c r="F117" s="458"/>
    </row>
    <row r="118" spans="5:6" s="441" customFormat="1" ht="12.75">
      <c r="E118" s="457"/>
      <c r="F118" s="458"/>
    </row>
    <row r="119" spans="5:6" s="441" customFormat="1" ht="12.75">
      <c r="E119" s="457"/>
      <c r="F119" s="458"/>
    </row>
    <row r="120" spans="5:6" s="441" customFormat="1" ht="12.75">
      <c r="E120" s="457"/>
      <c r="F120" s="458"/>
    </row>
    <row r="121" spans="5:6" s="441" customFormat="1" ht="12.75">
      <c r="E121" s="457"/>
      <c r="F121" s="458"/>
    </row>
    <row r="122" spans="5:6" s="441" customFormat="1" ht="12.75">
      <c r="E122" s="457"/>
      <c r="F122" s="458"/>
    </row>
    <row r="123" spans="5:6" s="441" customFormat="1" ht="12.75">
      <c r="E123" s="457"/>
      <c r="F123" s="458"/>
    </row>
    <row r="124" spans="5:6" s="441" customFormat="1" ht="12.75">
      <c r="E124" s="457"/>
      <c r="F124" s="458"/>
    </row>
    <row r="125" spans="5:6" s="441" customFormat="1" ht="12.75">
      <c r="E125" s="457"/>
      <c r="F125" s="458"/>
    </row>
    <row r="126" spans="5:6" s="441" customFormat="1" ht="12.75">
      <c r="E126" s="457"/>
      <c r="F126" s="458"/>
    </row>
    <row r="127" spans="5:6" s="441" customFormat="1" ht="12.75">
      <c r="E127" s="457"/>
      <c r="F127" s="458"/>
    </row>
    <row r="128" spans="5:6" s="441" customFormat="1" ht="12.75">
      <c r="E128" s="457"/>
      <c r="F128" s="458"/>
    </row>
    <row r="129" spans="5:6" s="441" customFormat="1" ht="12.75">
      <c r="E129" s="457"/>
      <c r="F129" s="458"/>
    </row>
    <row r="130" spans="5:6" s="441" customFormat="1" ht="12.75">
      <c r="E130" s="457"/>
      <c r="F130" s="458"/>
    </row>
    <row r="131" spans="5:6" s="441" customFormat="1" ht="12.75">
      <c r="E131" s="457"/>
      <c r="F131" s="458"/>
    </row>
    <row r="132" spans="5:6" s="441" customFormat="1" ht="12.75">
      <c r="E132" s="457"/>
      <c r="F132" s="458"/>
    </row>
    <row r="133" spans="5:6" s="441" customFormat="1" ht="12.75">
      <c r="E133" s="457"/>
      <c r="F133" s="458"/>
    </row>
    <row r="134" spans="5:6" s="441" customFormat="1" ht="12.75">
      <c r="E134" s="457"/>
      <c r="F134" s="458"/>
    </row>
    <row r="135" spans="5:6" s="441" customFormat="1" ht="12.75">
      <c r="E135" s="457"/>
      <c r="F135" s="458"/>
    </row>
    <row r="136" spans="5:6" s="441" customFormat="1" ht="12.75">
      <c r="E136" s="457"/>
      <c r="F136" s="458"/>
    </row>
    <row r="137" spans="5:6" s="441" customFormat="1" ht="12.75">
      <c r="E137" s="457"/>
      <c r="F137" s="458"/>
    </row>
    <row r="138" spans="5:6" s="441" customFormat="1" ht="12.75">
      <c r="E138" s="457"/>
      <c r="F138" s="458"/>
    </row>
    <row r="139" spans="5:6" s="441" customFormat="1" ht="12.75">
      <c r="E139" s="457"/>
      <c r="F139" s="458"/>
    </row>
    <row r="140" spans="5:6" s="441" customFormat="1" ht="12.75">
      <c r="E140" s="457"/>
      <c r="F140" s="458"/>
    </row>
    <row r="141" spans="5:6" s="441" customFormat="1" ht="12.75">
      <c r="E141" s="457"/>
      <c r="F141" s="458"/>
    </row>
    <row r="142" spans="5:6" s="441" customFormat="1" ht="12.75">
      <c r="E142" s="457"/>
      <c r="F142" s="458"/>
    </row>
    <row r="143" spans="5:6" s="441" customFormat="1" ht="12.75">
      <c r="E143" s="457"/>
      <c r="F143" s="458"/>
    </row>
    <row r="144" spans="5:6" s="441" customFormat="1" ht="12.75">
      <c r="E144" s="457"/>
      <c r="F144" s="458"/>
    </row>
    <row r="145" spans="5:6" s="441" customFormat="1" ht="12.75">
      <c r="E145" s="457"/>
      <c r="F145" s="458"/>
    </row>
    <row r="146" spans="5:6" s="441" customFormat="1" ht="12.75">
      <c r="E146" s="457"/>
      <c r="F146" s="458"/>
    </row>
    <row r="147" spans="5:6" s="441" customFormat="1" ht="12.75">
      <c r="E147" s="457"/>
      <c r="F147" s="458"/>
    </row>
    <row r="148" spans="5:6" s="441" customFormat="1" ht="12.75">
      <c r="E148" s="457"/>
      <c r="F148" s="458"/>
    </row>
    <row r="149" spans="5:6" s="441" customFormat="1" ht="12.75">
      <c r="E149" s="457"/>
      <c r="F149" s="458"/>
    </row>
    <row r="150" spans="5:6" s="441" customFormat="1" ht="12.75">
      <c r="E150" s="457"/>
      <c r="F150" s="458"/>
    </row>
    <row r="151" spans="5:6" s="441" customFormat="1" ht="12.75">
      <c r="E151" s="457"/>
      <c r="F151" s="458"/>
    </row>
    <row r="152" spans="5:6" s="441" customFormat="1" ht="12.75">
      <c r="E152" s="457"/>
      <c r="F152" s="458"/>
    </row>
    <row r="153" spans="5:6" s="441" customFormat="1" ht="12.75">
      <c r="E153" s="457"/>
      <c r="F153" s="458"/>
    </row>
    <row r="154" spans="5:6" s="441" customFormat="1" ht="12.75">
      <c r="E154" s="457"/>
      <c r="F154" s="458"/>
    </row>
    <row r="155" spans="5:6" s="441" customFormat="1" ht="12.75">
      <c r="E155" s="457"/>
      <c r="F155" s="458"/>
    </row>
    <row r="156" spans="5:6" s="441" customFormat="1" ht="12.75">
      <c r="E156" s="457"/>
      <c r="F156" s="458"/>
    </row>
    <row r="157" spans="5:6" s="441" customFormat="1" ht="12.75">
      <c r="E157" s="457"/>
      <c r="F157" s="458"/>
    </row>
    <row r="158" spans="5:6" s="441" customFormat="1" ht="12.75">
      <c r="E158" s="457"/>
      <c r="F158" s="458"/>
    </row>
    <row r="159" spans="5:6" s="441" customFormat="1" ht="12.75">
      <c r="E159" s="457"/>
      <c r="F159" s="458"/>
    </row>
    <row r="160" spans="5:6" s="441" customFormat="1" ht="12.75">
      <c r="E160" s="457"/>
      <c r="F160" s="458"/>
    </row>
    <row r="161" spans="5:6" s="441" customFormat="1" ht="12.75">
      <c r="E161" s="457"/>
      <c r="F161" s="458"/>
    </row>
    <row r="162" spans="5:6" s="441" customFormat="1" ht="12.75">
      <c r="E162" s="457"/>
      <c r="F162" s="458"/>
    </row>
    <row r="163" spans="5:6" s="441" customFormat="1" ht="12.75">
      <c r="E163" s="457"/>
      <c r="F163" s="458"/>
    </row>
    <row r="164" spans="5:6" s="441" customFormat="1" ht="12.75">
      <c r="E164" s="457"/>
      <c r="F164" s="458"/>
    </row>
    <row r="165" spans="5:6" s="441" customFormat="1" ht="12.75">
      <c r="E165" s="457"/>
      <c r="F165" s="458"/>
    </row>
    <row r="166" spans="5:6" s="441" customFormat="1" ht="12.75">
      <c r="E166" s="457"/>
      <c r="F166" s="458"/>
    </row>
    <row r="167" spans="5:6" s="441" customFormat="1" ht="12.75">
      <c r="E167" s="457"/>
      <c r="F167" s="458"/>
    </row>
    <row r="168" spans="5:6" s="441" customFormat="1" ht="12.75">
      <c r="E168" s="457"/>
      <c r="F168" s="458"/>
    </row>
    <row r="169" spans="5:6" s="441" customFormat="1" ht="12.75">
      <c r="E169" s="457"/>
      <c r="F169" s="458"/>
    </row>
    <row r="170" spans="5:6" s="441" customFormat="1" ht="12.75">
      <c r="E170" s="457"/>
      <c r="F170" s="458"/>
    </row>
    <row r="171" spans="5:6" s="441" customFormat="1" ht="12.75">
      <c r="E171" s="457"/>
      <c r="F171" s="458"/>
    </row>
    <row r="172" spans="5:6" s="441" customFormat="1" ht="12.75">
      <c r="E172" s="457"/>
      <c r="F172" s="458"/>
    </row>
    <row r="173" spans="5:6" s="441" customFormat="1" ht="12.75">
      <c r="E173" s="457"/>
      <c r="F173" s="458"/>
    </row>
    <row r="174" spans="5:6" s="441" customFormat="1" ht="12.75">
      <c r="E174" s="457"/>
      <c r="F174" s="458"/>
    </row>
    <row r="175" spans="5:6" s="441" customFormat="1" ht="12.75">
      <c r="E175" s="457"/>
      <c r="F175" s="458"/>
    </row>
    <row r="176" spans="5:6" s="441" customFormat="1" ht="12.75">
      <c r="E176" s="457"/>
      <c r="F176" s="458"/>
    </row>
    <row r="177" spans="5:6" s="441" customFormat="1" ht="12.75">
      <c r="E177" s="457"/>
      <c r="F177" s="458"/>
    </row>
    <row r="178" spans="5:6" s="441" customFormat="1" ht="12.75">
      <c r="E178" s="457"/>
      <c r="F178" s="458"/>
    </row>
    <row r="179" spans="5:6" s="441" customFormat="1" ht="12.75">
      <c r="E179" s="457"/>
      <c r="F179" s="458"/>
    </row>
    <row r="180" spans="5:6" s="441" customFormat="1" ht="12.75">
      <c r="E180" s="457"/>
      <c r="F180" s="458"/>
    </row>
    <row r="181" spans="5:6" s="441" customFormat="1" ht="12.75">
      <c r="E181" s="457"/>
      <c r="F181" s="458"/>
    </row>
    <row r="182" spans="5:6" s="441" customFormat="1" ht="12.75">
      <c r="E182" s="457"/>
      <c r="F182" s="458"/>
    </row>
    <row r="183" spans="5:6" s="441" customFormat="1" ht="12.75">
      <c r="E183" s="457"/>
      <c r="F183" s="458"/>
    </row>
    <row r="184" spans="5:6" s="441" customFormat="1" ht="12.75">
      <c r="E184" s="457"/>
      <c r="F184" s="458"/>
    </row>
    <row r="185" spans="5:6" s="441" customFormat="1" ht="12.75">
      <c r="E185" s="457"/>
      <c r="F185" s="458"/>
    </row>
    <row r="186" spans="5:6" s="441" customFormat="1" ht="12.75">
      <c r="E186" s="457"/>
      <c r="F186" s="458"/>
    </row>
    <row r="187" spans="5:6" s="441" customFormat="1" ht="12.75">
      <c r="E187" s="457"/>
      <c r="F187" s="458"/>
    </row>
    <row r="188" spans="5:6" s="441" customFormat="1" ht="12.75">
      <c r="E188" s="457"/>
      <c r="F188" s="458"/>
    </row>
    <row r="189" spans="5:6" s="441" customFormat="1" ht="12.75">
      <c r="E189" s="457"/>
      <c r="F189" s="458"/>
    </row>
    <row r="190" spans="5:6" s="441" customFormat="1" ht="12.75">
      <c r="E190" s="457"/>
      <c r="F190" s="458"/>
    </row>
    <row r="191" spans="5:6" s="441" customFormat="1" ht="12.75">
      <c r="E191" s="457"/>
      <c r="F191" s="458"/>
    </row>
    <row r="192" spans="5:6" s="441" customFormat="1" ht="12.75">
      <c r="E192" s="457"/>
      <c r="F192" s="458"/>
    </row>
    <row r="193" spans="5:6" s="441" customFormat="1" ht="12.75">
      <c r="E193" s="457"/>
      <c r="F193" s="458"/>
    </row>
    <row r="194" spans="5:6" s="441" customFormat="1" ht="12.75">
      <c r="E194" s="457"/>
      <c r="F194" s="458"/>
    </row>
    <row r="195" spans="5:6" s="441" customFormat="1" ht="12.75">
      <c r="E195" s="457"/>
      <c r="F195" s="458"/>
    </row>
    <row r="196" spans="5:6" s="441" customFormat="1" ht="12.75">
      <c r="E196" s="457"/>
      <c r="F196" s="458"/>
    </row>
    <row r="197" spans="5:6" s="441" customFormat="1" ht="12.75">
      <c r="E197" s="457"/>
      <c r="F197" s="458"/>
    </row>
    <row r="198" spans="5:6" s="441" customFormat="1" ht="12.75">
      <c r="E198" s="457"/>
      <c r="F198" s="458"/>
    </row>
    <row r="199" spans="5:6" s="441" customFormat="1" ht="12.75">
      <c r="E199" s="457"/>
      <c r="F199" s="458"/>
    </row>
    <row r="200" spans="5:6" s="441" customFormat="1" ht="12.75">
      <c r="E200" s="457"/>
      <c r="F200" s="458"/>
    </row>
    <row r="201" spans="5:6" s="441" customFormat="1" ht="12.75">
      <c r="E201" s="457"/>
      <c r="F201" s="458"/>
    </row>
    <row r="202" spans="5:6" s="441" customFormat="1" ht="12.75">
      <c r="E202" s="457"/>
      <c r="F202" s="458"/>
    </row>
    <row r="203" spans="5:6" s="441" customFormat="1" ht="12.75">
      <c r="E203" s="457"/>
      <c r="F203" s="458"/>
    </row>
    <row r="204" spans="5:6" s="441" customFormat="1" ht="12.75">
      <c r="E204" s="457"/>
      <c r="F204" s="458"/>
    </row>
    <row r="205" spans="5:6" s="441" customFormat="1" ht="12.75">
      <c r="E205" s="457"/>
      <c r="F205" s="458"/>
    </row>
    <row r="206" spans="5:6" s="441" customFormat="1" ht="12.75">
      <c r="E206" s="457"/>
      <c r="F206" s="458"/>
    </row>
    <row r="207" spans="5:6" s="441" customFormat="1" ht="12.75">
      <c r="E207" s="457"/>
      <c r="F207" s="458"/>
    </row>
    <row r="208" spans="5:6" s="441" customFormat="1" ht="12.75">
      <c r="E208" s="457"/>
      <c r="F208" s="458"/>
    </row>
    <row r="209" spans="5:6" s="441" customFormat="1" ht="12.75">
      <c r="E209" s="457"/>
      <c r="F209" s="458"/>
    </row>
    <row r="210" spans="5:6" s="441" customFormat="1" ht="12.75">
      <c r="E210" s="457"/>
      <c r="F210" s="458"/>
    </row>
    <row r="211" spans="5:6" s="441" customFormat="1" ht="12.75">
      <c r="E211" s="457"/>
      <c r="F211" s="458"/>
    </row>
    <row r="212" spans="5:6" s="441" customFormat="1" ht="12.75">
      <c r="E212" s="457"/>
      <c r="F212" s="458"/>
    </row>
    <row r="213" spans="5:6" s="441" customFormat="1" ht="12.75">
      <c r="E213" s="457"/>
      <c r="F213" s="458"/>
    </row>
    <row r="214" spans="5:6" s="441" customFormat="1" ht="12.75">
      <c r="E214" s="457"/>
      <c r="F214" s="458"/>
    </row>
    <row r="215" spans="5:6" s="441" customFormat="1" ht="12.75">
      <c r="E215" s="457"/>
      <c r="F215" s="458"/>
    </row>
    <row r="216" spans="5:6" s="441" customFormat="1" ht="12.75">
      <c r="E216" s="457"/>
      <c r="F216" s="458"/>
    </row>
    <row r="217" spans="5:6" s="441" customFormat="1" ht="12.75">
      <c r="E217" s="457"/>
      <c r="F217" s="458"/>
    </row>
    <row r="218" spans="5:6" s="441" customFormat="1" ht="12.75">
      <c r="E218" s="457"/>
      <c r="F218" s="458"/>
    </row>
    <row r="219" spans="5:6" s="441" customFormat="1" ht="12.75">
      <c r="E219" s="457"/>
      <c r="F219" s="458"/>
    </row>
    <row r="220" spans="5:6" s="441" customFormat="1" ht="12.75">
      <c r="E220" s="457"/>
      <c r="F220" s="458"/>
    </row>
    <row r="221" spans="5:6" s="441" customFormat="1" ht="12.75">
      <c r="E221" s="457"/>
      <c r="F221" s="458"/>
    </row>
    <row r="222" spans="5:6" s="441" customFormat="1" ht="12.75">
      <c r="E222" s="457"/>
      <c r="F222" s="458"/>
    </row>
    <row r="223" spans="5:6" s="441" customFormat="1" ht="12.75">
      <c r="E223" s="457"/>
      <c r="F223" s="458"/>
    </row>
    <row r="224" spans="5:6" s="441" customFormat="1" ht="12.75">
      <c r="E224" s="457"/>
      <c r="F224" s="458"/>
    </row>
    <row r="225" spans="5:6" s="441" customFormat="1" ht="12.75">
      <c r="E225" s="457"/>
      <c r="F225" s="458"/>
    </row>
    <row r="226" spans="5:6" s="441" customFormat="1" ht="12.75">
      <c r="E226" s="457"/>
      <c r="F226" s="458"/>
    </row>
    <row r="227" spans="5:6" s="441" customFormat="1" ht="12.75">
      <c r="E227" s="457"/>
      <c r="F227" s="458"/>
    </row>
    <row r="228" spans="5:6" s="441" customFormat="1" ht="12.75">
      <c r="E228" s="457"/>
      <c r="F228" s="458"/>
    </row>
    <row r="229" spans="5:6" s="441" customFormat="1" ht="12.75">
      <c r="E229" s="457"/>
      <c r="F229" s="458"/>
    </row>
    <row r="230" spans="5:6" s="441" customFormat="1" ht="12.75">
      <c r="E230" s="457"/>
      <c r="F230" s="458"/>
    </row>
    <row r="231" spans="5:6" s="441" customFormat="1" ht="12.75">
      <c r="E231" s="457"/>
      <c r="F231" s="458"/>
    </row>
    <row r="232" spans="5:6" s="441" customFormat="1" ht="12.75">
      <c r="E232" s="457"/>
      <c r="F232" s="458"/>
    </row>
    <row r="233" spans="5:6" s="441" customFormat="1" ht="12.75">
      <c r="E233" s="457"/>
      <c r="F233" s="458"/>
    </row>
    <row r="234" spans="5:6" s="441" customFormat="1" ht="12.75">
      <c r="E234" s="457"/>
      <c r="F234" s="458"/>
    </row>
    <row r="235" spans="5:6" s="441" customFormat="1" ht="12.75">
      <c r="E235" s="457"/>
      <c r="F235" s="458"/>
    </row>
    <row r="236" spans="5:6" s="441" customFormat="1" ht="12.75">
      <c r="E236" s="457"/>
      <c r="F236" s="458"/>
    </row>
    <row r="237" spans="5:6" s="441" customFormat="1" ht="12.75">
      <c r="E237" s="457"/>
      <c r="F237" s="458"/>
    </row>
    <row r="238" spans="5:6" s="441" customFormat="1" ht="12.75">
      <c r="E238" s="457"/>
      <c r="F238" s="458"/>
    </row>
    <row r="239" spans="5:6" s="441" customFormat="1" ht="12.75">
      <c r="E239" s="457"/>
      <c r="F239" s="458"/>
    </row>
    <row r="240" spans="5:6" s="441" customFormat="1" ht="12.75">
      <c r="E240" s="457"/>
      <c r="F240" s="458"/>
    </row>
    <row r="241" spans="5:6" s="441" customFormat="1" ht="12.75">
      <c r="E241" s="457"/>
      <c r="F241" s="458"/>
    </row>
    <row r="242" spans="5:6" s="441" customFormat="1" ht="12.75">
      <c r="E242" s="457"/>
      <c r="F242" s="458"/>
    </row>
    <row r="243" spans="5:6" s="441" customFormat="1" ht="12.75">
      <c r="E243" s="457"/>
      <c r="F243" s="458"/>
    </row>
    <row r="244" spans="5:6" s="441" customFormat="1" ht="12.75">
      <c r="E244" s="457"/>
      <c r="F244" s="458"/>
    </row>
    <row r="245" spans="5:6" s="441" customFormat="1" ht="12.75">
      <c r="E245" s="457"/>
      <c r="F245" s="458"/>
    </row>
    <row r="246" spans="5:6" s="441" customFormat="1" ht="12.75">
      <c r="E246" s="457"/>
      <c r="F246" s="458"/>
    </row>
    <row r="247" spans="5:6" s="441" customFormat="1" ht="12.75">
      <c r="E247" s="457"/>
      <c r="F247" s="458"/>
    </row>
    <row r="248" spans="5:6" s="441" customFormat="1" ht="12.75">
      <c r="E248" s="457"/>
      <c r="F248" s="458"/>
    </row>
    <row r="249" spans="5:6" s="441" customFormat="1" ht="12.75">
      <c r="E249" s="457"/>
      <c r="F249" s="458"/>
    </row>
    <row r="250" spans="5:6" s="441" customFormat="1" ht="12.75">
      <c r="E250" s="457"/>
      <c r="F250" s="458"/>
    </row>
    <row r="251" spans="5:6" s="441" customFormat="1" ht="12.75">
      <c r="E251" s="457"/>
      <c r="F251" s="458"/>
    </row>
    <row r="252" spans="5:6" s="441" customFormat="1" ht="12.75">
      <c r="E252" s="457"/>
      <c r="F252" s="458"/>
    </row>
    <row r="253" spans="5:6" s="441" customFormat="1" ht="12.75">
      <c r="E253" s="457"/>
      <c r="F253" s="458"/>
    </row>
    <row r="254" spans="5:6" s="441" customFormat="1" ht="12.75">
      <c r="E254" s="457"/>
      <c r="F254" s="458"/>
    </row>
    <row r="255" spans="5:6" s="441" customFormat="1" ht="12.75">
      <c r="E255" s="457"/>
      <c r="F255" s="458"/>
    </row>
    <row r="256" spans="5:6" s="441" customFormat="1" ht="12.75">
      <c r="E256" s="457"/>
      <c r="F256" s="458"/>
    </row>
    <row r="257" spans="5:6" s="441" customFormat="1" ht="12.75">
      <c r="E257" s="457"/>
      <c r="F257" s="458"/>
    </row>
    <row r="258" spans="5:6" s="441" customFormat="1" ht="12.75">
      <c r="E258" s="457"/>
      <c r="F258" s="458"/>
    </row>
    <row r="259" spans="5:6" s="441" customFormat="1" ht="12.75">
      <c r="E259" s="457"/>
      <c r="F259" s="458"/>
    </row>
    <row r="260" spans="5:6" s="441" customFormat="1" ht="12.75">
      <c r="E260" s="457"/>
      <c r="F260" s="458"/>
    </row>
    <row r="261" spans="5:6" s="441" customFormat="1" ht="12.75">
      <c r="E261" s="457"/>
      <c r="F261" s="458"/>
    </row>
    <row r="262" spans="5:6" s="441" customFormat="1" ht="12.75">
      <c r="E262" s="457"/>
      <c r="F262" s="458"/>
    </row>
    <row r="263" spans="5:6" s="441" customFormat="1" ht="12.75">
      <c r="E263" s="457"/>
      <c r="F263" s="458"/>
    </row>
    <row r="264" spans="5:6" s="441" customFormat="1" ht="12.75">
      <c r="E264" s="457"/>
      <c r="F264" s="458"/>
    </row>
    <row r="265" spans="5:6" s="441" customFormat="1" ht="12.75">
      <c r="E265" s="457"/>
      <c r="F265" s="458"/>
    </row>
    <row r="266" spans="5:6" s="441" customFormat="1" ht="12.75">
      <c r="E266" s="457"/>
      <c r="F266" s="458"/>
    </row>
    <row r="267" spans="5:6" s="441" customFormat="1" ht="12.75">
      <c r="E267" s="457"/>
      <c r="F267" s="458"/>
    </row>
    <row r="268" spans="5:6" s="441" customFormat="1" ht="12.75">
      <c r="E268" s="457"/>
      <c r="F268" s="458"/>
    </row>
    <row r="269" spans="5:6" s="441" customFormat="1" ht="12.75">
      <c r="E269" s="457"/>
      <c r="F269" s="458"/>
    </row>
    <row r="270" spans="5:6" s="441" customFormat="1" ht="12.75">
      <c r="E270" s="457"/>
      <c r="F270" s="458"/>
    </row>
    <row r="271" spans="5:6" s="441" customFormat="1" ht="12.75">
      <c r="E271" s="457"/>
      <c r="F271" s="458"/>
    </row>
    <row r="272" spans="5:6" s="441" customFormat="1" ht="12.75">
      <c r="E272" s="457"/>
      <c r="F272" s="458"/>
    </row>
    <row r="273" spans="5:6" s="441" customFormat="1" ht="12.75">
      <c r="E273" s="457"/>
      <c r="F273" s="458"/>
    </row>
    <row r="274" spans="5:6" s="441" customFormat="1" ht="12.75">
      <c r="E274" s="457"/>
      <c r="F274" s="458"/>
    </row>
    <row r="275" spans="5:6" s="441" customFormat="1" ht="12.75">
      <c r="E275" s="457"/>
      <c r="F275" s="458"/>
    </row>
    <row r="276" spans="5:6" s="441" customFormat="1" ht="12.75">
      <c r="E276" s="457"/>
      <c r="F276" s="458"/>
    </row>
    <row r="277" spans="5:6" s="441" customFormat="1" ht="12.75">
      <c r="E277" s="457"/>
      <c r="F277" s="458"/>
    </row>
    <row r="278" spans="5:6" s="441" customFormat="1" ht="12.75">
      <c r="E278" s="457"/>
      <c r="F278" s="458"/>
    </row>
    <row r="279" spans="5:6" s="441" customFormat="1" ht="12.75">
      <c r="E279" s="457"/>
      <c r="F279" s="458"/>
    </row>
    <row r="280" spans="5:6" s="441" customFormat="1" ht="12.75">
      <c r="E280" s="457"/>
      <c r="F280" s="458"/>
    </row>
    <row r="281" spans="5:6" s="441" customFormat="1" ht="12.75">
      <c r="E281" s="457"/>
      <c r="F281" s="458"/>
    </row>
    <row r="282" spans="5:6" s="441" customFormat="1" ht="12.75">
      <c r="E282" s="457"/>
      <c r="F282" s="458"/>
    </row>
    <row r="283" spans="5:6" s="441" customFormat="1" ht="12.75">
      <c r="E283" s="457"/>
      <c r="F283" s="458"/>
    </row>
    <row r="284" spans="5:6" s="441" customFormat="1" ht="12.75">
      <c r="E284" s="457"/>
      <c r="F284" s="458"/>
    </row>
    <row r="285" spans="5:6" s="441" customFormat="1" ht="12.75">
      <c r="E285" s="457"/>
      <c r="F285" s="458"/>
    </row>
    <row r="286" spans="5:6" s="441" customFormat="1" ht="12.75">
      <c r="E286" s="457"/>
      <c r="F286" s="458"/>
    </row>
    <row r="287" spans="5:6" s="441" customFormat="1" ht="12.75">
      <c r="E287" s="457"/>
      <c r="F287" s="458"/>
    </row>
    <row r="288" spans="5:6" s="441" customFormat="1" ht="12.75">
      <c r="E288" s="457"/>
      <c r="F288" s="458"/>
    </row>
    <row r="289" spans="5:6" s="441" customFormat="1" ht="12.75">
      <c r="E289" s="457"/>
      <c r="F289" s="458"/>
    </row>
    <row r="290" spans="5:6" s="441" customFormat="1" ht="12.75">
      <c r="E290" s="457"/>
      <c r="F290" s="458"/>
    </row>
    <row r="291" spans="5:6" s="441" customFormat="1" ht="12.75">
      <c r="E291" s="457"/>
      <c r="F291" s="458"/>
    </row>
    <row r="292" spans="5:6" s="441" customFormat="1" ht="12.75">
      <c r="E292" s="457"/>
      <c r="F292" s="458"/>
    </row>
    <row r="293" spans="5:6" s="441" customFormat="1" ht="12.75">
      <c r="E293" s="457"/>
      <c r="F293" s="458"/>
    </row>
    <row r="294" spans="5:6" s="441" customFormat="1" ht="12.75">
      <c r="E294" s="457"/>
      <c r="F294" s="458"/>
    </row>
    <row r="295" spans="5:6" s="441" customFormat="1" ht="12.75">
      <c r="E295" s="457"/>
      <c r="F295" s="458"/>
    </row>
    <row r="296" spans="5:6" s="441" customFormat="1" ht="12.75">
      <c r="E296" s="457"/>
      <c r="F296" s="458"/>
    </row>
    <row r="297" spans="5:6" s="441" customFormat="1" ht="12.75">
      <c r="E297" s="457"/>
      <c r="F297" s="458"/>
    </row>
    <row r="298" spans="5:6" s="441" customFormat="1" ht="12.75">
      <c r="E298" s="457"/>
      <c r="F298" s="458"/>
    </row>
    <row r="299" spans="5:6" s="441" customFormat="1" ht="12.75">
      <c r="E299" s="457"/>
      <c r="F299" s="458"/>
    </row>
    <row r="300" spans="5:6" s="441" customFormat="1" ht="12.75">
      <c r="E300" s="457"/>
      <c r="F300" s="458"/>
    </row>
    <row r="301" spans="5:6" s="441" customFormat="1" ht="12.75">
      <c r="E301" s="457"/>
      <c r="F301" s="458"/>
    </row>
    <row r="302" spans="5:6" s="441" customFormat="1" ht="12.75">
      <c r="E302" s="457"/>
      <c r="F302" s="458"/>
    </row>
    <row r="303" spans="5:6" s="441" customFormat="1" ht="12.75">
      <c r="E303" s="457"/>
      <c r="F303" s="458"/>
    </row>
    <row r="304" spans="5:6" s="441" customFormat="1" ht="12.75">
      <c r="E304" s="457"/>
      <c r="F304" s="458"/>
    </row>
    <row r="305" spans="5:6" s="441" customFormat="1" ht="12.75">
      <c r="E305" s="457"/>
      <c r="F305" s="458"/>
    </row>
    <row r="306" spans="5:6" s="441" customFormat="1" ht="12.75">
      <c r="E306" s="457"/>
      <c r="F306" s="458"/>
    </row>
    <row r="307" spans="5:6" s="441" customFormat="1" ht="12.75">
      <c r="E307" s="457"/>
      <c r="F307" s="458"/>
    </row>
    <row r="308" spans="5:6" s="441" customFormat="1" ht="12.75">
      <c r="E308" s="457"/>
      <c r="F308" s="458"/>
    </row>
    <row r="309" spans="5:6" s="441" customFormat="1" ht="12.75">
      <c r="E309" s="457"/>
      <c r="F309" s="458"/>
    </row>
    <row r="310" spans="5:6" s="441" customFormat="1" ht="12.75">
      <c r="E310" s="457"/>
      <c r="F310" s="458"/>
    </row>
    <row r="311" spans="5:6" s="441" customFormat="1" ht="12.75">
      <c r="E311" s="457"/>
      <c r="F311" s="458"/>
    </row>
    <row r="312" spans="5:6" s="441" customFormat="1" ht="12.75">
      <c r="E312" s="457"/>
      <c r="F312" s="458"/>
    </row>
    <row r="313" spans="5:6" s="441" customFormat="1" ht="12.75">
      <c r="E313" s="457"/>
      <c r="F313" s="458"/>
    </row>
    <row r="314" spans="5:6" s="441" customFormat="1" ht="12.75">
      <c r="E314" s="457"/>
      <c r="F314" s="458"/>
    </row>
    <row r="315" spans="5:6" s="441" customFormat="1" ht="12.75">
      <c r="E315" s="457"/>
      <c r="F315" s="458"/>
    </row>
    <row r="316" spans="5:6" s="441" customFormat="1" ht="12.75">
      <c r="E316" s="457"/>
      <c r="F316" s="458"/>
    </row>
    <row r="317" spans="5:6" s="441" customFormat="1" ht="12.75">
      <c r="E317" s="457"/>
      <c r="F317" s="458"/>
    </row>
    <row r="318" spans="5:6" s="441" customFormat="1" ht="12.75">
      <c r="E318" s="457"/>
      <c r="F318" s="458"/>
    </row>
    <row r="319" spans="5:6" s="441" customFormat="1" ht="12.75">
      <c r="E319" s="457"/>
      <c r="F319" s="458"/>
    </row>
    <row r="320" spans="5:6" s="441" customFormat="1" ht="12.75">
      <c r="E320" s="457"/>
      <c r="F320" s="458"/>
    </row>
    <row r="321" spans="5:6" s="441" customFormat="1" ht="12.75">
      <c r="E321" s="457"/>
      <c r="F321" s="458"/>
    </row>
    <row r="322" spans="5:6" s="441" customFormat="1" ht="12.75">
      <c r="E322" s="457"/>
      <c r="F322" s="458"/>
    </row>
    <row r="323" spans="5:6" s="441" customFormat="1" ht="12.75">
      <c r="E323" s="457"/>
      <c r="F323" s="458"/>
    </row>
    <row r="324" spans="5:6" s="441" customFormat="1" ht="12.75">
      <c r="E324" s="457"/>
      <c r="F324" s="458"/>
    </row>
    <row r="325" spans="5:6" s="441" customFormat="1" ht="12.75">
      <c r="E325" s="457"/>
      <c r="F325" s="458"/>
    </row>
    <row r="326" spans="5:6" s="441" customFormat="1" ht="12.75">
      <c r="E326" s="457"/>
      <c r="F326" s="458"/>
    </row>
    <row r="327" spans="5:6" s="441" customFormat="1" ht="12.75">
      <c r="E327" s="457"/>
      <c r="F327" s="458"/>
    </row>
    <row r="328" spans="5:6" s="441" customFormat="1" ht="12.75">
      <c r="E328" s="457"/>
      <c r="F328" s="458"/>
    </row>
    <row r="329" spans="5:6" s="441" customFormat="1" ht="12.75">
      <c r="E329" s="457"/>
      <c r="F329" s="458"/>
    </row>
    <row r="330" spans="5:6" s="441" customFormat="1" ht="12.75">
      <c r="E330" s="457"/>
      <c r="F330" s="458"/>
    </row>
    <row r="331" spans="5:6" s="441" customFormat="1" ht="12.75">
      <c r="E331" s="457"/>
      <c r="F331" s="458"/>
    </row>
    <row r="332" spans="5:6" s="441" customFormat="1" ht="12.75">
      <c r="E332" s="457"/>
      <c r="F332" s="458"/>
    </row>
    <row r="333" spans="5:6" s="441" customFormat="1" ht="12.75">
      <c r="E333" s="457"/>
      <c r="F333" s="458"/>
    </row>
    <row r="334" spans="5:6" s="441" customFormat="1" ht="12.75">
      <c r="E334" s="457"/>
      <c r="F334" s="458"/>
    </row>
    <row r="335" spans="5:6" s="441" customFormat="1" ht="12.75">
      <c r="E335" s="457"/>
      <c r="F335" s="458"/>
    </row>
    <row r="336" spans="5:6" s="441" customFormat="1" ht="12.75">
      <c r="E336" s="457"/>
      <c r="F336" s="458"/>
    </row>
    <row r="337" spans="5:6" s="441" customFormat="1" ht="12.75">
      <c r="E337" s="457"/>
      <c r="F337" s="458"/>
    </row>
    <row r="338" spans="5:6" s="441" customFormat="1" ht="12.75">
      <c r="E338" s="457"/>
      <c r="F338" s="458"/>
    </row>
    <row r="339" spans="5:6" s="441" customFormat="1" ht="12.75">
      <c r="E339" s="457"/>
      <c r="F339" s="458"/>
    </row>
    <row r="340" spans="5:6" s="441" customFormat="1" ht="12.75">
      <c r="E340" s="457"/>
      <c r="F340" s="458"/>
    </row>
    <row r="341" spans="5:6" s="441" customFormat="1" ht="12.75">
      <c r="E341" s="457"/>
      <c r="F341" s="458"/>
    </row>
    <row r="342" spans="5:6" s="441" customFormat="1" ht="12.75">
      <c r="E342" s="457"/>
      <c r="F342" s="458"/>
    </row>
    <row r="343" spans="5:6" s="441" customFormat="1" ht="12.75">
      <c r="E343" s="457"/>
      <c r="F343" s="458"/>
    </row>
    <row r="344" spans="5:6" s="441" customFormat="1" ht="12.75">
      <c r="E344" s="457"/>
      <c r="F344" s="458"/>
    </row>
    <row r="345" spans="5:6" s="441" customFormat="1" ht="12.75">
      <c r="E345" s="457"/>
      <c r="F345" s="458"/>
    </row>
    <row r="346" spans="5:6" s="441" customFormat="1" ht="12.75">
      <c r="E346" s="457"/>
      <c r="F346" s="458"/>
    </row>
    <row r="347" spans="5:6" s="441" customFormat="1" ht="12.75">
      <c r="E347" s="457"/>
      <c r="F347" s="458"/>
    </row>
    <row r="348" spans="5:6" s="441" customFormat="1" ht="12.75">
      <c r="E348" s="457"/>
      <c r="F348" s="458"/>
    </row>
    <row r="349" spans="5:6" s="441" customFormat="1" ht="12.75">
      <c r="E349" s="457"/>
      <c r="F349" s="458"/>
    </row>
    <row r="350" spans="5:6" s="441" customFormat="1" ht="12.75">
      <c r="E350" s="457"/>
      <c r="F350" s="458"/>
    </row>
    <row r="351" spans="5:6" s="441" customFormat="1" ht="12.75">
      <c r="E351" s="457"/>
      <c r="F351" s="458"/>
    </row>
    <row r="352" spans="5:6" s="441" customFormat="1" ht="12.75">
      <c r="E352" s="457"/>
      <c r="F352" s="458"/>
    </row>
    <row r="353" spans="5:6" s="441" customFormat="1" ht="12.75">
      <c r="E353" s="457"/>
      <c r="F353" s="458"/>
    </row>
    <row r="354" spans="5:6" s="441" customFormat="1" ht="12.75">
      <c r="E354" s="457"/>
      <c r="F354" s="458"/>
    </row>
    <row r="355" spans="5:6" s="441" customFormat="1" ht="12.75">
      <c r="E355" s="457"/>
      <c r="F355" s="458"/>
    </row>
    <row r="356" spans="5:6" s="441" customFormat="1" ht="12.75">
      <c r="E356" s="457"/>
      <c r="F356" s="458"/>
    </row>
    <row r="357" spans="5:6" s="441" customFormat="1" ht="12.75">
      <c r="E357" s="457"/>
      <c r="F357" s="458"/>
    </row>
    <row r="358" spans="5:6" s="441" customFormat="1" ht="12.75">
      <c r="E358" s="457"/>
      <c r="F358" s="458"/>
    </row>
    <row r="359" spans="5:6" s="441" customFormat="1" ht="12.75">
      <c r="E359" s="457"/>
      <c r="F359" s="458"/>
    </row>
    <row r="360" spans="5:6" s="441" customFormat="1" ht="12.75">
      <c r="E360" s="457"/>
      <c r="F360" s="458"/>
    </row>
    <row r="361" spans="5:6" s="441" customFormat="1" ht="12.75">
      <c r="E361" s="457"/>
      <c r="F361" s="458"/>
    </row>
    <row r="362" spans="5:6" s="441" customFormat="1" ht="12.75">
      <c r="E362" s="457"/>
      <c r="F362" s="458"/>
    </row>
    <row r="363" spans="5:6" s="441" customFormat="1" ht="12.75">
      <c r="E363" s="457"/>
      <c r="F363" s="458"/>
    </row>
    <row r="364" spans="5:6" s="441" customFormat="1" ht="12.75">
      <c r="E364" s="457"/>
      <c r="F364" s="458"/>
    </row>
    <row r="365" spans="5:6" s="441" customFormat="1" ht="12.75">
      <c r="E365" s="457"/>
      <c r="F365" s="458"/>
    </row>
    <row r="366" spans="5:6" s="441" customFormat="1" ht="12.75">
      <c r="E366" s="457"/>
      <c r="F366" s="458"/>
    </row>
    <row r="367" spans="5:6" s="441" customFormat="1" ht="12.75">
      <c r="E367" s="457"/>
      <c r="F367" s="458"/>
    </row>
    <row r="368" spans="5:6" s="441" customFormat="1" ht="12.75">
      <c r="E368" s="457"/>
      <c r="F368" s="458"/>
    </row>
    <row r="369" spans="5:6" s="441" customFormat="1" ht="12.75">
      <c r="E369" s="457"/>
      <c r="F369" s="458"/>
    </row>
    <row r="370" spans="5:6" s="441" customFormat="1" ht="12.75">
      <c r="E370" s="457"/>
      <c r="F370" s="458"/>
    </row>
    <row r="371" spans="5:6" s="441" customFormat="1" ht="12.75">
      <c r="E371" s="457"/>
      <c r="F371" s="458"/>
    </row>
    <row r="372" spans="5:6" s="441" customFormat="1" ht="12.75">
      <c r="E372" s="457"/>
      <c r="F372" s="458"/>
    </row>
    <row r="373" spans="5:6" s="441" customFormat="1" ht="12.75">
      <c r="E373" s="457"/>
      <c r="F373" s="458"/>
    </row>
    <row r="374" spans="5:6" s="441" customFormat="1" ht="12.75">
      <c r="E374" s="457"/>
      <c r="F374" s="458"/>
    </row>
    <row r="375" spans="5:6" s="441" customFormat="1" ht="12.75">
      <c r="E375" s="457"/>
      <c r="F375" s="458"/>
    </row>
    <row r="376" spans="5:6" s="441" customFormat="1" ht="12.75">
      <c r="E376" s="457"/>
      <c r="F376" s="458"/>
    </row>
    <row r="377" spans="5:6" s="441" customFormat="1" ht="12.75">
      <c r="E377" s="457"/>
      <c r="F377" s="458"/>
    </row>
    <row r="378" spans="5:6" s="441" customFormat="1" ht="12.75">
      <c r="E378" s="457"/>
      <c r="F378" s="458"/>
    </row>
    <row r="379" spans="5:6" s="441" customFormat="1" ht="12.75">
      <c r="E379" s="457"/>
      <c r="F379" s="458"/>
    </row>
    <row r="380" spans="5:6" s="441" customFormat="1" ht="12.75">
      <c r="E380" s="457"/>
      <c r="F380" s="458"/>
    </row>
    <row r="381" spans="5:6" s="441" customFormat="1" ht="12.75">
      <c r="E381" s="457"/>
      <c r="F381" s="458"/>
    </row>
    <row r="382" spans="5:6" s="441" customFormat="1" ht="12.75">
      <c r="E382" s="457"/>
      <c r="F382" s="458"/>
    </row>
    <row r="383" spans="5:6" s="441" customFormat="1" ht="12.75">
      <c r="E383" s="457"/>
      <c r="F383" s="458"/>
    </row>
    <row r="384" spans="5:6" s="441" customFormat="1" ht="12.75">
      <c r="E384" s="457"/>
      <c r="F384" s="458"/>
    </row>
    <row r="385" spans="5:6" s="441" customFormat="1" ht="12.75">
      <c r="E385" s="457"/>
      <c r="F385" s="458"/>
    </row>
    <row r="386" spans="5:6" s="441" customFormat="1" ht="12.75">
      <c r="E386" s="457"/>
      <c r="F386" s="458"/>
    </row>
    <row r="387" spans="5:6" s="441" customFormat="1" ht="12.75">
      <c r="E387" s="457"/>
      <c r="F387" s="458"/>
    </row>
    <row r="388" spans="5:6" s="441" customFormat="1" ht="12.75">
      <c r="E388" s="457"/>
      <c r="F388" s="458"/>
    </row>
    <row r="389" spans="5:6" s="441" customFormat="1" ht="12.75">
      <c r="E389" s="457"/>
      <c r="F389" s="458"/>
    </row>
    <row r="390" spans="5:6" s="441" customFormat="1" ht="12.75">
      <c r="E390" s="457"/>
      <c r="F390" s="458"/>
    </row>
    <row r="391" spans="5:6" s="441" customFormat="1" ht="12.75">
      <c r="E391" s="457"/>
      <c r="F391" s="458"/>
    </row>
    <row r="392" spans="5:6" s="441" customFormat="1" ht="12.75">
      <c r="E392" s="457"/>
      <c r="F392" s="458"/>
    </row>
    <row r="393" spans="5:6" s="441" customFormat="1" ht="12.75">
      <c r="E393" s="457"/>
      <c r="F393" s="458"/>
    </row>
    <row r="394" spans="5:6" s="441" customFormat="1" ht="12.75">
      <c r="E394" s="457"/>
      <c r="F394" s="458"/>
    </row>
    <row r="395" spans="5:6" s="441" customFormat="1" ht="12.75">
      <c r="E395" s="457"/>
      <c r="F395" s="458"/>
    </row>
    <row r="396" spans="5:6" s="441" customFormat="1" ht="12.75">
      <c r="E396" s="457"/>
      <c r="F396" s="458"/>
    </row>
    <row r="397" spans="5:6" s="441" customFormat="1" ht="12.75">
      <c r="E397" s="457"/>
      <c r="F397" s="458"/>
    </row>
    <row r="398" spans="5:6" s="441" customFormat="1" ht="12.75">
      <c r="E398" s="457"/>
      <c r="F398" s="458"/>
    </row>
    <row r="399" spans="5:6" s="441" customFormat="1" ht="12.75">
      <c r="E399" s="457"/>
      <c r="F399" s="458"/>
    </row>
    <row r="400" spans="5:6" s="441" customFormat="1" ht="12.75">
      <c r="E400" s="457"/>
      <c r="F400" s="458"/>
    </row>
    <row r="401" spans="5:6" s="441" customFormat="1" ht="12.75">
      <c r="E401" s="457"/>
      <c r="F401" s="458"/>
    </row>
    <row r="402" spans="5:6" s="441" customFormat="1" ht="12.75">
      <c r="E402" s="457"/>
      <c r="F402" s="458"/>
    </row>
    <row r="403" spans="5:6" s="441" customFormat="1" ht="12.75">
      <c r="E403" s="457"/>
      <c r="F403" s="458"/>
    </row>
    <row r="404" spans="5:6" s="441" customFormat="1" ht="12.75">
      <c r="E404" s="457"/>
      <c r="F404" s="458"/>
    </row>
    <row r="405" spans="5:6" s="441" customFormat="1" ht="12.75">
      <c r="E405" s="457"/>
      <c r="F405" s="458"/>
    </row>
    <row r="406" spans="5:6" s="441" customFormat="1" ht="12.75">
      <c r="E406" s="457"/>
      <c r="F406" s="458"/>
    </row>
    <row r="407" spans="5:6" s="441" customFormat="1" ht="12.75">
      <c r="E407" s="457"/>
      <c r="F407" s="458"/>
    </row>
    <row r="408" spans="5:6" s="441" customFormat="1" ht="12.75">
      <c r="E408" s="457"/>
      <c r="F408" s="458"/>
    </row>
    <row r="409" spans="5:6" s="441" customFormat="1" ht="12.75">
      <c r="E409" s="457"/>
      <c r="F409" s="458"/>
    </row>
    <row r="410" spans="5:6" s="441" customFormat="1" ht="12.75">
      <c r="E410" s="457"/>
      <c r="F410" s="458"/>
    </row>
    <row r="411" spans="5:6" s="441" customFormat="1" ht="12.75">
      <c r="E411" s="457"/>
      <c r="F411" s="458"/>
    </row>
    <row r="412" spans="5:6" s="441" customFormat="1" ht="12.75">
      <c r="E412" s="457"/>
      <c r="F412" s="458"/>
    </row>
    <row r="413" spans="5:6" s="441" customFormat="1" ht="12.75">
      <c r="E413" s="457"/>
      <c r="F413" s="458"/>
    </row>
    <row r="414" spans="5:6" s="441" customFormat="1" ht="12.75">
      <c r="E414" s="457"/>
      <c r="F414" s="458"/>
    </row>
    <row r="415" spans="5:6" s="441" customFormat="1" ht="12.75">
      <c r="E415" s="457"/>
      <c r="F415" s="458"/>
    </row>
    <row r="416" spans="5:6" s="441" customFormat="1" ht="12.75">
      <c r="E416" s="457"/>
      <c r="F416" s="458"/>
    </row>
    <row r="417" spans="5:6" s="441" customFormat="1" ht="12.75">
      <c r="E417" s="457"/>
      <c r="F417" s="458"/>
    </row>
    <row r="418" spans="5:6" s="441" customFormat="1" ht="12.75">
      <c r="E418" s="457"/>
      <c r="F418" s="458"/>
    </row>
    <row r="419" spans="5:6" s="441" customFormat="1" ht="12.75">
      <c r="E419" s="457"/>
      <c r="F419" s="458"/>
    </row>
    <row r="420" spans="5:6" s="441" customFormat="1" ht="12.75">
      <c r="E420" s="457"/>
      <c r="F420" s="458"/>
    </row>
    <row r="421" spans="5:6" s="441" customFormat="1" ht="12.75">
      <c r="E421" s="457"/>
      <c r="F421" s="458"/>
    </row>
    <row r="422" spans="5:6" s="441" customFormat="1" ht="12.75">
      <c r="E422" s="457"/>
      <c r="F422" s="458"/>
    </row>
    <row r="423" spans="5:6" s="441" customFormat="1" ht="12.75">
      <c r="E423" s="457"/>
      <c r="F423" s="458"/>
    </row>
    <row r="424" spans="5:6" s="441" customFormat="1" ht="12.75">
      <c r="E424" s="457"/>
      <c r="F424" s="458"/>
    </row>
    <row r="425" spans="5:6" s="441" customFormat="1" ht="12.75">
      <c r="E425" s="457"/>
      <c r="F425" s="458"/>
    </row>
    <row r="426" spans="5:6" s="441" customFormat="1" ht="12.75">
      <c r="E426" s="457"/>
      <c r="F426" s="458"/>
    </row>
    <row r="427" spans="5:6" s="441" customFormat="1" ht="12.75">
      <c r="E427" s="457"/>
      <c r="F427" s="458"/>
    </row>
    <row r="428" spans="5:6" s="441" customFormat="1" ht="12.75">
      <c r="E428" s="457"/>
      <c r="F428" s="458"/>
    </row>
    <row r="429" spans="5:6" s="441" customFormat="1" ht="12.75">
      <c r="E429" s="457"/>
      <c r="F429" s="458"/>
    </row>
    <row r="430" spans="5:6" s="441" customFormat="1" ht="12.75">
      <c r="E430" s="457"/>
      <c r="F430" s="458"/>
    </row>
    <row r="431" spans="5:6" s="441" customFormat="1" ht="12.75">
      <c r="E431" s="457"/>
      <c r="F431" s="458"/>
    </row>
    <row r="432" spans="5:6" s="441" customFormat="1" ht="12.75">
      <c r="E432" s="457"/>
      <c r="F432" s="458"/>
    </row>
    <row r="433" spans="5:6" s="441" customFormat="1" ht="12.75">
      <c r="E433" s="457"/>
      <c r="F433" s="458"/>
    </row>
    <row r="434" spans="5:6" s="441" customFormat="1" ht="12.75">
      <c r="E434" s="457"/>
      <c r="F434" s="458"/>
    </row>
    <row r="435" spans="5:6" s="441" customFormat="1" ht="12.75">
      <c r="E435" s="457"/>
      <c r="F435" s="458"/>
    </row>
    <row r="436" spans="5:6" s="441" customFormat="1" ht="12.75">
      <c r="E436" s="457"/>
      <c r="F436" s="458"/>
    </row>
    <row r="437" spans="5:6" s="441" customFormat="1" ht="12.75">
      <c r="E437" s="457"/>
      <c r="F437" s="458"/>
    </row>
    <row r="438" spans="5:6" s="441" customFormat="1" ht="12.75">
      <c r="E438" s="457"/>
      <c r="F438" s="458"/>
    </row>
    <row r="439" spans="5:6" s="441" customFormat="1" ht="12.75">
      <c r="E439" s="457"/>
      <c r="F439" s="458"/>
    </row>
    <row r="440" spans="5:6" s="441" customFormat="1" ht="12.75">
      <c r="E440" s="457"/>
      <c r="F440" s="458"/>
    </row>
    <row r="441" spans="5:6" s="441" customFormat="1" ht="12.75">
      <c r="E441" s="457"/>
      <c r="F441" s="458"/>
    </row>
    <row r="442" spans="5:6" s="441" customFormat="1" ht="12.75">
      <c r="E442" s="457"/>
      <c r="F442" s="458"/>
    </row>
    <row r="443" spans="5:6" s="441" customFormat="1" ht="12.75">
      <c r="E443" s="457"/>
      <c r="F443" s="458"/>
    </row>
    <row r="444" spans="5:6" s="441" customFormat="1" ht="12.75">
      <c r="E444" s="457"/>
      <c r="F444" s="458"/>
    </row>
    <row r="445" spans="5:6" s="441" customFormat="1" ht="12.75">
      <c r="E445" s="457"/>
      <c r="F445" s="458"/>
    </row>
    <row r="446" spans="5:6" s="441" customFormat="1" ht="12.75">
      <c r="E446" s="457"/>
      <c r="F446" s="458"/>
    </row>
    <row r="447" spans="5:6" s="441" customFormat="1" ht="12.75">
      <c r="E447" s="457"/>
      <c r="F447" s="458"/>
    </row>
    <row r="448" spans="5:6" s="441" customFormat="1" ht="12.75">
      <c r="E448" s="457"/>
      <c r="F448" s="458"/>
    </row>
    <row r="449" spans="5:6" s="441" customFormat="1" ht="12.75">
      <c r="E449" s="457"/>
      <c r="F449" s="458"/>
    </row>
    <row r="450" spans="5:6" s="441" customFormat="1" ht="12.75">
      <c r="E450" s="457"/>
      <c r="F450" s="458"/>
    </row>
    <row r="451" spans="5:6" s="441" customFormat="1" ht="12.75">
      <c r="E451" s="457"/>
      <c r="F451" s="458"/>
    </row>
    <row r="452" spans="5:6" s="441" customFormat="1" ht="12.75">
      <c r="E452" s="457"/>
      <c r="F452" s="458"/>
    </row>
    <row r="453" spans="5:6" s="441" customFormat="1" ht="12.75">
      <c r="E453" s="457"/>
      <c r="F453" s="458"/>
    </row>
    <row r="454" spans="5:6" s="441" customFormat="1" ht="12.75">
      <c r="E454" s="457"/>
      <c r="F454" s="458"/>
    </row>
    <row r="455" spans="5:6" s="441" customFormat="1" ht="12.75">
      <c r="E455" s="457"/>
      <c r="F455" s="458"/>
    </row>
    <row r="456" spans="5:6" s="441" customFormat="1" ht="12.75">
      <c r="E456" s="457"/>
      <c r="F456" s="458"/>
    </row>
    <row r="457" spans="5:6" s="441" customFormat="1" ht="12.75">
      <c r="E457" s="457"/>
      <c r="F457" s="458"/>
    </row>
    <row r="458" spans="5:6" s="441" customFormat="1" ht="12.75">
      <c r="E458" s="457"/>
      <c r="F458" s="458"/>
    </row>
    <row r="459" spans="5:6" s="441" customFormat="1" ht="12.75">
      <c r="E459" s="457"/>
      <c r="F459" s="458"/>
    </row>
    <row r="460" spans="5:6" s="441" customFormat="1" ht="12.75">
      <c r="E460" s="457"/>
      <c r="F460" s="458"/>
    </row>
    <row r="461" spans="5:6" s="441" customFormat="1" ht="12.75">
      <c r="E461" s="457"/>
      <c r="F461" s="458"/>
    </row>
    <row r="462" spans="5:6" s="441" customFormat="1" ht="12.75">
      <c r="E462" s="457"/>
      <c r="F462" s="458"/>
    </row>
    <row r="463" spans="5:6" s="441" customFormat="1" ht="12.75">
      <c r="E463" s="457"/>
      <c r="F463" s="458"/>
    </row>
    <row r="464" spans="5:6" s="441" customFormat="1" ht="12.75">
      <c r="E464" s="457"/>
      <c r="F464" s="458"/>
    </row>
    <row r="465" spans="5:6" s="441" customFormat="1" ht="12.75">
      <c r="E465" s="457"/>
      <c r="F465" s="458"/>
    </row>
    <row r="466" spans="5:6" s="441" customFormat="1" ht="12.75">
      <c r="E466" s="457"/>
      <c r="F466" s="458"/>
    </row>
    <row r="467" spans="5:6" s="441" customFormat="1" ht="12.75">
      <c r="E467" s="457"/>
      <c r="F467" s="458"/>
    </row>
    <row r="468" spans="5:6" s="441" customFormat="1" ht="12.75">
      <c r="E468" s="457"/>
      <c r="F468" s="458"/>
    </row>
    <row r="469" spans="5:6" s="441" customFormat="1" ht="12.75">
      <c r="E469" s="457"/>
      <c r="F469" s="458"/>
    </row>
    <row r="470" spans="5:6" s="441" customFormat="1" ht="12.75">
      <c r="E470" s="457"/>
      <c r="F470" s="458"/>
    </row>
    <row r="471" spans="5:6" s="441" customFormat="1" ht="12.75">
      <c r="E471" s="457"/>
      <c r="F471" s="458"/>
    </row>
    <row r="472" spans="5:6" s="441" customFormat="1" ht="12.75">
      <c r="E472" s="457"/>
      <c r="F472" s="458"/>
    </row>
    <row r="473" spans="5:6" s="441" customFormat="1" ht="12.75">
      <c r="E473" s="457"/>
      <c r="F473" s="458"/>
    </row>
    <row r="474" spans="5:6" s="441" customFormat="1" ht="12.75">
      <c r="E474" s="457"/>
      <c r="F474" s="458"/>
    </row>
    <row r="475" spans="5:6" s="441" customFormat="1" ht="12.75">
      <c r="E475" s="457"/>
      <c r="F475" s="458"/>
    </row>
    <row r="476" spans="5:6" s="441" customFormat="1" ht="12.75">
      <c r="E476" s="457"/>
      <c r="F476" s="458"/>
    </row>
    <row r="477" spans="5:6" s="441" customFormat="1" ht="12.75">
      <c r="E477" s="457"/>
      <c r="F477" s="458"/>
    </row>
    <row r="478" spans="5:6" s="441" customFormat="1" ht="12.75">
      <c r="E478" s="457"/>
      <c r="F478" s="458"/>
    </row>
    <row r="479" spans="5:6" s="441" customFormat="1" ht="12.75">
      <c r="E479" s="457"/>
      <c r="F479" s="458"/>
    </row>
    <row r="480" spans="5:6" s="441" customFormat="1" ht="12.75">
      <c r="E480" s="457"/>
      <c r="F480" s="458"/>
    </row>
    <row r="481" spans="5:6" s="441" customFormat="1" ht="12.75">
      <c r="E481" s="457"/>
      <c r="F481" s="458"/>
    </row>
    <row r="482" spans="5:6" s="441" customFormat="1" ht="12.75">
      <c r="E482" s="457"/>
      <c r="F482" s="458"/>
    </row>
    <row r="483" spans="5:6" s="441" customFormat="1" ht="12.75">
      <c r="E483" s="457"/>
      <c r="F483" s="458"/>
    </row>
    <row r="484" spans="5:6" s="441" customFormat="1" ht="12.75">
      <c r="E484" s="457"/>
      <c r="F484" s="458"/>
    </row>
    <row r="485" spans="5:6" s="441" customFormat="1" ht="12.75">
      <c r="E485" s="457"/>
      <c r="F485" s="458"/>
    </row>
    <row r="486" spans="5:6" s="441" customFormat="1" ht="12.75">
      <c r="E486" s="457"/>
      <c r="F486" s="458"/>
    </row>
    <row r="487" spans="5:6" s="441" customFormat="1" ht="12.75">
      <c r="E487" s="457"/>
      <c r="F487" s="458"/>
    </row>
    <row r="488" spans="5:6" s="441" customFormat="1" ht="12.75">
      <c r="E488" s="457"/>
      <c r="F488" s="458"/>
    </row>
    <row r="489" spans="5:6" s="441" customFormat="1" ht="12.75">
      <c r="E489" s="457"/>
      <c r="F489" s="458"/>
    </row>
    <row r="490" spans="5:6" s="441" customFormat="1" ht="12.75">
      <c r="E490" s="457"/>
      <c r="F490" s="458"/>
    </row>
    <row r="491" spans="5:6" s="441" customFormat="1" ht="12.75">
      <c r="E491" s="457"/>
      <c r="F491" s="458"/>
    </row>
    <row r="492" spans="5:6" s="441" customFormat="1" ht="12.75">
      <c r="E492" s="457"/>
      <c r="F492" s="458"/>
    </row>
    <row r="493" spans="5:6" s="441" customFormat="1" ht="12.75">
      <c r="E493" s="457"/>
      <c r="F493" s="458"/>
    </row>
    <row r="494" spans="5:6" s="441" customFormat="1" ht="12.75">
      <c r="E494" s="457"/>
      <c r="F494" s="458"/>
    </row>
    <row r="495" spans="5:6" s="441" customFormat="1" ht="12.75">
      <c r="E495" s="457"/>
      <c r="F495" s="458"/>
    </row>
    <row r="496" spans="5:6" s="441" customFormat="1" ht="12.75">
      <c r="E496" s="457"/>
      <c r="F496" s="458"/>
    </row>
    <row r="497" spans="5:6" s="441" customFormat="1" ht="12.75">
      <c r="E497" s="457"/>
      <c r="F497" s="458"/>
    </row>
    <row r="498" spans="5:6" s="441" customFormat="1" ht="12.75">
      <c r="E498" s="457"/>
      <c r="F498" s="458"/>
    </row>
    <row r="499" spans="5:6" s="441" customFormat="1" ht="12.75">
      <c r="E499" s="457"/>
      <c r="F499" s="458"/>
    </row>
    <row r="500" spans="5:6" s="441" customFormat="1" ht="12.75">
      <c r="E500" s="457"/>
      <c r="F500" s="458"/>
    </row>
    <row r="501" spans="5:6" s="441" customFormat="1" ht="12.75">
      <c r="E501" s="457"/>
      <c r="F501" s="458"/>
    </row>
    <row r="502" spans="5:6" s="441" customFormat="1" ht="12.75">
      <c r="E502" s="457"/>
      <c r="F502" s="458"/>
    </row>
    <row r="503" spans="5:6" s="441" customFormat="1" ht="12.75">
      <c r="E503" s="457"/>
      <c r="F503" s="458"/>
    </row>
    <row r="504" spans="5:6" s="441" customFormat="1" ht="12.75">
      <c r="E504" s="457"/>
      <c r="F504" s="458"/>
    </row>
    <row r="505" spans="5:6" s="441" customFormat="1" ht="12.75">
      <c r="E505" s="457"/>
      <c r="F505" s="458"/>
    </row>
    <row r="506" spans="5:6" s="441" customFormat="1" ht="12.75">
      <c r="E506" s="457"/>
      <c r="F506" s="458"/>
    </row>
    <row r="507" spans="5:6" s="441" customFormat="1" ht="12.75">
      <c r="E507" s="457"/>
      <c r="F507" s="458"/>
    </row>
    <row r="508" spans="5:6" s="441" customFormat="1" ht="12.75">
      <c r="E508" s="457"/>
      <c r="F508" s="458"/>
    </row>
    <row r="509" spans="5:6" s="441" customFormat="1" ht="12.75">
      <c r="E509" s="457"/>
      <c r="F509" s="458"/>
    </row>
    <row r="510" spans="5:6" s="441" customFormat="1" ht="12.75">
      <c r="E510" s="457"/>
      <c r="F510" s="458"/>
    </row>
    <row r="511" spans="5:6" s="441" customFormat="1" ht="12.75">
      <c r="E511" s="457"/>
      <c r="F511" s="458"/>
    </row>
    <row r="512" spans="5:6" s="441" customFormat="1" ht="12.75">
      <c r="E512" s="457"/>
      <c r="F512" s="458"/>
    </row>
    <row r="513" spans="5:6" s="441" customFormat="1" ht="12.75">
      <c r="E513" s="457"/>
      <c r="F513" s="458"/>
    </row>
    <row r="514" spans="5:6" s="441" customFormat="1" ht="12.75">
      <c r="E514" s="457"/>
      <c r="F514" s="458"/>
    </row>
    <row r="515" spans="5:6" s="441" customFormat="1" ht="12.75">
      <c r="E515" s="457"/>
      <c r="F515" s="458"/>
    </row>
    <row r="516" spans="5:6" s="441" customFormat="1" ht="12.75">
      <c r="E516" s="457"/>
      <c r="F516" s="458"/>
    </row>
    <row r="517" spans="5:6" s="441" customFormat="1" ht="12.75">
      <c r="E517" s="457"/>
      <c r="F517" s="458"/>
    </row>
    <row r="518" spans="5:6" s="441" customFormat="1" ht="12.75">
      <c r="E518" s="457"/>
      <c r="F518" s="458"/>
    </row>
    <row r="519" spans="5:6" s="441" customFormat="1" ht="12.75">
      <c r="E519" s="457"/>
      <c r="F519" s="458"/>
    </row>
    <row r="520" spans="5:6" s="441" customFormat="1" ht="12.75">
      <c r="E520" s="457"/>
      <c r="F520" s="458"/>
    </row>
    <row r="521" spans="5:6" s="441" customFormat="1" ht="12.75">
      <c r="E521" s="457"/>
      <c r="F521" s="458"/>
    </row>
    <row r="522" spans="5:6" s="441" customFormat="1" ht="12.75">
      <c r="E522" s="457"/>
      <c r="F522" s="458"/>
    </row>
    <row r="523" spans="5:6" s="441" customFormat="1" ht="12.75">
      <c r="E523" s="457"/>
      <c r="F523" s="458"/>
    </row>
    <row r="524" spans="5:6" s="441" customFormat="1" ht="12.75">
      <c r="E524" s="457"/>
      <c r="F524" s="458"/>
    </row>
    <row r="525" spans="5:6" s="441" customFormat="1" ht="12.75">
      <c r="E525" s="457"/>
      <c r="F525" s="458"/>
    </row>
    <row r="526" spans="5:6" s="441" customFormat="1" ht="12.75">
      <c r="E526" s="457"/>
      <c r="F526" s="458"/>
    </row>
    <row r="527" spans="5:6" s="441" customFormat="1" ht="12.75">
      <c r="E527" s="457"/>
      <c r="F527" s="458"/>
    </row>
    <row r="528" spans="5:6" s="441" customFormat="1" ht="12.75">
      <c r="E528" s="457"/>
      <c r="F528" s="458"/>
    </row>
    <row r="529" spans="5:6" s="441" customFormat="1" ht="12.75">
      <c r="E529" s="457"/>
      <c r="F529" s="458"/>
    </row>
    <row r="530" spans="5:6" s="441" customFormat="1" ht="12.75">
      <c r="E530" s="457"/>
      <c r="F530" s="458"/>
    </row>
    <row r="531" spans="5:6" s="441" customFormat="1" ht="12.75">
      <c r="E531" s="457"/>
      <c r="F531" s="458"/>
    </row>
    <row r="532" spans="5:6" s="441" customFormat="1" ht="12.75">
      <c r="E532" s="457"/>
      <c r="F532" s="458"/>
    </row>
    <row r="533" spans="5:6" s="441" customFormat="1" ht="12.75">
      <c r="E533" s="457"/>
      <c r="F533" s="458"/>
    </row>
    <row r="534" spans="5:6" s="441" customFormat="1" ht="12.75">
      <c r="E534" s="457"/>
      <c r="F534" s="458"/>
    </row>
    <row r="535" spans="5:6" s="441" customFormat="1" ht="12.75">
      <c r="E535" s="457"/>
      <c r="F535" s="458"/>
    </row>
    <row r="536" spans="5:6" s="441" customFormat="1" ht="12.75">
      <c r="E536" s="457"/>
      <c r="F536" s="458"/>
    </row>
    <row r="537" spans="5:6" s="441" customFormat="1" ht="12.75">
      <c r="E537" s="457"/>
      <c r="F537" s="458"/>
    </row>
    <row r="538" spans="5:6" s="441" customFormat="1" ht="12.75">
      <c r="E538" s="457"/>
      <c r="F538" s="458"/>
    </row>
    <row r="539" spans="5:6" s="441" customFormat="1" ht="12.75">
      <c r="E539" s="457"/>
      <c r="F539" s="458"/>
    </row>
    <row r="540" spans="5:6" s="441" customFormat="1" ht="12.75">
      <c r="E540" s="457"/>
      <c r="F540" s="458"/>
    </row>
    <row r="541" spans="5:6" s="441" customFormat="1" ht="12.75">
      <c r="E541" s="457"/>
      <c r="F541" s="458"/>
    </row>
    <row r="542" spans="5:6" s="441" customFormat="1" ht="12.75">
      <c r="E542" s="457"/>
      <c r="F542" s="458"/>
    </row>
    <row r="543" spans="5:6" s="441" customFormat="1" ht="12.75">
      <c r="E543" s="457"/>
      <c r="F543" s="458"/>
    </row>
    <row r="544" spans="5:6" s="441" customFormat="1" ht="12.75">
      <c r="E544" s="457"/>
      <c r="F544" s="458"/>
    </row>
    <row r="545" spans="5:6" s="441" customFormat="1" ht="12.75">
      <c r="E545" s="457"/>
      <c r="F545" s="458"/>
    </row>
    <row r="546" spans="2:6" s="441" customFormat="1" ht="12.75">
      <c r="B546" s="469"/>
      <c r="C546" s="469"/>
      <c r="D546" s="469"/>
      <c r="E546" s="470"/>
      <c r="F546" s="471"/>
    </row>
    <row r="547" spans="2:6" s="441" customFormat="1" ht="12.75">
      <c r="B547" s="469"/>
      <c r="C547" s="469"/>
      <c r="D547" s="469"/>
      <c r="E547" s="470"/>
      <c r="F547" s="471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3937007874015748" right="0.3937007874015748" top="0.3937007874015748" bottom="0.3937007874015748" header="0.8661417322834646" footer="0.35433070866141736"/>
  <pageSetup fitToHeight="1" fitToWidth="1" horizontalDpi="600" verticalDpi="600" orientation="portrait" paperSize="9" r:id="rId1"/>
  <headerFooter alignWithMargins="0">
    <oddHeader>&amp;L                     &amp;R      
</oddHeader>
  </headerFooter>
  <ignoredErrors>
    <ignoredError sqref="C9 C13 C14:C15 C31 C32:C34 C37:C41 C11" unlockedFormula="1"/>
    <ignoredError sqref="C16:C19" formulaRange="1"/>
    <ignoredError sqref="C20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>
    <tabColor theme="0"/>
    <pageSetUpPr fitToPage="1"/>
  </sheetPr>
  <dimension ref="A2:H564"/>
  <sheetViews>
    <sheetView showGridLines="0" zoomScalePageLayoutView="0" workbookViewId="0" topLeftCell="A1">
      <selection activeCell="B2" sqref="B2:E60"/>
    </sheetView>
  </sheetViews>
  <sheetFormatPr defaultColWidth="10.57421875" defaultRowHeight="12.75"/>
  <cols>
    <col min="1" max="1" width="6.140625" style="469" customWidth="1"/>
    <col min="2" max="2" width="54.421875" style="469" customWidth="1"/>
    <col min="3" max="3" width="18.140625" style="469" customWidth="1"/>
    <col min="4" max="4" width="17.421875" style="469" customWidth="1"/>
    <col min="5" max="5" width="18.140625" style="469" customWidth="1"/>
    <col min="6" max="6" width="2.421875" style="472" customWidth="1"/>
    <col min="7" max="7" width="10.57421875" style="469" customWidth="1"/>
    <col min="8" max="8" width="11.57421875" style="469" bestFit="1" customWidth="1"/>
    <col min="9" max="16384" width="10.57421875" style="469" customWidth="1"/>
  </cols>
  <sheetData>
    <row r="1" ht="27" customHeight="1"/>
    <row r="2" spans="2:6" s="441" customFormat="1" ht="49.5" customHeight="1">
      <c r="B2" s="1205" t="s">
        <v>810</v>
      </c>
      <c r="C2" s="1206"/>
      <c r="D2" s="1207"/>
      <c r="E2" s="440">
        <f>CPYG!E2</f>
        <v>2017</v>
      </c>
      <c r="F2" s="473"/>
    </row>
    <row r="3" spans="2:6" s="441" customFormat="1" ht="25.5" customHeight="1">
      <c r="B3" s="1213" t="str">
        <f>CPYG!B3</f>
        <v>ENTIDAD: TRANSPORTES INTERURBANOS DE TENERIFE, S.A.</v>
      </c>
      <c r="C3" s="1214"/>
      <c r="D3" s="1214"/>
      <c r="E3" s="440" t="s">
        <v>812</v>
      </c>
      <c r="F3" s="383"/>
    </row>
    <row r="4" spans="2:6" s="441" customFormat="1" ht="24.75" customHeight="1">
      <c r="B4" s="1212" t="s">
        <v>895</v>
      </c>
      <c r="C4" s="1212"/>
      <c r="D4" s="1212"/>
      <c r="E4" s="1212"/>
      <c r="F4" s="442"/>
    </row>
    <row r="5" spans="2:6" s="441" customFormat="1" ht="40.5" customHeight="1">
      <c r="B5" s="443" t="s">
        <v>39</v>
      </c>
      <c r="C5" s="228" t="s">
        <v>105</v>
      </c>
      <c r="D5" s="474" t="s">
        <v>113</v>
      </c>
      <c r="E5" s="474" t="s">
        <v>103</v>
      </c>
      <c r="F5" s="475"/>
    </row>
    <row r="6" spans="2:6" s="441" customFormat="1" ht="22.5" customHeight="1">
      <c r="B6" s="476" t="s">
        <v>851</v>
      </c>
      <c r="C6" s="520">
        <f>C7+C23+C27</f>
        <v>34062931.19999999</v>
      </c>
      <c r="D6" s="520">
        <f>D7+D23+D27</f>
        <v>34814879.04948858</v>
      </c>
      <c r="E6" s="520">
        <f>E7+E23+E27</f>
        <v>36558365.02273117</v>
      </c>
      <c r="F6" s="448"/>
    </row>
    <row r="7" spans="2:6" s="441" customFormat="1" ht="19.5" customHeight="1">
      <c r="B7" s="477" t="s">
        <v>852</v>
      </c>
      <c r="C7" s="555">
        <f>+C8+C11+C12+C15+C16+C19+C20+C21+C22</f>
        <v>15967231.36999999</v>
      </c>
      <c r="D7" s="555">
        <f>+D8+D11+D12+D15+D16+D19+D20+D21+D22</f>
        <v>16113454.315188585</v>
      </c>
      <c r="E7" s="555">
        <f>+E8+E11+E12+E15+E16+E19+E20+E21+E22</f>
        <v>16138306.078456495</v>
      </c>
      <c r="F7" s="467"/>
    </row>
    <row r="8" spans="2:6" s="441" customFormat="1" ht="19.5" customHeight="1">
      <c r="B8" s="477" t="s">
        <v>853</v>
      </c>
      <c r="C8" s="555">
        <f>SUM(C9:C10)</f>
        <v>5409100</v>
      </c>
      <c r="D8" s="555">
        <f>SUM(D9:D10)</f>
        <v>5409100</v>
      </c>
      <c r="E8" s="555">
        <f>SUM(E9:E10)</f>
        <v>5409100</v>
      </c>
      <c r="F8" s="460"/>
    </row>
    <row r="9" spans="2:6" s="441" customFormat="1" ht="19.5" customHeight="1">
      <c r="B9" s="478" t="s">
        <v>717</v>
      </c>
      <c r="C9" s="552">
        <f>-'[2]PASIVO (DIC2016)'!$D$11</f>
        <v>5409100</v>
      </c>
      <c r="D9" s="552">
        <f>-'[2]PASIVO (DIC2016)'!$G$11</f>
        <v>5409100</v>
      </c>
      <c r="E9" s="552">
        <f>-'[2]PASIVO (DIC2016)'!$I$11</f>
        <v>5409100</v>
      </c>
      <c r="F9" s="460"/>
    </row>
    <row r="10" spans="2:6" s="441" customFormat="1" ht="19.5" customHeight="1">
      <c r="B10" s="478" t="s">
        <v>718</v>
      </c>
      <c r="C10" s="552">
        <v>0</v>
      </c>
      <c r="D10" s="552">
        <v>0</v>
      </c>
      <c r="E10" s="552">
        <v>0</v>
      </c>
      <c r="F10" s="460"/>
    </row>
    <row r="11" spans="2:6" s="441" customFormat="1" ht="19.5" customHeight="1">
      <c r="B11" s="477" t="s">
        <v>813</v>
      </c>
      <c r="C11" s="926">
        <v>0</v>
      </c>
      <c r="D11" s="926">
        <v>0</v>
      </c>
      <c r="E11" s="926">
        <v>0</v>
      </c>
      <c r="F11" s="460"/>
    </row>
    <row r="12" spans="2:6" s="441" customFormat="1" ht="19.5" customHeight="1">
      <c r="B12" s="477" t="s">
        <v>854</v>
      </c>
      <c r="C12" s="555">
        <f>SUM(C13:C14)</f>
        <v>17664110.259999998</v>
      </c>
      <c r="D12" s="555">
        <f>SUM(D13:D14)</f>
        <v>17664110.259999998</v>
      </c>
      <c r="E12" s="555">
        <f>SUM(E13:E14)</f>
        <v>17664110.259999998</v>
      </c>
      <c r="F12" s="460"/>
    </row>
    <row r="13" spans="2:6" s="441" customFormat="1" ht="19.5" customHeight="1">
      <c r="B13" s="478" t="s">
        <v>719</v>
      </c>
      <c r="C13" s="552">
        <f>-'[2]PASIVO (DIC2016)'!$D$15</f>
        <v>1081821.79</v>
      </c>
      <c r="D13" s="552">
        <f>-'[2]PASIVO (DIC2016)'!$G$15</f>
        <v>1081821.79</v>
      </c>
      <c r="E13" s="552">
        <f>-'[2]PASIVO (DIC2016)'!$I$15</f>
        <v>1081821.79</v>
      </c>
      <c r="F13" s="460"/>
    </row>
    <row r="14" spans="2:6" s="441" customFormat="1" ht="19.5" customHeight="1">
      <c r="B14" s="478" t="s">
        <v>720</v>
      </c>
      <c r="C14" s="552">
        <f>-'[2]PASIVO (DIC2016)'!$D$16-'[2]PASIVO (DIC2016)'!$D$18</f>
        <v>16582288.469999999</v>
      </c>
      <c r="D14" s="552">
        <f>-'[2]PASIVO (DIC2016)'!$G$16-'[2]PASIVO (DIC2016)'!$G$18</f>
        <v>16582288.469999999</v>
      </c>
      <c r="E14" s="552">
        <f>-'[2]PASIVO (DIC2016)'!$I$16-'[2]PASIVO (DIC2016)'!$I$18</f>
        <v>16582288.469999999</v>
      </c>
      <c r="F14" s="460"/>
    </row>
    <row r="15" spans="2:6" s="441" customFormat="1" ht="19.5" customHeight="1">
      <c r="B15" s="477" t="s">
        <v>721</v>
      </c>
      <c r="C15" s="926">
        <v>0</v>
      </c>
      <c r="D15" s="926">
        <v>0</v>
      </c>
      <c r="E15" s="926">
        <v>0</v>
      </c>
      <c r="F15" s="460"/>
    </row>
    <row r="16" spans="2:6" s="441" customFormat="1" ht="19.5" customHeight="1">
      <c r="B16" s="477" t="s">
        <v>814</v>
      </c>
      <c r="C16" s="555">
        <f>SUM(C17:C18)</f>
        <v>-7487074.4799999995</v>
      </c>
      <c r="D16" s="555">
        <f>SUM(D17:D18)</f>
        <v>-7031472.92</v>
      </c>
      <c r="E16" s="555">
        <f>SUM(E17:E18)</f>
        <v>-6959755.944811413</v>
      </c>
      <c r="F16" s="460"/>
    </row>
    <row r="17" spans="2:6" s="441" customFormat="1" ht="19.5" customHeight="1">
      <c r="B17" s="478" t="s">
        <v>722</v>
      </c>
      <c r="C17" s="552">
        <f>-'[2]PASIVO (DIC2016)'!$D$23</f>
        <v>54885.78999999999</v>
      </c>
      <c r="D17" s="552">
        <f>-'[2]PASIVO (DIC2016)'!$G$23</f>
        <v>54885.79</v>
      </c>
      <c r="E17" s="552">
        <f>-'[2]PASIVO (DIC2016)'!$I$23</f>
        <v>54885.79</v>
      </c>
      <c r="F17" s="460"/>
    </row>
    <row r="18" spans="2:7" s="441" customFormat="1" ht="19.5" customHeight="1">
      <c r="B18" s="478" t="s">
        <v>855</v>
      </c>
      <c r="C18" s="552">
        <f>-'[2]PASIVO (DIC2016)'!$D$22</f>
        <v>-7541960.27</v>
      </c>
      <c r="D18" s="552">
        <f>-'[2]PASIVO (DIC2016)'!$G$22</f>
        <v>-7086358.71</v>
      </c>
      <c r="E18" s="552">
        <f>-'[2]PASIVO (DIC2016)'!$I$22+D20</f>
        <v>-7014641.734811413</v>
      </c>
      <c r="F18" s="460"/>
      <c r="G18" s="451"/>
    </row>
    <row r="19" spans="2:6" s="441" customFormat="1" ht="19.5" customHeight="1">
      <c r="B19" s="477" t="s">
        <v>723</v>
      </c>
      <c r="C19" s="554">
        <v>0</v>
      </c>
      <c r="D19" s="554">
        <v>0</v>
      </c>
      <c r="E19" s="554">
        <v>0</v>
      </c>
      <c r="F19" s="460"/>
    </row>
    <row r="20" spans="2:6" s="441" customFormat="1" ht="19.5" customHeight="1">
      <c r="B20" s="477" t="s">
        <v>724</v>
      </c>
      <c r="C20" s="1100">
        <f>CPYG!C94</f>
        <v>381095.58999999193</v>
      </c>
      <c r="D20" s="1101">
        <f>CPYG!D94</f>
        <v>71716.97518858663</v>
      </c>
      <c r="E20" s="1101">
        <f>CPYG!E94</f>
        <v>24851.763267910326</v>
      </c>
      <c r="F20" s="479"/>
    </row>
    <row r="21" spans="2:6" s="441" customFormat="1" ht="19.5" customHeight="1">
      <c r="B21" s="477" t="s">
        <v>725</v>
      </c>
      <c r="C21" s="926">
        <v>0</v>
      </c>
      <c r="D21" s="926">
        <v>0</v>
      </c>
      <c r="E21" s="926">
        <v>0</v>
      </c>
      <c r="F21" s="460"/>
    </row>
    <row r="22" spans="2:6" s="441" customFormat="1" ht="19.5" customHeight="1">
      <c r="B22" s="477" t="s">
        <v>726</v>
      </c>
      <c r="C22" s="926">
        <v>0</v>
      </c>
      <c r="D22" s="926">
        <v>0</v>
      </c>
      <c r="E22" s="926">
        <v>0</v>
      </c>
      <c r="F22" s="460"/>
    </row>
    <row r="23" spans="2:6" s="441" customFormat="1" ht="19.5" customHeight="1">
      <c r="B23" s="477" t="s">
        <v>727</v>
      </c>
      <c r="C23" s="555">
        <f>SUM(C24:C26)</f>
        <v>0</v>
      </c>
      <c r="D23" s="555">
        <f>SUM(D24:D26)</f>
        <v>0</v>
      </c>
      <c r="E23" s="555">
        <f>SUM(E24:E26)</f>
        <v>0</v>
      </c>
      <c r="F23" s="467"/>
    </row>
    <row r="24" spans="2:6" s="441" customFormat="1" ht="19.5" customHeight="1">
      <c r="B24" s="477" t="s">
        <v>728</v>
      </c>
      <c r="C24" s="926">
        <v>0</v>
      </c>
      <c r="D24" s="926">
        <v>0</v>
      </c>
      <c r="E24" s="926">
        <v>0</v>
      </c>
      <c r="F24" s="460"/>
    </row>
    <row r="25" spans="2:6" s="441" customFormat="1" ht="19.5" customHeight="1">
      <c r="B25" s="477" t="s">
        <v>729</v>
      </c>
      <c r="C25" s="926">
        <v>0</v>
      </c>
      <c r="D25" s="926">
        <v>0</v>
      </c>
      <c r="E25" s="926">
        <v>0</v>
      </c>
      <c r="F25" s="460"/>
    </row>
    <row r="26" spans="2:6" s="441" customFormat="1" ht="19.5" customHeight="1">
      <c r="B26" s="477" t="s">
        <v>730</v>
      </c>
      <c r="C26" s="926">
        <v>0</v>
      </c>
      <c r="D26" s="926">
        <v>0</v>
      </c>
      <c r="E26" s="926">
        <v>0</v>
      </c>
      <c r="F26" s="460"/>
    </row>
    <row r="27" spans="1:8" s="441" customFormat="1" ht="19.5" customHeight="1">
      <c r="A27" s="452"/>
      <c r="B27" s="477" t="s">
        <v>731</v>
      </c>
      <c r="C27" s="926">
        <f>-'[2]PASIVO (DIC2016)'!$D$38</f>
        <v>18095699.83</v>
      </c>
      <c r="D27" s="926">
        <v>18701424.7343</v>
      </c>
      <c r="E27" s="926">
        <v>20420058.944274675</v>
      </c>
      <c r="F27" s="460"/>
      <c r="H27" s="451"/>
    </row>
    <row r="28" spans="2:6" s="441" customFormat="1" ht="19.5" customHeight="1">
      <c r="B28" s="476" t="s">
        <v>856</v>
      </c>
      <c r="C28" s="555">
        <f>C29+C33+C38+C39+C40+C41+C4+C42</f>
        <v>6325889.31</v>
      </c>
      <c r="D28" s="555">
        <f>D29+D33+D38+D39+D40+D41+D4+D42</f>
        <v>6436960.6607650295</v>
      </c>
      <c r="E28" s="555">
        <f>E29+E33+E38+E39+E40+E41+E4+E42</f>
        <v>11147931.97079036</v>
      </c>
      <c r="F28" s="467"/>
    </row>
    <row r="29" spans="2:6" s="441" customFormat="1" ht="19.5" customHeight="1">
      <c r="B29" s="447" t="s">
        <v>732</v>
      </c>
      <c r="C29" s="556">
        <f>SUM(C30:C32)</f>
        <v>9710.929999999998</v>
      </c>
      <c r="D29" s="556">
        <f>SUM(D30:D32)</f>
        <v>9710.93</v>
      </c>
      <c r="E29" s="556">
        <f>SUM(E30:E32)</f>
        <v>9710.93</v>
      </c>
      <c r="F29" s="460"/>
    </row>
    <row r="30" spans="2:6" s="441" customFormat="1" ht="19.5" customHeight="1">
      <c r="B30" s="450" t="s">
        <v>42</v>
      </c>
      <c r="C30" s="553">
        <f>-'[2]PASIVO (DIC2016)'!$D$53</f>
        <v>9710.929999999998</v>
      </c>
      <c r="D30" s="553">
        <f>-'[2]PASIVO (DIC2016)'!$G$53</f>
        <v>9710.93</v>
      </c>
      <c r="E30" s="553">
        <f>-'[2]PASIVO (DIC2016)'!$I$53</f>
        <v>9710.93</v>
      </c>
      <c r="F30" s="460"/>
    </row>
    <row r="31" spans="2:6" s="441" customFormat="1" ht="28.5" customHeight="1">
      <c r="B31" s="480" t="s">
        <v>43</v>
      </c>
      <c r="C31" s="553">
        <v>0</v>
      </c>
      <c r="D31" s="553">
        <v>0</v>
      </c>
      <c r="E31" s="553">
        <v>0</v>
      </c>
      <c r="F31" s="460"/>
    </row>
    <row r="32" spans="2:6" s="441" customFormat="1" ht="19.5" customHeight="1">
      <c r="B32" s="450" t="s">
        <v>44</v>
      </c>
      <c r="C32" s="553">
        <v>0</v>
      </c>
      <c r="D32" s="553">
        <v>0</v>
      </c>
      <c r="E32" s="553">
        <v>0</v>
      </c>
      <c r="F32" s="467"/>
    </row>
    <row r="33" spans="2:6" s="441" customFormat="1" ht="19.5" customHeight="1">
      <c r="B33" s="447" t="s">
        <v>733</v>
      </c>
      <c r="C33" s="556">
        <f>SUM(C34:C37)</f>
        <v>482483.79000000004</v>
      </c>
      <c r="D33" s="556">
        <f>SUM(D34:D37)</f>
        <v>398281.45</v>
      </c>
      <c r="E33" s="556">
        <f>SUM(E34:E37)</f>
        <v>4555199.19</v>
      </c>
      <c r="F33" s="460"/>
    </row>
    <row r="34" spans="2:6" s="441" customFormat="1" ht="19.5" customHeight="1">
      <c r="B34" s="450" t="s">
        <v>735</v>
      </c>
      <c r="C34" s="553">
        <v>0</v>
      </c>
      <c r="D34" s="553">
        <v>0</v>
      </c>
      <c r="E34" s="553">
        <v>0</v>
      </c>
      <c r="F34" s="467"/>
    </row>
    <row r="35" spans="2:6" s="441" customFormat="1" ht="19.5" customHeight="1">
      <c r="B35" s="450" t="s">
        <v>746</v>
      </c>
      <c r="C35" s="553">
        <f>-'[2]PASIVO (DIC2016)'!$D$58</f>
        <v>83068.12000000002</v>
      </c>
      <c r="D35" s="553">
        <f>-'[2]PASIVO (DIC2016)'!$G$58</f>
        <v>52877.38</v>
      </c>
      <c r="E35" s="553">
        <f>-'[2]PASIVO (DIC2016)'!$I$58</f>
        <v>0</v>
      </c>
      <c r="F35" s="460"/>
    </row>
    <row r="36" spans="2:6" s="441" customFormat="1" ht="19.5" customHeight="1">
      <c r="B36" s="450" t="s">
        <v>736</v>
      </c>
      <c r="C36" s="553">
        <f>-'[2]PASIVO (DIC2016)'!$D$61</f>
        <v>233539.90000000002</v>
      </c>
      <c r="D36" s="553">
        <v>171841.16</v>
      </c>
      <c r="E36" s="553">
        <f>106862.63+4274773.65</f>
        <v>4381636.28</v>
      </c>
      <c r="F36" s="460"/>
    </row>
    <row r="37" spans="2:6" s="441" customFormat="1" ht="19.5" customHeight="1">
      <c r="B37" s="450" t="s">
        <v>45</v>
      </c>
      <c r="C37" s="553">
        <f>-'[2]PASIVO (DIC2016)'!$D$70</f>
        <v>165875.77000000002</v>
      </c>
      <c r="D37" s="553">
        <f>-'[2]PASIVO (DIC2016)'!$G$70</f>
        <v>173562.91</v>
      </c>
      <c r="E37" s="553">
        <f>-'[2]PASIVO (DIC2016)'!$I$70</f>
        <v>173562.91</v>
      </c>
      <c r="F37" s="460"/>
    </row>
    <row r="38" spans="2:6" s="441" customFormat="1" ht="19.5" customHeight="1">
      <c r="B38" s="447" t="s">
        <v>737</v>
      </c>
      <c r="C38" s="554">
        <v>0</v>
      </c>
      <c r="D38" s="554">
        <v>0</v>
      </c>
      <c r="E38" s="554">
        <v>0</v>
      </c>
      <c r="F38" s="460"/>
    </row>
    <row r="39" spans="1:6" s="441" customFormat="1" ht="19.5" customHeight="1">
      <c r="A39" s="452"/>
      <c r="B39" s="447" t="s">
        <v>738</v>
      </c>
      <c r="C39" s="554">
        <f>-'[2]PASIVO (DIC2016)'!$D$76</f>
        <v>5833694.59</v>
      </c>
      <c r="D39" s="554">
        <v>6028968.28076503</v>
      </c>
      <c r="E39" s="554">
        <v>6583021.85079036</v>
      </c>
      <c r="F39" s="460"/>
    </row>
    <row r="40" spans="2:6" s="441" customFormat="1" ht="19.5" customHeight="1">
      <c r="B40" s="447" t="s">
        <v>739</v>
      </c>
      <c r="C40" s="554">
        <v>0</v>
      </c>
      <c r="D40" s="554">
        <v>0</v>
      </c>
      <c r="E40" s="554">
        <v>0</v>
      </c>
      <c r="F40" s="467"/>
    </row>
    <row r="41" spans="2:6" s="441" customFormat="1" ht="19.5" customHeight="1">
      <c r="B41" s="447" t="s">
        <v>46</v>
      </c>
      <c r="C41" s="554">
        <v>0</v>
      </c>
      <c r="D41" s="554">
        <v>0</v>
      </c>
      <c r="E41" s="554">
        <v>0</v>
      </c>
      <c r="F41" s="467"/>
    </row>
    <row r="42" spans="2:6" s="441" customFormat="1" ht="19.5" customHeight="1">
      <c r="B42" s="447" t="s">
        <v>47</v>
      </c>
      <c r="C42" s="554">
        <v>0</v>
      </c>
      <c r="D42" s="554">
        <v>0</v>
      </c>
      <c r="E42" s="554">
        <v>0</v>
      </c>
      <c r="F42" s="467"/>
    </row>
    <row r="43" spans="2:6" s="441" customFormat="1" ht="19.5" customHeight="1">
      <c r="B43" s="476" t="s">
        <v>808</v>
      </c>
      <c r="C43" s="556">
        <f>+C44+C45+C49+C54+C55+C58+C59</f>
        <v>18187360.020000026</v>
      </c>
      <c r="D43" s="556">
        <f>+D44+D45+D49+D54+D55+D58+D59</f>
        <v>11838204.17114197</v>
      </c>
      <c r="E43" s="556">
        <f>+E44+E45+E49+E54+E55+E58+E59</f>
        <v>10120420.372595051</v>
      </c>
      <c r="F43" s="467"/>
    </row>
    <row r="44" spans="2:6" s="441" customFormat="1" ht="30" customHeight="1">
      <c r="B44" s="481" t="s">
        <v>743</v>
      </c>
      <c r="C44" s="554">
        <v>0</v>
      </c>
      <c r="D44" s="554">
        <v>0</v>
      </c>
      <c r="E44" s="554">
        <v>0</v>
      </c>
      <c r="F44" s="467"/>
    </row>
    <row r="45" spans="2:6" s="441" customFormat="1" ht="19.5" customHeight="1">
      <c r="B45" s="447" t="s">
        <v>744</v>
      </c>
      <c r="C45" s="556">
        <f>+C46+C47+C48</f>
        <v>2052</v>
      </c>
      <c r="D45" s="556">
        <f>+D46+D47+D48</f>
        <v>2052</v>
      </c>
      <c r="E45" s="556">
        <f>+E46+E47+E48</f>
        <v>2052</v>
      </c>
      <c r="F45" s="467"/>
    </row>
    <row r="46" spans="2:6" s="441" customFormat="1" ht="19.5" customHeight="1">
      <c r="B46" s="450" t="s">
        <v>42</v>
      </c>
      <c r="C46" s="553">
        <v>0</v>
      </c>
      <c r="D46" s="553">
        <v>0</v>
      </c>
      <c r="E46" s="553">
        <v>0</v>
      </c>
      <c r="F46" s="467"/>
    </row>
    <row r="47" spans="2:6" s="441" customFormat="1" ht="28.5" customHeight="1">
      <c r="B47" s="480" t="s">
        <v>43</v>
      </c>
      <c r="C47" s="553">
        <v>0</v>
      </c>
      <c r="D47" s="553">
        <v>0</v>
      </c>
      <c r="E47" s="553">
        <v>0</v>
      </c>
      <c r="F47" s="467"/>
    </row>
    <row r="48" spans="2:6" s="441" customFormat="1" ht="19.5" customHeight="1">
      <c r="B48" s="450" t="s">
        <v>44</v>
      </c>
      <c r="C48" s="553">
        <f>-'[2]PASIVO (DIC2016)'!$D$81</f>
        <v>2052</v>
      </c>
      <c r="D48" s="553">
        <f>-'[2]PASIVO (DIC2016)'!$G$81</f>
        <v>2052</v>
      </c>
      <c r="E48" s="553">
        <f>-'[2]PASIVO (DIC2016)'!$I$81</f>
        <v>2052</v>
      </c>
      <c r="F48" s="467"/>
    </row>
    <row r="49" spans="2:6" s="441" customFormat="1" ht="19.5" customHeight="1">
      <c r="B49" s="447" t="s">
        <v>745</v>
      </c>
      <c r="C49" s="556">
        <f>SUM(C50:C53)</f>
        <v>5199065.45</v>
      </c>
      <c r="D49" s="556">
        <f>SUM(D50:D53)</f>
        <v>1471592.71114197</v>
      </c>
      <c r="E49" s="556">
        <f>SUM(E50:E53)</f>
        <v>2383803.56259505</v>
      </c>
      <c r="F49" s="460"/>
    </row>
    <row r="50" spans="2:6" s="441" customFormat="1" ht="19.5" customHeight="1">
      <c r="B50" s="450" t="s">
        <v>735</v>
      </c>
      <c r="C50" s="553">
        <v>0</v>
      </c>
      <c r="D50" s="553">
        <v>0</v>
      </c>
      <c r="E50" s="553">
        <v>0</v>
      </c>
      <c r="F50" s="460"/>
    </row>
    <row r="51" spans="2:5" s="441" customFormat="1" ht="19.5" customHeight="1">
      <c r="B51" s="450" t="s">
        <v>746</v>
      </c>
      <c r="C51" s="553">
        <f>-'[2]PASIVO (DIC2016)'!$D$86-'[2]PASIVO (DIC2016)'!$D$88</f>
        <v>4807905.33</v>
      </c>
      <c r="D51" s="553">
        <f>1902831.17114197-842941.13</f>
        <v>1059890.04114197</v>
      </c>
      <c r="E51" s="553">
        <f>2107016.64259505-842941.13</f>
        <v>1264075.51259505</v>
      </c>
    </row>
    <row r="52" spans="2:6" s="441" customFormat="1" ht="19.5" customHeight="1">
      <c r="B52" s="450" t="s">
        <v>736</v>
      </c>
      <c r="C52" s="553">
        <f>-'[2]PASIVO (DIC2016)'!$D$91</f>
        <v>60461.37000000002</v>
      </c>
      <c r="D52" s="553">
        <f>-'[2]PASIVO (DIC2016)'!$G$91</f>
        <v>61698.74000000001</v>
      </c>
      <c r="E52" s="553">
        <f>62961.53+1424924.55-718161.96</f>
        <v>769724.1200000001</v>
      </c>
      <c r="F52" s="467"/>
    </row>
    <row r="53" spans="2:7" s="441" customFormat="1" ht="19.5" customHeight="1">
      <c r="B53" s="450" t="s">
        <v>48</v>
      </c>
      <c r="C53" s="553">
        <f>-'[2]PASIVO (DIC2016)'!$D$93</f>
        <v>330698.75000000006</v>
      </c>
      <c r="D53" s="553">
        <f>-'[2]PASIVO (DIC2016)'!$G$93</f>
        <v>350003.92999999993</v>
      </c>
      <c r="E53" s="553">
        <f>-'[2]PASIVO (DIC2016)'!$I$93</f>
        <v>350003.92999999993</v>
      </c>
      <c r="F53" s="467"/>
      <c r="G53" s="451"/>
    </row>
    <row r="54" spans="2:6" s="441" customFormat="1" ht="19.5" customHeight="1">
      <c r="B54" s="447" t="s">
        <v>747</v>
      </c>
      <c r="C54" s="554">
        <v>0</v>
      </c>
      <c r="D54" s="554">
        <v>0</v>
      </c>
      <c r="E54" s="554">
        <v>0</v>
      </c>
      <c r="F54" s="467"/>
    </row>
    <row r="55" spans="2:6" s="441" customFormat="1" ht="19.5" customHeight="1">
      <c r="B55" s="447" t="s">
        <v>748</v>
      </c>
      <c r="C55" s="556">
        <f>SUM(C56:C57)</f>
        <v>10946955.160000026</v>
      </c>
      <c r="D55" s="556">
        <f>SUM(D56:D57)</f>
        <v>8254967.33</v>
      </c>
      <c r="E55" s="556">
        <f>SUM(E56:E57)</f>
        <v>6891623.680000001</v>
      </c>
      <c r="F55" s="460"/>
    </row>
    <row r="56" spans="2:6" s="441" customFormat="1" ht="19.5" customHeight="1">
      <c r="B56" s="450" t="s">
        <v>749</v>
      </c>
      <c r="C56" s="553">
        <f>-'[2]PASIVO (DIC2016)'!$D$114</f>
        <v>2442075.1000000127</v>
      </c>
      <c r="D56" s="553">
        <v>1841539.44</v>
      </c>
      <c r="E56" s="553">
        <v>1537401.32</v>
      </c>
      <c r="F56" s="460"/>
    </row>
    <row r="57" spans="2:6" s="441" customFormat="1" ht="19.5" customHeight="1">
      <c r="B57" s="450" t="s">
        <v>49</v>
      </c>
      <c r="C57" s="553">
        <f>-'[2]PASIVO (DIC2016)'!$D$121-'[2]PASIVO (DIC2016)'!$D$134-'[2]PASIVO (DIC2016)'!$D$136-'[2]PASIVO (DIC2016)'!$D$144</f>
        <v>8504880.060000014</v>
      </c>
      <c r="D57" s="553">
        <v>6413427.89</v>
      </c>
      <c r="E57" s="553">
        <v>5354222.36</v>
      </c>
      <c r="F57" s="460"/>
    </row>
    <row r="58" spans="1:6" s="441" customFormat="1" ht="19.5" customHeight="1">
      <c r="A58" s="452"/>
      <c r="B58" s="447" t="s">
        <v>770</v>
      </c>
      <c r="C58" s="554">
        <f>-'[2]PASIVO (DIC2016)'!$D$148</f>
        <v>2039287.4099999995</v>
      </c>
      <c r="D58" s="554">
        <f>1266651+842941.13</f>
        <v>2109592.13</v>
      </c>
      <c r="E58" s="554">
        <v>842941.13</v>
      </c>
      <c r="F58" s="467"/>
    </row>
    <row r="59" spans="1:6" s="441" customFormat="1" ht="19.5" customHeight="1">
      <c r="A59" s="452"/>
      <c r="B59" s="447" t="s">
        <v>50</v>
      </c>
      <c r="C59" s="554">
        <v>0</v>
      </c>
      <c r="D59" s="554">
        <v>0</v>
      </c>
      <c r="E59" s="554">
        <v>0</v>
      </c>
      <c r="F59" s="467"/>
    </row>
    <row r="60" spans="2:6" s="441" customFormat="1" ht="30" customHeight="1">
      <c r="B60" s="453" t="s">
        <v>809</v>
      </c>
      <c r="C60" s="557">
        <f>C43+C28+C6</f>
        <v>58576180.530000016</v>
      </c>
      <c r="D60" s="557">
        <f>D43+D28+D6</f>
        <v>53090043.88139558</v>
      </c>
      <c r="E60" s="557">
        <f>E43+E28+E6</f>
        <v>57826717.36611658</v>
      </c>
      <c r="F60" s="448"/>
    </row>
    <row r="61" spans="3:6" s="441" customFormat="1" ht="12.75">
      <c r="C61" s="451"/>
      <c r="D61" s="451"/>
      <c r="E61" s="451"/>
      <c r="F61" s="482"/>
    </row>
    <row r="62" spans="3:6" s="441" customFormat="1" ht="12.75">
      <c r="C62" s="451"/>
      <c r="D62" s="451"/>
      <c r="E62" s="451"/>
      <c r="F62" s="482"/>
    </row>
    <row r="63" spans="2:6" s="441" customFormat="1" ht="12.75" hidden="1">
      <c r="B63" s="456" t="s">
        <v>750</v>
      </c>
      <c r="C63" s="451"/>
      <c r="D63" s="451"/>
      <c r="E63" s="451"/>
      <c r="F63" s="482"/>
    </row>
    <row r="64" spans="4:6" s="441" customFormat="1" ht="12.75">
      <c r="D64" s="966"/>
      <c r="E64" s="1077"/>
      <c r="F64" s="452"/>
    </row>
    <row r="65" spans="3:6" s="441" customFormat="1" ht="12.75">
      <c r="C65" s="451"/>
      <c r="D65" s="451"/>
      <c r="E65" s="1078"/>
      <c r="F65" s="482"/>
    </row>
    <row r="66" spans="3:6" s="441" customFormat="1" ht="12.75" hidden="1">
      <c r="C66" s="451"/>
      <c r="D66" s="451"/>
      <c r="E66" s="482"/>
      <c r="F66" s="482"/>
    </row>
    <row r="67" spans="2:6" s="441" customFormat="1" ht="12.75" hidden="1">
      <c r="B67" s="441" t="s">
        <v>771</v>
      </c>
      <c r="C67" s="451">
        <f>+ACTIVO!C43</f>
        <v>58576180.530000165</v>
      </c>
      <c r="D67" s="451"/>
      <c r="E67" s="482"/>
      <c r="F67" s="482"/>
    </row>
    <row r="68" spans="2:6" s="441" customFormat="1" ht="12.75" hidden="1">
      <c r="B68" s="452" t="s">
        <v>769</v>
      </c>
      <c r="C68" s="462">
        <f>+C60-C67</f>
        <v>-1.4901161193847656E-07</v>
      </c>
      <c r="D68" s="462"/>
      <c r="E68" s="460"/>
      <c r="F68" s="460"/>
    </row>
    <row r="69" spans="5:6" s="441" customFormat="1" ht="12.75" hidden="1">
      <c r="E69" s="452"/>
      <c r="F69" s="452"/>
    </row>
    <row r="70" spans="5:6" s="441" customFormat="1" ht="12.75" hidden="1">
      <c r="E70" s="482"/>
      <c r="F70" s="482"/>
    </row>
    <row r="71" spans="4:6" s="441" customFormat="1" ht="12.75">
      <c r="D71" s="451"/>
      <c r="E71" s="452"/>
      <c r="F71" s="452"/>
    </row>
    <row r="72" spans="4:6" s="441" customFormat="1" ht="12.75">
      <c r="D72" s="451"/>
      <c r="E72" s="1077"/>
      <c r="F72" s="452"/>
    </row>
    <row r="73" spans="5:6" s="441" customFormat="1" ht="12.75">
      <c r="E73" s="1077"/>
      <c r="F73" s="452"/>
    </row>
    <row r="74" spans="5:6" s="441" customFormat="1" ht="12.75">
      <c r="E74" s="1077"/>
      <c r="F74" s="452"/>
    </row>
    <row r="75" spans="5:6" s="441" customFormat="1" ht="12.75">
      <c r="E75" s="1077"/>
      <c r="F75" s="452"/>
    </row>
    <row r="76" spans="5:6" s="441" customFormat="1" ht="12.75">
      <c r="E76" s="1077"/>
      <c r="F76" s="452"/>
    </row>
    <row r="77" spans="5:6" s="441" customFormat="1" ht="12.75">
      <c r="E77" s="1077"/>
      <c r="F77" s="452"/>
    </row>
    <row r="78" spans="5:6" s="441" customFormat="1" ht="12.75">
      <c r="E78" s="1077"/>
      <c r="F78" s="452"/>
    </row>
    <row r="79" spans="5:6" s="441" customFormat="1" ht="12.75">
      <c r="E79" s="452"/>
      <c r="F79" s="452"/>
    </row>
    <row r="80" s="441" customFormat="1" ht="12.75">
      <c r="F80" s="452"/>
    </row>
    <row r="81" s="441" customFormat="1" ht="12.75">
      <c r="F81" s="452"/>
    </row>
    <row r="82" s="441" customFormat="1" ht="12.75">
      <c r="F82" s="452"/>
    </row>
    <row r="83" s="441" customFormat="1" ht="12.75">
      <c r="F83" s="452"/>
    </row>
    <row r="84" s="441" customFormat="1" ht="12.75">
      <c r="F84" s="452"/>
    </row>
    <row r="85" s="441" customFormat="1" ht="12.75">
      <c r="F85" s="452"/>
    </row>
    <row r="86" s="441" customFormat="1" ht="12.75">
      <c r="F86" s="452"/>
    </row>
    <row r="87" s="441" customFormat="1" ht="12.75">
      <c r="F87" s="452"/>
    </row>
    <row r="88" s="441" customFormat="1" ht="12.75">
      <c r="F88" s="452"/>
    </row>
    <row r="89" s="441" customFormat="1" ht="12.75">
      <c r="F89" s="452"/>
    </row>
    <row r="90" s="441" customFormat="1" ht="12.75">
      <c r="F90" s="452"/>
    </row>
    <row r="91" s="441" customFormat="1" ht="12.75">
      <c r="F91" s="452"/>
    </row>
    <row r="92" s="441" customFormat="1" ht="12.75">
      <c r="F92" s="452"/>
    </row>
    <row r="93" s="441" customFormat="1" ht="12.75">
      <c r="F93" s="452"/>
    </row>
    <row r="94" s="441" customFormat="1" ht="12.75">
      <c r="F94" s="452"/>
    </row>
    <row r="95" s="441" customFormat="1" ht="12.75">
      <c r="F95" s="452"/>
    </row>
    <row r="96" s="441" customFormat="1" ht="12.75">
      <c r="F96" s="452"/>
    </row>
    <row r="97" s="441" customFormat="1" ht="12.75">
      <c r="F97" s="452"/>
    </row>
    <row r="98" s="441" customFormat="1" ht="12.75">
      <c r="F98" s="452"/>
    </row>
    <row r="99" s="441" customFormat="1" ht="12.75">
      <c r="F99" s="452"/>
    </row>
    <row r="100" s="441" customFormat="1" ht="12.75">
      <c r="F100" s="452"/>
    </row>
    <row r="101" s="441" customFormat="1" ht="12.75">
      <c r="F101" s="452"/>
    </row>
    <row r="102" s="441" customFormat="1" ht="12.75">
      <c r="F102" s="452"/>
    </row>
    <row r="103" s="441" customFormat="1" ht="12.75">
      <c r="F103" s="452"/>
    </row>
    <row r="104" s="441" customFormat="1" ht="12.75">
      <c r="F104" s="452"/>
    </row>
    <row r="105" s="441" customFormat="1" ht="12.75">
      <c r="F105" s="452"/>
    </row>
    <row r="106" s="441" customFormat="1" ht="12.75">
      <c r="F106" s="452"/>
    </row>
    <row r="107" s="441" customFormat="1" ht="12.75">
      <c r="F107" s="452"/>
    </row>
    <row r="108" s="441" customFormat="1" ht="12.75">
      <c r="F108" s="452"/>
    </row>
    <row r="109" s="441" customFormat="1" ht="12.75">
      <c r="F109" s="452"/>
    </row>
    <row r="110" s="441" customFormat="1" ht="12.75">
      <c r="F110" s="452"/>
    </row>
    <row r="111" s="441" customFormat="1" ht="12.75">
      <c r="F111" s="452"/>
    </row>
    <row r="112" s="441" customFormat="1" ht="12.75">
      <c r="F112" s="452"/>
    </row>
    <row r="113" s="441" customFormat="1" ht="12.75">
      <c r="F113" s="452"/>
    </row>
    <row r="114" s="441" customFormat="1" ht="12.75">
      <c r="F114" s="452"/>
    </row>
    <row r="115" s="441" customFormat="1" ht="12.75">
      <c r="F115" s="452"/>
    </row>
    <row r="116" s="441" customFormat="1" ht="12.75">
      <c r="F116" s="452"/>
    </row>
    <row r="117" s="441" customFormat="1" ht="12.75">
      <c r="F117" s="452"/>
    </row>
    <row r="118" s="441" customFormat="1" ht="12.75">
      <c r="F118" s="452"/>
    </row>
    <row r="119" s="441" customFormat="1" ht="12.75">
      <c r="F119" s="452"/>
    </row>
    <row r="120" s="441" customFormat="1" ht="12.75">
      <c r="F120" s="452"/>
    </row>
    <row r="121" s="441" customFormat="1" ht="12.75">
      <c r="F121" s="452"/>
    </row>
    <row r="122" s="441" customFormat="1" ht="12.75">
      <c r="F122" s="452"/>
    </row>
    <row r="123" s="441" customFormat="1" ht="12.75">
      <c r="F123" s="452"/>
    </row>
    <row r="124" s="441" customFormat="1" ht="12.75">
      <c r="F124" s="452"/>
    </row>
    <row r="125" s="441" customFormat="1" ht="12.75">
      <c r="F125" s="452"/>
    </row>
    <row r="126" s="441" customFormat="1" ht="12.75">
      <c r="F126" s="452"/>
    </row>
    <row r="127" s="441" customFormat="1" ht="12.75">
      <c r="F127" s="452"/>
    </row>
    <row r="128" s="441" customFormat="1" ht="12.75">
      <c r="F128" s="452"/>
    </row>
    <row r="129" s="441" customFormat="1" ht="12.75">
      <c r="F129" s="452"/>
    </row>
    <row r="130" s="441" customFormat="1" ht="12.75">
      <c r="F130" s="452"/>
    </row>
    <row r="131" s="441" customFormat="1" ht="12.75">
      <c r="F131" s="452"/>
    </row>
    <row r="132" s="441" customFormat="1" ht="12.75">
      <c r="F132" s="452"/>
    </row>
    <row r="133" s="441" customFormat="1" ht="12.75">
      <c r="F133" s="452"/>
    </row>
    <row r="134" s="441" customFormat="1" ht="12.75">
      <c r="F134" s="452"/>
    </row>
    <row r="135" s="441" customFormat="1" ht="12.75">
      <c r="F135" s="452"/>
    </row>
    <row r="136" s="441" customFormat="1" ht="12.75">
      <c r="F136" s="452"/>
    </row>
    <row r="137" s="441" customFormat="1" ht="12.75">
      <c r="F137" s="452"/>
    </row>
    <row r="138" s="441" customFormat="1" ht="12.75">
      <c r="F138" s="452"/>
    </row>
    <row r="139" s="441" customFormat="1" ht="12.75">
      <c r="F139" s="452"/>
    </row>
    <row r="140" s="441" customFormat="1" ht="12.75">
      <c r="F140" s="452"/>
    </row>
    <row r="141" s="441" customFormat="1" ht="12.75">
      <c r="F141" s="452"/>
    </row>
    <row r="142" s="441" customFormat="1" ht="12.75">
      <c r="F142" s="452"/>
    </row>
    <row r="143" s="441" customFormat="1" ht="12.75">
      <c r="F143" s="452"/>
    </row>
    <row r="144" s="441" customFormat="1" ht="12.75">
      <c r="F144" s="452"/>
    </row>
    <row r="145" s="441" customFormat="1" ht="12.75">
      <c r="F145" s="452"/>
    </row>
    <row r="146" s="441" customFormat="1" ht="12.75">
      <c r="F146" s="452"/>
    </row>
    <row r="147" s="441" customFormat="1" ht="12.75">
      <c r="F147" s="452"/>
    </row>
    <row r="148" s="441" customFormat="1" ht="12.75">
      <c r="F148" s="452"/>
    </row>
    <row r="149" s="441" customFormat="1" ht="12.75">
      <c r="F149" s="452"/>
    </row>
    <row r="150" s="441" customFormat="1" ht="12.75">
      <c r="F150" s="452"/>
    </row>
    <row r="151" s="441" customFormat="1" ht="12.75">
      <c r="F151" s="452"/>
    </row>
    <row r="152" s="441" customFormat="1" ht="12.75">
      <c r="F152" s="452"/>
    </row>
    <row r="153" s="441" customFormat="1" ht="12.75">
      <c r="F153" s="452"/>
    </row>
    <row r="154" s="441" customFormat="1" ht="12.75">
      <c r="F154" s="452"/>
    </row>
    <row r="155" s="441" customFormat="1" ht="12.75">
      <c r="F155" s="452"/>
    </row>
    <row r="156" s="441" customFormat="1" ht="12.75">
      <c r="F156" s="452"/>
    </row>
    <row r="157" s="441" customFormat="1" ht="12.75">
      <c r="F157" s="452"/>
    </row>
    <row r="158" s="441" customFormat="1" ht="12.75">
      <c r="F158" s="452"/>
    </row>
    <row r="159" s="441" customFormat="1" ht="12.75">
      <c r="F159" s="452"/>
    </row>
    <row r="160" s="441" customFormat="1" ht="12.75">
      <c r="F160" s="452"/>
    </row>
    <row r="161" s="441" customFormat="1" ht="12.75">
      <c r="F161" s="452"/>
    </row>
    <row r="162" s="441" customFormat="1" ht="12.75">
      <c r="F162" s="452"/>
    </row>
    <row r="163" s="441" customFormat="1" ht="12.75">
      <c r="F163" s="452"/>
    </row>
    <row r="164" s="441" customFormat="1" ht="12.75">
      <c r="F164" s="452"/>
    </row>
    <row r="165" s="441" customFormat="1" ht="12.75">
      <c r="F165" s="452"/>
    </row>
    <row r="166" s="441" customFormat="1" ht="12.75">
      <c r="F166" s="452"/>
    </row>
    <row r="167" s="441" customFormat="1" ht="12.75">
      <c r="F167" s="452"/>
    </row>
    <row r="168" s="441" customFormat="1" ht="12.75">
      <c r="F168" s="452"/>
    </row>
    <row r="169" s="441" customFormat="1" ht="12.75">
      <c r="F169" s="452"/>
    </row>
    <row r="170" s="441" customFormat="1" ht="12.75">
      <c r="F170" s="452"/>
    </row>
    <row r="171" s="441" customFormat="1" ht="12.75">
      <c r="F171" s="452"/>
    </row>
    <row r="172" s="441" customFormat="1" ht="12.75">
      <c r="F172" s="452"/>
    </row>
    <row r="173" s="441" customFormat="1" ht="12.75">
      <c r="F173" s="452"/>
    </row>
    <row r="174" s="441" customFormat="1" ht="12.75">
      <c r="F174" s="452"/>
    </row>
    <row r="175" s="441" customFormat="1" ht="12.75">
      <c r="F175" s="452"/>
    </row>
    <row r="176" s="441" customFormat="1" ht="12.75">
      <c r="F176" s="452"/>
    </row>
    <row r="177" s="441" customFormat="1" ht="12.75">
      <c r="F177" s="452"/>
    </row>
    <row r="178" s="441" customFormat="1" ht="12.75">
      <c r="F178" s="452"/>
    </row>
    <row r="179" s="441" customFormat="1" ht="12.75">
      <c r="F179" s="452"/>
    </row>
    <row r="180" s="441" customFormat="1" ht="12.75">
      <c r="F180" s="452"/>
    </row>
    <row r="181" s="441" customFormat="1" ht="12.75">
      <c r="F181" s="452"/>
    </row>
    <row r="182" s="441" customFormat="1" ht="12.75">
      <c r="F182" s="452"/>
    </row>
    <row r="183" s="441" customFormat="1" ht="12.75">
      <c r="F183" s="452"/>
    </row>
    <row r="184" s="441" customFormat="1" ht="12.75">
      <c r="F184" s="452"/>
    </row>
    <row r="185" s="441" customFormat="1" ht="12.75">
      <c r="F185" s="452"/>
    </row>
    <row r="186" s="441" customFormat="1" ht="12.75">
      <c r="F186" s="452"/>
    </row>
    <row r="187" s="441" customFormat="1" ht="12.75">
      <c r="F187" s="452"/>
    </row>
    <row r="188" s="441" customFormat="1" ht="12.75">
      <c r="F188" s="452"/>
    </row>
    <row r="189" s="441" customFormat="1" ht="12.75">
      <c r="F189" s="452"/>
    </row>
    <row r="190" s="441" customFormat="1" ht="12.75">
      <c r="F190" s="452"/>
    </row>
    <row r="191" s="441" customFormat="1" ht="12.75">
      <c r="F191" s="452"/>
    </row>
    <row r="192" s="441" customFormat="1" ht="12.75">
      <c r="F192" s="452"/>
    </row>
    <row r="193" s="441" customFormat="1" ht="12.75">
      <c r="F193" s="452"/>
    </row>
    <row r="194" s="441" customFormat="1" ht="12.75">
      <c r="F194" s="452"/>
    </row>
    <row r="195" s="441" customFormat="1" ht="12.75">
      <c r="F195" s="452"/>
    </row>
    <row r="196" s="441" customFormat="1" ht="12.75">
      <c r="F196" s="452"/>
    </row>
    <row r="197" s="441" customFormat="1" ht="12.75">
      <c r="F197" s="452"/>
    </row>
    <row r="198" s="441" customFormat="1" ht="12.75">
      <c r="F198" s="452"/>
    </row>
    <row r="199" s="441" customFormat="1" ht="12.75">
      <c r="F199" s="452"/>
    </row>
    <row r="200" s="441" customFormat="1" ht="12.75">
      <c r="F200" s="452"/>
    </row>
    <row r="201" s="441" customFormat="1" ht="12.75">
      <c r="F201" s="452"/>
    </row>
    <row r="202" s="441" customFormat="1" ht="12.75">
      <c r="F202" s="452"/>
    </row>
    <row r="203" s="441" customFormat="1" ht="12.75">
      <c r="F203" s="452"/>
    </row>
    <row r="204" s="441" customFormat="1" ht="12.75">
      <c r="F204" s="452"/>
    </row>
    <row r="205" s="441" customFormat="1" ht="12.75">
      <c r="F205" s="452"/>
    </row>
    <row r="206" s="441" customFormat="1" ht="12.75">
      <c r="F206" s="452"/>
    </row>
    <row r="207" s="441" customFormat="1" ht="12.75">
      <c r="F207" s="452"/>
    </row>
    <row r="208" s="441" customFormat="1" ht="12.75">
      <c r="F208" s="452"/>
    </row>
    <row r="209" s="441" customFormat="1" ht="12.75">
      <c r="F209" s="452"/>
    </row>
    <row r="210" s="441" customFormat="1" ht="12.75">
      <c r="F210" s="452"/>
    </row>
    <row r="211" s="441" customFormat="1" ht="12.75">
      <c r="F211" s="452"/>
    </row>
    <row r="212" s="441" customFormat="1" ht="12.75">
      <c r="F212" s="452"/>
    </row>
    <row r="213" s="441" customFormat="1" ht="12.75">
      <c r="F213" s="452"/>
    </row>
    <row r="214" s="441" customFormat="1" ht="12.75">
      <c r="F214" s="452"/>
    </row>
    <row r="215" s="441" customFormat="1" ht="12.75">
      <c r="F215" s="452"/>
    </row>
    <row r="216" s="441" customFormat="1" ht="12.75">
      <c r="F216" s="452"/>
    </row>
    <row r="217" s="441" customFormat="1" ht="12.75">
      <c r="F217" s="452"/>
    </row>
    <row r="218" s="441" customFormat="1" ht="12.75">
      <c r="F218" s="452"/>
    </row>
    <row r="219" s="441" customFormat="1" ht="12.75">
      <c r="F219" s="452"/>
    </row>
    <row r="220" s="441" customFormat="1" ht="12.75">
      <c r="F220" s="452"/>
    </row>
    <row r="221" s="441" customFormat="1" ht="12.75">
      <c r="F221" s="452"/>
    </row>
    <row r="222" s="441" customFormat="1" ht="12.75">
      <c r="F222" s="452"/>
    </row>
    <row r="223" s="441" customFormat="1" ht="12.75">
      <c r="F223" s="452"/>
    </row>
    <row r="224" s="441" customFormat="1" ht="12.75">
      <c r="F224" s="452"/>
    </row>
    <row r="225" s="441" customFormat="1" ht="12.75">
      <c r="F225" s="452"/>
    </row>
    <row r="226" s="441" customFormat="1" ht="12.75">
      <c r="F226" s="452"/>
    </row>
    <row r="227" s="441" customFormat="1" ht="12.75">
      <c r="F227" s="452"/>
    </row>
    <row r="228" s="441" customFormat="1" ht="12.75">
      <c r="F228" s="452"/>
    </row>
    <row r="229" s="441" customFormat="1" ht="12.75">
      <c r="F229" s="452"/>
    </row>
    <row r="230" s="441" customFormat="1" ht="12.75">
      <c r="F230" s="452"/>
    </row>
    <row r="231" s="441" customFormat="1" ht="12.75">
      <c r="F231" s="452"/>
    </row>
    <row r="232" s="441" customFormat="1" ht="12.75">
      <c r="F232" s="452"/>
    </row>
    <row r="233" s="441" customFormat="1" ht="12.75">
      <c r="F233" s="452"/>
    </row>
    <row r="234" s="441" customFormat="1" ht="12.75">
      <c r="F234" s="452"/>
    </row>
    <row r="235" s="441" customFormat="1" ht="12.75">
      <c r="F235" s="452"/>
    </row>
    <row r="236" s="441" customFormat="1" ht="12.75">
      <c r="F236" s="452"/>
    </row>
    <row r="237" s="441" customFormat="1" ht="12.75">
      <c r="F237" s="452"/>
    </row>
    <row r="238" s="441" customFormat="1" ht="12.75">
      <c r="F238" s="452"/>
    </row>
    <row r="239" s="441" customFormat="1" ht="12.75">
      <c r="F239" s="452"/>
    </row>
    <row r="240" s="441" customFormat="1" ht="12.75">
      <c r="F240" s="452"/>
    </row>
    <row r="241" s="441" customFormat="1" ht="12.75">
      <c r="F241" s="452"/>
    </row>
    <row r="242" s="441" customFormat="1" ht="12.75">
      <c r="F242" s="452"/>
    </row>
    <row r="243" s="441" customFormat="1" ht="12.75">
      <c r="F243" s="452"/>
    </row>
    <row r="244" s="441" customFormat="1" ht="12.75">
      <c r="F244" s="452"/>
    </row>
    <row r="245" s="441" customFormat="1" ht="12.75">
      <c r="F245" s="452"/>
    </row>
    <row r="246" s="441" customFormat="1" ht="12.75">
      <c r="F246" s="452"/>
    </row>
    <row r="247" s="441" customFormat="1" ht="12.75">
      <c r="F247" s="452"/>
    </row>
    <row r="248" s="441" customFormat="1" ht="12.75">
      <c r="F248" s="452"/>
    </row>
    <row r="249" s="441" customFormat="1" ht="12.75">
      <c r="F249" s="452"/>
    </row>
    <row r="250" s="441" customFormat="1" ht="12.75">
      <c r="F250" s="452"/>
    </row>
    <row r="251" s="441" customFormat="1" ht="12.75">
      <c r="F251" s="452"/>
    </row>
    <row r="252" s="441" customFormat="1" ht="12.75">
      <c r="F252" s="452"/>
    </row>
    <row r="253" s="441" customFormat="1" ht="12.75">
      <c r="F253" s="452"/>
    </row>
    <row r="254" s="441" customFormat="1" ht="12.75">
      <c r="F254" s="452"/>
    </row>
    <row r="255" s="441" customFormat="1" ht="12.75">
      <c r="F255" s="452"/>
    </row>
    <row r="256" s="441" customFormat="1" ht="12.75">
      <c r="F256" s="452"/>
    </row>
    <row r="257" s="441" customFormat="1" ht="12.75">
      <c r="F257" s="452"/>
    </row>
    <row r="258" s="441" customFormat="1" ht="12.75">
      <c r="F258" s="452"/>
    </row>
    <row r="259" s="441" customFormat="1" ht="12.75">
      <c r="F259" s="452"/>
    </row>
    <row r="260" s="441" customFormat="1" ht="12.75">
      <c r="F260" s="452"/>
    </row>
    <row r="261" s="441" customFormat="1" ht="12.75">
      <c r="F261" s="452"/>
    </row>
    <row r="262" s="441" customFormat="1" ht="12.75">
      <c r="F262" s="452"/>
    </row>
    <row r="263" s="441" customFormat="1" ht="12.75">
      <c r="F263" s="452"/>
    </row>
    <row r="264" s="441" customFormat="1" ht="12.75">
      <c r="F264" s="452"/>
    </row>
    <row r="265" s="441" customFormat="1" ht="12.75">
      <c r="F265" s="452"/>
    </row>
    <row r="266" s="441" customFormat="1" ht="12.75">
      <c r="F266" s="452"/>
    </row>
    <row r="267" s="441" customFormat="1" ht="12.75">
      <c r="F267" s="452"/>
    </row>
    <row r="268" s="441" customFormat="1" ht="12.75">
      <c r="F268" s="452"/>
    </row>
    <row r="269" s="441" customFormat="1" ht="12.75">
      <c r="F269" s="452"/>
    </row>
    <row r="270" s="441" customFormat="1" ht="12.75">
      <c r="F270" s="452"/>
    </row>
    <row r="271" s="441" customFormat="1" ht="12.75">
      <c r="F271" s="452"/>
    </row>
    <row r="272" s="441" customFormat="1" ht="12.75">
      <c r="F272" s="452"/>
    </row>
    <row r="273" s="441" customFormat="1" ht="12.75">
      <c r="F273" s="452"/>
    </row>
    <row r="274" s="441" customFormat="1" ht="12.75">
      <c r="F274" s="452"/>
    </row>
    <row r="275" s="441" customFormat="1" ht="12.75">
      <c r="F275" s="452"/>
    </row>
    <row r="276" s="441" customFormat="1" ht="12.75">
      <c r="F276" s="452"/>
    </row>
    <row r="277" s="441" customFormat="1" ht="12.75">
      <c r="F277" s="452"/>
    </row>
    <row r="278" s="441" customFormat="1" ht="12.75">
      <c r="F278" s="452"/>
    </row>
    <row r="279" s="441" customFormat="1" ht="12.75">
      <c r="F279" s="452"/>
    </row>
    <row r="280" s="441" customFormat="1" ht="12.75">
      <c r="F280" s="452"/>
    </row>
    <row r="281" s="441" customFormat="1" ht="12.75">
      <c r="F281" s="452"/>
    </row>
    <row r="282" s="441" customFormat="1" ht="12.75">
      <c r="F282" s="452"/>
    </row>
    <row r="283" s="441" customFormat="1" ht="12.75">
      <c r="F283" s="452"/>
    </row>
    <row r="284" s="441" customFormat="1" ht="12.75">
      <c r="F284" s="452"/>
    </row>
    <row r="285" s="441" customFormat="1" ht="12.75">
      <c r="F285" s="452"/>
    </row>
    <row r="286" s="441" customFormat="1" ht="12.75">
      <c r="F286" s="452"/>
    </row>
    <row r="287" s="441" customFormat="1" ht="12.75">
      <c r="F287" s="452"/>
    </row>
    <row r="288" s="441" customFormat="1" ht="12.75">
      <c r="F288" s="452"/>
    </row>
    <row r="289" s="441" customFormat="1" ht="12.75">
      <c r="F289" s="452"/>
    </row>
    <row r="290" s="441" customFormat="1" ht="12.75">
      <c r="F290" s="452"/>
    </row>
    <row r="291" s="441" customFormat="1" ht="12.75">
      <c r="F291" s="452"/>
    </row>
    <row r="292" s="441" customFormat="1" ht="12.75">
      <c r="F292" s="452"/>
    </row>
    <row r="293" s="441" customFormat="1" ht="12.75">
      <c r="F293" s="452"/>
    </row>
    <row r="294" s="441" customFormat="1" ht="12.75">
      <c r="F294" s="452"/>
    </row>
    <row r="295" s="441" customFormat="1" ht="12.75">
      <c r="F295" s="452"/>
    </row>
    <row r="296" s="441" customFormat="1" ht="12.75">
      <c r="F296" s="452"/>
    </row>
    <row r="297" s="441" customFormat="1" ht="12.75">
      <c r="F297" s="452"/>
    </row>
    <row r="298" s="441" customFormat="1" ht="12.75">
      <c r="F298" s="452"/>
    </row>
    <row r="299" s="441" customFormat="1" ht="12.75">
      <c r="F299" s="452"/>
    </row>
    <row r="300" s="441" customFormat="1" ht="12.75">
      <c r="F300" s="452"/>
    </row>
    <row r="301" s="441" customFormat="1" ht="12.75">
      <c r="F301" s="452"/>
    </row>
    <row r="302" s="441" customFormat="1" ht="12.75">
      <c r="F302" s="452"/>
    </row>
    <row r="303" s="441" customFormat="1" ht="12.75">
      <c r="F303" s="452"/>
    </row>
    <row r="304" s="441" customFormat="1" ht="12.75">
      <c r="F304" s="452"/>
    </row>
    <row r="305" s="441" customFormat="1" ht="12.75">
      <c r="F305" s="452"/>
    </row>
    <row r="306" s="441" customFormat="1" ht="12.75">
      <c r="F306" s="452"/>
    </row>
    <row r="307" s="441" customFormat="1" ht="12.75">
      <c r="F307" s="452"/>
    </row>
    <row r="308" s="441" customFormat="1" ht="12.75">
      <c r="F308" s="452"/>
    </row>
    <row r="309" s="441" customFormat="1" ht="12.75">
      <c r="F309" s="452"/>
    </row>
    <row r="310" s="441" customFormat="1" ht="12.75">
      <c r="F310" s="452"/>
    </row>
    <row r="311" s="441" customFormat="1" ht="12.75">
      <c r="F311" s="452"/>
    </row>
    <row r="312" s="441" customFormat="1" ht="12.75">
      <c r="F312" s="452"/>
    </row>
    <row r="313" s="441" customFormat="1" ht="12.75">
      <c r="F313" s="452"/>
    </row>
    <row r="314" s="441" customFormat="1" ht="12.75">
      <c r="F314" s="452"/>
    </row>
    <row r="315" s="441" customFormat="1" ht="12.75">
      <c r="F315" s="452"/>
    </row>
    <row r="316" s="441" customFormat="1" ht="12.75">
      <c r="F316" s="452"/>
    </row>
    <row r="317" s="441" customFormat="1" ht="12.75">
      <c r="F317" s="452"/>
    </row>
    <row r="318" s="441" customFormat="1" ht="12.75">
      <c r="F318" s="452"/>
    </row>
    <row r="319" s="441" customFormat="1" ht="12.75">
      <c r="F319" s="452"/>
    </row>
    <row r="320" s="441" customFormat="1" ht="12.75">
      <c r="F320" s="452"/>
    </row>
    <row r="321" s="441" customFormat="1" ht="12.75">
      <c r="F321" s="452"/>
    </row>
    <row r="322" s="441" customFormat="1" ht="12.75">
      <c r="F322" s="452"/>
    </row>
    <row r="323" s="441" customFormat="1" ht="12.75">
      <c r="F323" s="452"/>
    </row>
    <row r="324" s="441" customFormat="1" ht="12.75">
      <c r="F324" s="452"/>
    </row>
    <row r="325" s="441" customFormat="1" ht="12.75">
      <c r="F325" s="452"/>
    </row>
    <row r="326" s="441" customFormat="1" ht="12.75">
      <c r="F326" s="452"/>
    </row>
    <row r="327" s="441" customFormat="1" ht="12.75">
      <c r="F327" s="452"/>
    </row>
    <row r="328" s="441" customFormat="1" ht="12.75">
      <c r="F328" s="452"/>
    </row>
    <row r="329" s="441" customFormat="1" ht="12.75">
      <c r="F329" s="452"/>
    </row>
    <row r="330" s="441" customFormat="1" ht="12.75">
      <c r="F330" s="452"/>
    </row>
    <row r="331" s="441" customFormat="1" ht="12.75">
      <c r="F331" s="452"/>
    </row>
    <row r="332" s="441" customFormat="1" ht="12.75">
      <c r="F332" s="452"/>
    </row>
    <row r="333" s="441" customFormat="1" ht="12.75">
      <c r="F333" s="452"/>
    </row>
    <row r="334" s="441" customFormat="1" ht="12.75">
      <c r="F334" s="452"/>
    </row>
    <row r="335" s="441" customFormat="1" ht="12.75">
      <c r="F335" s="452"/>
    </row>
    <row r="336" s="441" customFormat="1" ht="12.75">
      <c r="F336" s="452"/>
    </row>
    <row r="337" s="441" customFormat="1" ht="12.75">
      <c r="F337" s="452"/>
    </row>
    <row r="338" s="441" customFormat="1" ht="12.75">
      <c r="F338" s="452"/>
    </row>
    <row r="339" s="441" customFormat="1" ht="12.75">
      <c r="F339" s="452"/>
    </row>
    <row r="340" s="441" customFormat="1" ht="12.75">
      <c r="F340" s="452"/>
    </row>
    <row r="341" s="441" customFormat="1" ht="12.75">
      <c r="F341" s="452"/>
    </row>
    <row r="342" s="441" customFormat="1" ht="12.75">
      <c r="F342" s="452"/>
    </row>
    <row r="343" s="441" customFormat="1" ht="12.75">
      <c r="F343" s="452"/>
    </row>
    <row r="344" s="441" customFormat="1" ht="12.75">
      <c r="F344" s="452"/>
    </row>
    <row r="345" s="441" customFormat="1" ht="12.75">
      <c r="F345" s="452"/>
    </row>
    <row r="346" s="441" customFormat="1" ht="12.75">
      <c r="F346" s="452"/>
    </row>
    <row r="347" s="441" customFormat="1" ht="12.75">
      <c r="F347" s="452"/>
    </row>
    <row r="348" s="441" customFormat="1" ht="12.75">
      <c r="F348" s="452"/>
    </row>
    <row r="349" s="441" customFormat="1" ht="12.75">
      <c r="F349" s="452"/>
    </row>
    <row r="350" s="441" customFormat="1" ht="12.75">
      <c r="F350" s="452"/>
    </row>
    <row r="351" s="441" customFormat="1" ht="12.75">
      <c r="F351" s="452"/>
    </row>
    <row r="352" s="441" customFormat="1" ht="12.75">
      <c r="F352" s="452"/>
    </row>
    <row r="353" s="441" customFormat="1" ht="12.75">
      <c r="F353" s="452"/>
    </row>
    <row r="354" s="441" customFormat="1" ht="12.75">
      <c r="F354" s="452"/>
    </row>
    <row r="355" s="441" customFormat="1" ht="12.75">
      <c r="F355" s="452"/>
    </row>
    <row r="356" s="441" customFormat="1" ht="12.75">
      <c r="F356" s="452"/>
    </row>
    <row r="357" s="441" customFormat="1" ht="12.75">
      <c r="F357" s="452"/>
    </row>
    <row r="358" s="441" customFormat="1" ht="12.75">
      <c r="F358" s="452"/>
    </row>
    <row r="359" s="441" customFormat="1" ht="12.75">
      <c r="F359" s="452"/>
    </row>
    <row r="360" s="441" customFormat="1" ht="12.75">
      <c r="F360" s="452"/>
    </row>
    <row r="361" s="441" customFormat="1" ht="12.75">
      <c r="F361" s="452"/>
    </row>
    <row r="362" s="441" customFormat="1" ht="12.75">
      <c r="F362" s="452"/>
    </row>
    <row r="363" s="441" customFormat="1" ht="12.75">
      <c r="F363" s="452"/>
    </row>
    <row r="364" s="441" customFormat="1" ht="12.75">
      <c r="F364" s="452"/>
    </row>
    <row r="365" s="441" customFormat="1" ht="12.75">
      <c r="F365" s="452"/>
    </row>
    <row r="366" s="441" customFormat="1" ht="12.75">
      <c r="F366" s="452"/>
    </row>
    <row r="367" s="441" customFormat="1" ht="12.75">
      <c r="F367" s="452"/>
    </row>
    <row r="368" s="441" customFormat="1" ht="12.75">
      <c r="F368" s="452"/>
    </row>
    <row r="369" s="441" customFormat="1" ht="12.75">
      <c r="F369" s="452"/>
    </row>
    <row r="370" s="441" customFormat="1" ht="12.75">
      <c r="F370" s="452"/>
    </row>
    <row r="371" s="441" customFormat="1" ht="12.75">
      <c r="F371" s="452"/>
    </row>
    <row r="372" s="441" customFormat="1" ht="12.75">
      <c r="F372" s="452"/>
    </row>
    <row r="373" s="441" customFormat="1" ht="12.75">
      <c r="F373" s="452"/>
    </row>
    <row r="374" s="441" customFormat="1" ht="12.75">
      <c r="F374" s="452"/>
    </row>
    <row r="375" s="441" customFormat="1" ht="12.75">
      <c r="F375" s="452"/>
    </row>
    <row r="376" s="441" customFormat="1" ht="12.75">
      <c r="F376" s="452"/>
    </row>
    <row r="377" s="441" customFormat="1" ht="12.75">
      <c r="F377" s="452"/>
    </row>
    <row r="378" s="441" customFormat="1" ht="12.75">
      <c r="F378" s="452"/>
    </row>
    <row r="379" s="441" customFormat="1" ht="12.75">
      <c r="F379" s="452"/>
    </row>
    <row r="380" s="441" customFormat="1" ht="12.75">
      <c r="F380" s="452"/>
    </row>
    <row r="381" s="441" customFormat="1" ht="12.75">
      <c r="F381" s="452"/>
    </row>
    <row r="382" s="441" customFormat="1" ht="12.75">
      <c r="F382" s="452"/>
    </row>
    <row r="383" s="441" customFormat="1" ht="12.75">
      <c r="F383" s="452"/>
    </row>
    <row r="384" s="441" customFormat="1" ht="12.75">
      <c r="F384" s="452"/>
    </row>
    <row r="385" s="441" customFormat="1" ht="12.75">
      <c r="F385" s="452"/>
    </row>
    <row r="386" s="441" customFormat="1" ht="12.75">
      <c r="F386" s="452"/>
    </row>
    <row r="387" s="441" customFormat="1" ht="12.75">
      <c r="F387" s="452"/>
    </row>
    <row r="388" s="441" customFormat="1" ht="12.75">
      <c r="F388" s="452"/>
    </row>
    <row r="389" s="441" customFormat="1" ht="12.75">
      <c r="F389" s="452"/>
    </row>
    <row r="390" s="441" customFormat="1" ht="12.75">
      <c r="F390" s="452"/>
    </row>
    <row r="391" s="441" customFormat="1" ht="12.75">
      <c r="F391" s="452"/>
    </row>
    <row r="392" s="441" customFormat="1" ht="12.75">
      <c r="F392" s="452"/>
    </row>
    <row r="393" s="441" customFormat="1" ht="12.75">
      <c r="F393" s="452"/>
    </row>
    <row r="394" s="441" customFormat="1" ht="12.75">
      <c r="F394" s="452"/>
    </row>
    <row r="395" s="441" customFormat="1" ht="12.75">
      <c r="F395" s="452"/>
    </row>
    <row r="396" s="441" customFormat="1" ht="12.75">
      <c r="F396" s="452"/>
    </row>
    <row r="397" s="441" customFormat="1" ht="12.75">
      <c r="F397" s="452"/>
    </row>
    <row r="398" s="441" customFormat="1" ht="12.75">
      <c r="F398" s="452"/>
    </row>
    <row r="399" s="441" customFormat="1" ht="12.75">
      <c r="F399" s="452"/>
    </row>
    <row r="400" s="441" customFormat="1" ht="12.75">
      <c r="F400" s="452"/>
    </row>
    <row r="401" s="441" customFormat="1" ht="12.75">
      <c r="F401" s="452"/>
    </row>
    <row r="402" s="441" customFormat="1" ht="12.75">
      <c r="F402" s="452"/>
    </row>
    <row r="403" s="441" customFormat="1" ht="12.75">
      <c r="F403" s="452"/>
    </row>
    <row r="404" s="441" customFormat="1" ht="12.75">
      <c r="F404" s="452"/>
    </row>
    <row r="405" s="441" customFormat="1" ht="12.75">
      <c r="F405" s="452"/>
    </row>
    <row r="406" s="441" customFormat="1" ht="12.75">
      <c r="F406" s="452"/>
    </row>
    <row r="407" s="441" customFormat="1" ht="12.75">
      <c r="F407" s="452"/>
    </row>
    <row r="408" s="441" customFormat="1" ht="12.75">
      <c r="F408" s="452"/>
    </row>
    <row r="409" s="441" customFormat="1" ht="12.75">
      <c r="F409" s="452"/>
    </row>
    <row r="410" s="441" customFormat="1" ht="12.75">
      <c r="F410" s="452"/>
    </row>
    <row r="411" s="441" customFormat="1" ht="12.75">
      <c r="F411" s="452"/>
    </row>
    <row r="412" s="441" customFormat="1" ht="12.75">
      <c r="F412" s="452"/>
    </row>
    <row r="413" s="441" customFormat="1" ht="12.75">
      <c r="F413" s="452"/>
    </row>
    <row r="414" s="441" customFormat="1" ht="12.75">
      <c r="F414" s="452"/>
    </row>
    <row r="415" s="441" customFormat="1" ht="12.75">
      <c r="F415" s="452"/>
    </row>
    <row r="416" s="441" customFormat="1" ht="12.75">
      <c r="F416" s="452"/>
    </row>
    <row r="417" s="441" customFormat="1" ht="12.75">
      <c r="F417" s="452"/>
    </row>
    <row r="418" s="441" customFormat="1" ht="12.75">
      <c r="F418" s="452"/>
    </row>
    <row r="419" s="441" customFormat="1" ht="12.75">
      <c r="F419" s="452"/>
    </row>
    <row r="420" s="441" customFormat="1" ht="12.75">
      <c r="F420" s="452"/>
    </row>
    <row r="421" s="441" customFormat="1" ht="12.75">
      <c r="F421" s="452"/>
    </row>
    <row r="422" s="441" customFormat="1" ht="12.75">
      <c r="F422" s="452"/>
    </row>
    <row r="423" s="441" customFormat="1" ht="12.75">
      <c r="F423" s="452"/>
    </row>
    <row r="424" s="441" customFormat="1" ht="12.75">
      <c r="F424" s="452"/>
    </row>
    <row r="425" s="441" customFormat="1" ht="12.75">
      <c r="F425" s="452"/>
    </row>
    <row r="426" s="441" customFormat="1" ht="12.75">
      <c r="F426" s="452"/>
    </row>
    <row r="427" s="441" customFormat="1" ht="12.75">
      <c r="F427" s="452"/>
    </row>
    <row r="428" s="441" customFormat="1" ht="12.75">
      <c r="F428" s="452"/>
    </row>
    <row r="429" s="441" customFormat="1" ht="12.75">
      <c r="F429" s="452"/>
    </row>
    <row r="430" s="441" customFormat="1" ht="12.75">
      <c r="F430" s="452"/>
    </row>
    <row r="431" s="441" customFormat="1" ht="12.75">
      <c r="F431" s="452"/>
    </row>
    <row r="432" s="441" customFormat="1" ht="12.75">
      <c r="F432" s="452"/>
    </row>
    <row r="433" s="441" customFormat="1" ht="12.75">
      <c r="F433" s="452"/>
    </row>
    <row r="434" s="441" customFormat="1" ht="12.75">
      <c r="F434" s="452"/>
    </row>
    <row r="435" s="441" customFormat="1" ht="12.75">
      <c r="F435" s="452"/>
    </row>
    <row r="436" s="441" customFormat="1" ht="12.75">
      <c r="F436" s="452"/>
    </row>
    <row r="437" s="441" customFormat="1" ht="12.75">
      <c r="F437" s="452"/>
    </row>
    <row r="438" s="441" customFormat="1" ht="12.75">
      <c r="F438" s="452"/>
    </row>
    <row r="439" s="441" customFormat="1" ht="12.75">
      <c r="F439" s="452"/>
    </row>
    <row r="440" s="441" customFormat="1" ht="12.75">
      <c r="F440" s="452"/>
    </row>
    <row r="441" s="441" customFormat="1" ht="12.75">
      <c r="F441" s="452"/>
    </row>
    <row r="442" s="441" customFormat="1" ht="12.75">
      <c r="F442" s="452"/>
    </row>
    <row r="443" s="441" customFormat="1" ht="12.75">
      <c r="F443" s="452"/>
    </row>
    <row r="444" s="441" customFormat="1" ht="12.75">
      <c r="F444" s="452"/>
    </row>
    <row r="445" s="441" customFormat="1" ht="12.75">
      <c r="F445" s="452"/>
    </row>
    <row r="446" s="441" customFormat="1" ht="12.75">
      <c r="F446" s="452"/>
    </row>
    <row r="447" s="441" customFormat="1" ht="12.75">
      <c r="F447" s="452"/>
    </row>
    <row r="448" s="441" customFormat="1" ht="12.75">
      <c r="F448" s="452"/>
    </row>
    <row r="449" s="441" customFormat="1" ht="12.75">
      <c r="F449" s="452"/>
    </row>
    <row r="450" s="441" customFormat="1" ht="12.75">
      <c r="F450" s="452"/>
    </row>
    <row r="451" s="441" customFormat="1" ht="12.75">
      <c r="F451" s="452"/>
    </row>
    <row r="452" s="441" customFormat="1" ht="12.75">
      <c r="F452" s="452"/>
    </row>
    <row r="453" s="441" customFormat="1" ht="12.75">
      <c r="F453" s="452"/>
    </row>
    <row r="454" s="441" customFormat="1" ht="12.75">
      <c r="F454" s="452"/>
    </row>
    <row r="455" s="441" customFormat="1" ht="12.75">
      <c r="F455" s="452"/>
    </row>
    <row r="456" s="441" customFormat="1" ht="12.75">
      <c r="F456" s="452"/>
    </row>
    <row r="457" s="441" customFormat="1" ht="12.75">
      <c r="F457" s="452"/>
    </row>
    <row r="458" s="441" customFormat="1" ht="12.75">
      <c r="F458" s="452"/>
    </row>
    <row r="459" s="441" customFormat="1" ht="12.75">
      <c r="F459" s="452"/>
    </row>
    <row r="460" s="441" customFormat="1" ht="12.75">
      <c r="F460" s="452"/>
    </row>
    <row r="461" s="441" customFormat="1" ht="12.75">
      <c r="F461" s="452"/>
    </row>
    <row r="462" s="441" customFormat="1" ht="12.75">
      <c r="F462" s="452"/>
    </row>
    <row r="463" s="441" customFormat="1" ht="12.75">
      <c r="F463" s="452"/>
    </row>
    <row r="464" s="441" customFormat="1" ht="12.75">
      <c r="F464" s="452"/>
    </row>
    <row r="465" s="441" customFormat="1" ht="12.75">
      <c r="F465" s="452"/>
    </row>
    <row r="466" s="441" customFormat="1" ht="12.75">
      <c r="F466" s="452"/>
    </row>
    <row r="467" s="441" customFormat="1" ht="12.75">
      <c r="F467" s="452"/>
    </row>
    <row r="468" s="441" customFormat="1" ht="12.75">
      <c r="F468" s="452"/>
    </row>
    <row r="469" s="441" customFormat="1" ht="12.75">
      <c r="F469" s="452"/>
    </row>
    <row r="470" s="441" customFormat="1" ht="12.75">
      <c r="F470" s="452"/>
    </row>
    <row r="471" s="441" customFormat="1" ht="12.75">
      <c r="F471" s="452"/>
    </row>
    <row r="472" s="441" customFormat="1" ht="12.75">
      <c r="F472" s="452"/>
    </row>
    <row r="473" s="441" customFormat="1" ht="12.75">
      <c r="F473" s="452"/>
    </row>
    <row r="474" s="441" customFormat="1" ht="12.75">
      <c r="F474" s="452"/>
    </row>
    <row r="475" s="441" customFormat="1" ht="12.75">
      <c r="F475" s="452"/>
    </row>
    <row r="476" s="441" customFormat="1" ht="12.75">
      <c r="F476" s="452"/>
    </row>
    <row r="477" s="441" customFormat="1" ht="12.75">
      <c r="F477" s="452"/>
    </row>
    <row r="478" s="441" customFormat="1" ht="12.75">
      <c r="F478" s="452"/>
    </row>
    <row r="479" s="441" customFormat="1" ht="12.75">
      <c r="F479" s="452"/>
    </row>
    <row r="480" s="441" customFormat="1" ht="12.75">
      <c r="F480" s="452"/>
    </row>
    <row r="481" s="441" customFormat="1" ht="12.75">
      <c r="F481" s="452"/>
    </row>
    <row r="482" s="441" customFormat="1" ht="12.75">
      <c r="F482" s="452"/>
    </row>
    <row r="483" s="441" customFormat="1" ht="12.75">
      <c r="F483" s="452"/>
    </row>
    <row r="484" s="441" customFormat="1" ht="12.75">
      <c r="F484" s="452"/>
    </row>
    <row r="485" s="441" customFormat="1" ht="12.75">
      <c r="F485" s="452"/>
    </row>
    <row r="486" s="441" customFormat="1" ht="12.75">
      <c r="F486" s="452"/>
    </row>
    <row r="487" s="441" customFormat="1" ht="12.75">
      <c r="F487" s="452"/>
    </row>
    <row r="488" s="441" customFormat="1" ht="12.75">
      <c r="F488" s="452"/>
    </row>
    <row r="489" s="441" customFormat="1" ht="12.75">
      <c r="F489" s="452"/>
    </row>
    <row r="490" s="441" customFormat="1" ht="12.75">
      <c r="F490" s="452"/>
    </row>
    <row r="491" s="441" customFormat="1" ht="12.75">
      <c r="F491" s="452"/>
    </row>
    <row r="492" s="441" customFormat="1" ht="12.75">
      <c r="F492" s="452"/>
    </row>
    <row r="493" s="441" customFormat="1" ht="12.75">
      <c r="F493" s="452"/>
    </row>
    <row r="494" s="441" customFormat="1" ht="12.75">
      <c r="F494" s="452"/>
    </row>
    <row r="495" s="441" customFormat="1" ht="12.75">
      <c r="F495" s="452"/>
    </row>
    <row r="496" s="441" customFormat="1" ht="12.75">
      <c r="F496" s="452"/>
    </row>
    <row r="497" s="441" customFormat="1" ht="12.75">
      <c r="F497" s="452"/>
    </row>
    <row r="498" s="441" customFormat="1" ht="12.75">
      <c r="F498" s="452"/>
    </row>
    <row r="499" s="441" customFormat="1" ht="12.75">
      <c r="F499" s="452"/>
    </row>
    <row r="500" s="441" customFormat="1" ht="12.75">
      <c r="F500" s="452"/>
    </row>
    <row r="501" s="441" customFormat="1" ht="12.75">
      <c r="F501" s="452"/>
    </row>
    <row r="502" s="441" customFormat="1" ht="12.75">
      <c r="F502" s="452"/>
    </row>
    <row r="503" s="441" customFormat="1" ht="12.75">
      <c r="F503" s="452"/>
    </row>
    <row r="504" s="441" customFormat="1" ht="12.75">
      <c r="F504" s="452"/>
    </row>
    <row r="505" s="441" customFormat="1" ht="12.75">
      <c r="F505" s="452"/>
    </row>
    <row r="506" s="441" customFormat="1" ht="12.75">
      <c r="F506" s="452"/>
    </row>
    <row r="507" s="441" customFormat="1" ht="12.75">
      <c r="F507" s="452"/>
    </row>
    <row r="508" s="441" customFormat="1" ht="12.75">
      <c r="F508" s="452"/>
    </row>
    <row r="509" s="441" customFormat="1" ht="12.75">
      <c r="F509" s="452"/>
    </row>
    <row r="510" s="441" customFormat="1" ht="12.75">
      <c r="F510" s="452"/>
    </row>
    <row r="511" s="441" customFormat="1" ht="12.75">
      <c r="F511" s="452"/>
    </row>
    <row r="512" s="441" customFormat="1" ht="12.75">
      <c r="F512" s="452"/>
    </row>
    <row r="513" s="441" customFormat="1" ht="12.75">
      <c r="F513" s="452"/>
    </row>
    <row r="514" s="441" customFormat="1" ht="12.75">
      <c r="F514" s="452"/>
    </row>
    <row r="515" s="441" customFormat="1" ht="12.75">
      <c r="F515" s="452"/>
    </row>
    <row r="516" s="441" customFormat="1" ht="12.75">
      <c r="F516" s="452"/>
    </row>
    <row r="517" s="441" customFormat="1" ht="12.75">
      <c r="F517" s="452"/>
    </row>
    <row r="518" s="441" customFormat="1" ht="12.75">
      <c r="F518" s="452"/>
    </row>
    <row r="519" s="441" customFormat="1" ht="12.75">
      <c r="F519" s="452"/>
    </row>
    <row r="520" s="441" customFormat="1" ht="12.75">
      <c r="F520" s="452"/>
    </row>
    <row r="521" s="441" customFormat="1" ht="12.75">
      <c r="F521" s="452"/>
    </row>
    <row r="522" s="441" customFormat="1" ht="12.75">
      <c r="F522" s="452"/>
    </row>
    <row r="523" s="441" customFormat="1" ht="12.75">
      <c r="F523" s="452"/>
    </row>
    <row r="524" s="441" customFormat="1" ht="12.75">
      <c r="F524" s="452"/>
    </row>
    <row r="525" s="441" customFormat="1" ht="12.75">
      <c r="F525" s="452"/>
    </row>
    <row r="526" s="441" customFormat="1" ht="12.75">
      <c r="F526" s="452"/>
    </row>
    <row r="527" s="441" customFormat="1" ht="12.75">
      <c r="F527" s="452"/>
    </row>
    <row r="528" s="441" customFormat="1" ht="12.75">
      <c r="F528" s="452"/>
    </row>
    <row r="529" s="441" customFormat="1" ht="12.75">
      <c r="F529" s="452"/>
    </row>
    <row r="530" s="441" customFormat="1" ht="12.75">
      <c r="F530" s="452"/>
    </row>
    <row r="531" s="441" customFormat="1" ht="12.75">
      <c r="F531" s="452"/>
    </row>
    <row r="532" s="441" customFormat="1" ht="12.75">
      <c r="F532" s="452"/>
    </row>
    <row r="533" s="441" customFormat="1" ht="12.75">
      <c r="F533" s="452"/>
    </row>
    <row r="534" s="441" customFormat="1" ht="12.75">
      <c r="F534" s="452"/>
    </row>
    <row r="535" s="441" customFormat="1" ht="12.75">
      <c r="F535" s="452"/>
    </row>
    <row r="536" s="441" customFormat="1" ht="12.75">
      <c r="F536" s="452"/>
    </row>
    <row r="537" s="441" customFormat="1" ht="12.75">
      <c r="F537" s="452"/>
    </row>
    <row r="538" s="441" customFormat="1" ht="12.75">
      <c r="F538" s="452"/>
    </row>
    <row r="539" s="441" customFormat="1" ht="12.75">
      <c r="F539" s="452"/>
    </row>
    <row r="540" s="441" customFormat="1" ht="12.75">
      <c r="F540" s="452"/>
    </row>
    <row r="541" s="441" customFormat="1" ht="12.75">
      <c r="F541" s="452"/>
    </row>
    <row r="542" s="441" customFormat="1" ht="12.75">
      <c r="F542" s="452"/>
    </row>
    <row r="543" s="441" customFormat="1" ht="12.75">
      <c r="F543" s="452"/>
    </row>
    <row r="544" s="441" customFormat="1" ht="12.75">
      <c r="F544" s="452"/>
    </row>
    <row r="545" s="441" customFormat="1" ht="12.75">
      <c r="F545" s="452"/>
    </row>
    <row r="546" s="441" customFormat="1" ht="12.75">
      <c r="F546" s="452"/>
    </row>
    <row r="547" s="441" customFormat="1" ht="12.75">
      <c r="F547" s="452"/>
    </row>
    <row r="548" s="441" customFormat="1" ht="12.75">
      <c r="F548" s="452"/>
    </row>
    <row r="549" s="441" customFormat="1" ht="12.75">
      <c r="F549" s="452"/>
    </row>
    <row r="550" s="441" customFormat="1" ht="12.75">
      <c r="F550" s="452"/>
    </row>
    <row r="551" s="441" customFormat="1" ht="12.75">
      <c r="F551" s="452"/>
    </row>
    <row r="552" s="441" customFormat="1" ht="12.75">
      <c r="F552" s="452"/>
    </row>
    <row r="553" s="441" customFormat="1" ht="12.75">
      <c r="F553" s="452"/>
    </row>
    <row r="554" s="441" customFormat="1" ht="12.75">
      <c r="F554" s="452"/>
    </row>
    <row r="555" s="441" customFormat="1" ht="12.75">
      <c r="F555" s="452"/>
    </row>
    <row r="556" s="441" customFormat="1" ht="12.75">
      <c r="F556" s="452"/>
    </row>
    <row r="557" s="441" customFormat="1" ht="12.75">
      <c r="F557" s="452"/>
    </row>
    <row r="558" s="441" customFormat="1" ht="12.75">
      <c r="F558" s="452"/>
    </row>
    <row r="559" s="441" customFormat="1" ht="12.75">
      <c r="F559" s="452"/>
    </row>
    <row r="560" s="441" customFormat="1" ht="12.75">
      <c r="F560" s="452"/>
    </row>
    <row r="561" s="441" customFormat="1" ht="12.75">
      <c r="F561" s="452"/>
    </row>
    <row r="562" s="441" customFormat="1" ht="12.75">
      <c r="F562" s="452"/>
    </row>
    <row r="563" s="441" customFormat="1" ht="12.75">
      <c r="F563" s="452"/>
    </row>
    <row r="564" spans="2:6" ht="12.75">
      <c r="B564" s="441"/>
      <c r="C564" s="441"/>
      <c r="D564" s="441"/>
      <c r="E564" s="441"/>
      <c r="F564" s="452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3937007874015748" right="0.3937007874015748" top="0.3937007874015748" bottom="0.3937007874015748" header="0.6692913385826772" footer="0.5118110236220472"/>
  <pageSetup fitToHeight="1" fitToWidth="1" horizontalDpi="600" verticalDpi="600" orientation="portrait" paperSize="9" r:id="rId1"/>
  <headerFooter alignWithMargins="0">
    <oddHeader>&amp;L                     &amp;R      
</oddHeader>
  </headerFooter>
  <ignoredErrors>
    <ignoredError sqref="C9:E9 C13:C14 C17:C18 C20 C35:C36 C37 C51:C53 C48 D13:D14 D17:D18 E35 D35 D48:E48 E14 D37 C3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98"/>
  <sheetViews>
    <sheetView showGridLines="0" zoomScalePageLayoutView="0" workbookViewId="0" topLeftCell="A1">
      <selection activeCell="B4" sqref="B4:E83"/>
    </sheetView>
  </sheetViews>
  <sheetFormatPr defaultColWidth="11.57421875" defaultRowHeight="12.75"/>
  <cols>
    <col min="1" max="1" width="4.57421875" style="338" customWidth="1"/>
    <col min="2" max="2" width="66.00390625" style="338" customWidth="1"/>
    <col min="3" max="3" width="0.42578125" style="338" hidden="1" customWidth="1"/>
    <col min="4" max="4" width="17.00390625" style="338" bestFit="1" customWidth="1"/>
    <col min="5" max="5" width="20.57421875" style="338" customWidth="1"/>
    <col min="6" max="6" width="8.8515625" style="338" customWidth="1"/>
    <col min="7" max="7" width="11.57421875" style="340" customWidth="1"/>
    <col min="8" max="16384" width="11.57421875" style="338" customWidth="1"/>
  </cols>
  <sheetData>
    <row r="1" spans="2:5" ht="12.75">
      <c r="B1" s="339"/>
      <c r="C1" s="339"/>
      <c r="D1" s="339"/>
      <c r="E1" s="339"/>
    </row>
    <row r="2" spans="2:5" ht="12.75">
      <c r="B2" s="339"/>
      <c r="C2" s="339"/>
      <c r="D2" s="339"/>
      <c r="E2" s="339"/>
    </row>
    <row r="3" spans="2:5" ht="13.5" thickBot="1">
      <c r="B3" s="339"/>
      <c r="C3" s="339"/>
      <c r="D3" s="339"/>
      <c r="E3" s="339"/>
    </row>
    <row r="4" spans="1:7" s="342" customFormat="1" ht="35.25" customHeight="1">
      <c r="A4" s="338"/>
      <c r="B4" s="1217" t="s">
        <v>810</v>
      </c>
      <c r="C4" s="1218"/>
      <c r="D4" s="1219"/>
      <c r="E4" s="341">
        <v>2017</v>
      </c>
      <c r="G4" s="343"/>
    </row>
    <row r="5" spans="2:5" ht="25.5" customHeight="1" thickBot="1">
      <c r="B5" s="1220" t="str">
        <f>CPYG!B3</f>
        <v>ENTIDAD: TRANSPORTES INTERURBANOS DE TENERIFE, S.A.</v>
      </c>
      <c r="C5" s="1221"/>
      <c r="D5" s="1221"/>
      <c r="E5" s="344" t="s">
        <v>922</v>
      </c>
    </row>
    <row r="6" spans="2:5" ht="30" customHeight="1">
      <c r="B6" s="1222" t="s">
        <v>55</v>
      </c>
      <c r="C6" s="1223"/>
      <c r="D6" s="1223"/>
      <c r="E6" s="1224"/>
    </row>
    <row r="7" spans="2:5" ht="36" customHeight="1" thickBot="1">
      <c r="B7" s="345"/>
      <c r="C7" s="346"/>
      <c r="D7" s="347" t="s">
        <v>107</v>
      </c>
      <c r="E7" s="348" t="s">
        <v>108</v>
      </c>
    </row>
    <row r="8" spans="2:5" ht="17.25" customHeight="1" thickBot="1">
      <c r="B8" s="349" t="s">
        <v>923</v>
      </c>
      <c r="C8" s="350"/>
      <c r="D8" s="351"/>
      <c r="E8" s="352"/>
    </row>
    <row r="9" spans="2:5" ht="12.75">
      <c r="B9" s="353" t="s">
        <v>924</v>
      </c>
      <c r="C9" s="354"/>
      <c r="D9" s="571">
        <f>+CPYG!E94</f>
        <v>24851.763267910326</v>
      </c>
      <c r="E9" s="572">
        <f>+CPYG!D94</f>
        <v>71716.97518858663</v>
      </c>
    </row>
    <row r="10" spans="2:5" ht="12.75">
      <c r="B10" s="355" t="s">
        <v>925</v>
      </c>
      <c r="C10" s="356"/>
      <c r="D10" s="1053">
        <f>SUM(D11:D21)</f>
        <v>438298.9400000001</v>
      </c>
      <c r="E10" s="1053">
        <f>SUM(E11:E21)</f>
        <v>430273.1599999999</v>
      </c>
    </row>
    <row r="11" spans="2:5" ht="12.75">
      <c r="B11" s="357" t="s">
        <v>926</v>
      </c>
      <c r="C11" s="356"/>
      <c r="D11" s="1054">
        <v>4582823.32</v>
      </c>
      <c r="E11" s="1056">
        <v>3803543.12</v>
      </c>
    </row>
    <row r="12" spans="2:5" ht="12.75">
      <c r="B12" s="357" t="s">
        <v>927</v>
      </c>
      <c r="C12" s="356"/>
      <c r="D12" s="1054">
        <v>0</v>
      </c>
      <c r="E12" s="1056">
        <v>0</v>
      </c>
    </row>
    <row r="13" spans="2:5" ht="12.75">
      <c r="B13" s="357" t="s">
        <v>928</v>
      </c>
      <c r="C13" s="356"/>
      <c r="D13" s="1054">
        <v>0</v>
      </c>
      <c r="E13" s="1056">
        <v>0</v>
      </c>
    </row>
    <row r="14" spans="2:5" ht="12.75">
      <c r="B14" s="357" t="s">
        <v>929</v>
      </c>
      <c r="C14" s="356"/>
      <c r="D14" s="1054">
        <v>-4147582.89</v>
      </c>
      <c r="E14" s="1056">
        <v>-3376328.47</v>
      </c>
    </row>
    <row r="15" spans="2:5" ht="12.75">
      <c r="B15" s="357" t="s">
        <v>930</v>
      </c>
      <c r="C15" s="356"/>
      <c r="D15" s="1055">
        <v>0</v>
      </c>
      <c r="E15" s="1056">
        <v>0</v>
      </c>
    </row>
    <row r="16" spans="2:5" ht="12.75">
      <c r="B16" s="357" t="s">
        <v>931</v>
      </c>
      <c r="C16" s="356"/>
      <c r="D16" s="1055">
        <v>0</v>
      </c>
      <c r="E16" s="1056">
        <v>0</v>
      </c>
    </row>
    <row r="17" spans="2:5" ht="12.75">
      <c r="B17" s="357" t="s">
        <v>932</v>
      </c>
      <c r="C17" s="356"/>
      <c r="D17" s="1054">
        <v>-66715.66</v>
      </c>
      <c r="E17" s="1056">
        <v>-75831.54</v>
      </c>
    </row>
    <row r="18" spans="2:5" ht="12.75">
      <c r="B18" s="357" t="s">
        <v>933</v>
      </c>
      <c r="C18" s="356"/>
      <c r="D18" s="1054">
        <v>69774.17</v>
      </c>
      <c r="E18" s="1056">
        <v>78890.05</v>
      </c>
    </row>
    <row r="19" spans="2:5" ht="12.75">
      <c r="B19" s="357" t="s">
        <v>934</v>
      </c>
      <c r="C19" s="356"/>
      <c r="D19" s="1055">
        <v>0</v>
      </c>
      <c r="E19" s="1056">
        <v>0</v>
      </c>
    </row>
    <row r="20" spans="2:5" ht="12.75">
      <c r="B20" s="358" t="s">
        <v>935</v>
      </c>
      <c r="C20" s="356"/>
      <c r="D20" s="1055">
        <v>0</v>
      </c>
      <c r="E20" s="1056">
        <v>0</v>
      </c>
    </row>
    <row r="21" spans="2:5" ht="12.75">
      <c r="B21" s="358" t="s">
        <v>936</v>
      </c>
      <c r="C21" s="356"/>
      <c r="D21" s="1055">
        <v>0</v>
      </c>
      <c r="E21" s="1056">
        <v>0</v>
      </c>
    </row>
    <row r="22" spans="2:6" ht="12.75">
      <c r="B22" s="355" t="s">
        <v>937</v>
      </c>
      <c r="C22" s="356"/>
      <c r="D22" s="1053">
        <f>SUM(D23:D28)</f>
        <v>-5536381.6</v>
      </c>
      <c r="E22" s="721">
        <f>SUM(E23:E28)</f>
        <v>3827513.999999975</v>
      </c>
      <c r="F22" s="359"/>
    </row>
    <row r="23" spans="2:6" ht="12.75" customHeight="1">
      <c r="B23" s="357" t="s">
        <v>938</v>
      </c>
      <c r="C23" s="356"/>
      <c r="D23" s="1054">
        <v>23600</v>
      </c>
      <c r="E23" s="1056">
        <v>113443.90000000037</v>
      </c>
      <c r="F23" s="359"/>
    </row>
    <row r="24" spans="2:6" ht="12.75" customHeight="1">
      <c r="B24" s="357" t="s">
        <v>939</v>
      </c>
      <c r="C24" s="356"/>
      <c r="D24" s="1054">
        <v>-4196638.63</v>
      </c>
      <c r="E24" s="1056">
        <v>6339737.66</v>
      </c>
      <c r="F24" s="359"/>
    </row>
    <row r="25" spans="2:6" ht="12.75" customHeight="1">
      <c r="B25" s="357" t="s">
        <v>940</v>
      </c>
      <c r="C25" s="356"/>
      <c r="D25" s="1054">
        <v>0</v>
      </c>
      <c r="E25" s="1056">
        <v>-8185.5099999989325</v>
      </c>
      <c r="F25" s="359"/>
    </row>
    <row r="26" spans="2:6" ht="12.75" customHeight="1">
      <c r="B26" s="357" t="s">
        <v>941</v>
      </c>
      <c r="C26" s="356"/>
      <c r="D26" s="1054">
        <v>-1363342.33</v>
      </c>
      <c r="E26" s="1056">
        <v>-2691987.8300000266</v>
      </c>
      <c r="F26" s="359"/>
    </row>
    <row r="27" spans="2:6" ht="12.75" customHeight="1">
      <c r="B27" s="357" t="s">
        <v>942</v>
      </c>
      <c r="C27" s="356"/>
      <c r="D27" s="1055">
        <v>0</v>
      </c>
      <c r="E27" s="1056">
        <v>0</v>
      </c>
      <c r="F27" s="359"/>
    </row>
    <row r="28" spans="2:6" ht="12.75" customHeight="1">
      <c r="B28" s="357" t="s">
        <v>943</v>
      </c>
      <c r="C28" s="356"/>
      <c r="D28" s="1054">
        <v>-0.64</v>
      </c>
      <c r="E28" s="1056">
        <v>74505.78</v>
      </c>
      <c r="F28" s="359"/>
    </row>
    <row r="29" spans="2:6" ht="12.75">
      <c r="B29" s="355" t="s">
        <v>946</v>
      </c>
      <c r="C29" s="356"/>
      <c r="D29" s="1053">
        <f>SUM(D30:D34)</f>
        <v>-3058.5099999999948</v>
      </c>
      <c r="E29" s="721">
        <f>SUM(E30:E34)</f>
        <v>-3058.5100000000093</v>
      </c>
      <c r="F29" s="359"/>
    </row>
    <row r="30" spans="2:6" ht="12.75" customHeight="1">
      <c r="B30" s="357" t="s">
        <v>947</v>
      </c>
      <c r="C30" s="356"/>
      <c r="D30" s="1054">
        <v>-69774.17</v>
      </c>
      <c r="E30" s="1056">
        <v>-78890.05</v>
      </c>
      <c r="F30" s="359"/>
    </row>
    <row r="31" spans="2:6" ht="12.75" customHeight="1">
      <c r="B31" s="357" t="s">
        <v>948</v>
      </c>
      <c r="C31" s="356"/>
      <c r="D31" s="1054">
        <v>0</v>
      </c>
      <c r="E31" s="1056">
        <v>0</v>
      </c>
      <c r="F31" s="359"/>
    </row>
    <row r="32" spans="2:5" ht="12.75" customHeight="1">
      <c r="B32" s="357" t="s">
        <v>949</v>
      </c>
      <c r="C32" s="356"/>
      <c r="D32" s="1054">
        <v>66715.66</v>
      </c>
      <c r="E32" s="1056">
        <v>75831.54</v>
      </c>
    </row>
    <row r="33" spans="2:5" ht="12.75" customHeight="1">
      <c r="B33" s="357" t="s">
        <v>950</v>
      </c>
      <c r="C33" s="356"/>
      <c r="D33" s="1055">
        <v>0</v>
      </c>
      <c r="E33" s="574">
        <v>0</v>
      </c>
    </row>
    <row r="34" spans="2:5" ht="13.5" thickBot="1">
      <c r="B34" s="357" t="s">
        <v>951</v>
      </c>
      <c r="C34" s="360"/>
      <c r="D34" s="573">
        <v>0</v>
      </c>
      <c r="E34" s="574">
        <v>0</v>
      </c>
    </row>
    <row r="35" spans="2:5" ht="15" customHeight="1" thickBot="1" thickTop="1">
      <c r="B35" s="1225" t="s">
        <v>952</v>
      </c>
      <c r="C35" s="1226"/>
      <c r="D35" s="582">
        <f>D9+D10+D22+D29</f>
        <v>-5076289.406732089</v>
      </c>
      <c r="E35" s="583">
        <f>E9+E10+E22+E29</f>
        <v>4326445.625188561</v>
      </c>
    </row>
    <row r="36" spans="2:5" ht="17.25" customHeight="1" thickBot="1">
      <c r="B36" s="349" t="s">
        <v>960</v>
      </c>
      <c r="C36" s="350"/>
      <c r="D36" s="584"/>
      <c r="E36" s="585"/>
    </row>
    <row r="37" spans="2:5" ht="12.75">
      <c r="B37" s="353" t="s">
        <v>961</v>
      </c>
      <c r="C37" s="361"/>
      <c r="D37" s="586">
        <f>SUM(D38:D45)</f>
        <v>-6428296.45</v>
      </c>
      <c r="E37" s="722">
        <f>SUM(E38:E45)</f>
        <v>-4887949.0600000005</v>
      </c>
    </row>
    <row r="38" spans="2:5" ht="12.75">
      <c r="B38" s="357" t="s">
        <v>962</v>
      </c>
      <c r="C38" s="362"/>
      <c r="D38" s="1052">
        <v>0</v>
      </c>
      <c r="E38" s="1056">
        <v>0</v>
      </c>
    </row>
    <row r="39" spans="2:5" ht="12.75">
      <c r="B39" s="357" t="s">
        <v>963</v>
      </c>
      <c r="C39" s="362"/>
      <c r="D39" s="1052">
        <v>-161468.44</v>
      </c>
      <c r="E39" s="1056">
        <v>10191.050000000047</v>
      </c>
    </row>
    <row r="40" spans="2:5" ht="12.75">
      <c r="B40" s="357" t="s">
        <v>964</v>
      </c>
      <c r="C40" s="362"/>
      <c r="D40" s="1052">
        <v>-6266828.01</v>
      </c>
      <c r="E40" s="1056">
        <v>-4897654.29</v>
      </c>
    </row>
    <row r="41" spans="2:5" ht="12.75">
      <c r="B41" s="357" t="s">
        <v>965</v>
      </c>
      <c r="C41" s="362"/>
      <c r="D41" s="1052">
        <v>0</v>
      </c>
      <c r="E41" s="1056">
        <v>0</v>
      </c>
    </row>
    <row r="42" spans="2:5" ht="12.75">
      <c r="B42" s="357" t="s">
        <v>966</v>
      </c>
      <c r="C42" s="362"/>
      <c r="D42" s="1052">
        <v>0</v>
      </c>
      <c r="E42" s="1056">
        <v>-485.82000000000335</v>
      </c>
    </row>
    <row r="43" spans="2:5" ht="12.75">
      <c r="B43" s="357" t="s">
        <v>967</v>
      </c>
      <c r="C43" s="362"/>
      <c r="D43" s="1052">
        <v>0</v>
      </c>
      <c r="E43" s="1056">
        <v>0</v>
      </c>
    </row>
    <row r="44" spans="2:5" ht="12.75">
      <c r="B44" s="357" t="s">
        <v>968</v>
      </c>
      <c r="C44" s="362"/>
      <c r="D44" s="1052">
        <v>0</v>
      </c>
      <c r="E44" s="1056">
        <v>0</v>
      </c>
    </row>
    <row r="45" spans="2:5" ht="12.75">
      <c r="B45" s="357" t="s">
        <v>969</v>
      </c>
      <c r="C45" s="362"/>
      <c r="D45" s="1052">
        <v>0</v>
      </c>
      <c r="E45" s="1056">
        <v>0</v>
      </c>
    </row>
    <row r="46" spans="2:5" ht="12.75">
      <c r="B46" s="355" t="s">
        <v>970</v>
      </c>
      <c r="C46" s="362"/>
      <c r="D46" s="581">
        <f>SUM(D47:D54)</f>
        <v>-423709.87</v>
      </c>
      <c r="E46" s="721">
        <f>SUM(E47:E54)</f>
        <v>-772636.4099999995</v>
      </c>
    </row>
    <row r="47" spans="2:5" ht="12.75">
      <c r="B47" s="357" t="s">
        <v>971</v>
      </c>
      <c r="C47" s="362"/>
      <c r="D47" s="573">
        <v>0</v>
      </c>
      <c r="E47" s="574">
        <v>0</v>
      </c>
    </row>
    <row r="48" spans="2:5" ht="12.75">
      <c r="B48" s="357" t="s">
        <v>963</v>
      </c>
      <c r="C48" s="362"/>
      <c r="D48" s="573">
        <v>0</v>
      </c>
      <c r="E48" s="574">
        <v>0</v>
      </c>
    </row>
    <row r="49" spans="2:5" ht="12.75">
      <c r="B49" s="357" t="s">
        <v>964</v>
      </c>
      <c r="C49" s="362"/>
      <c r="D49" s="1052">
        <v>-423709.87</v>
      </c>
      <c r="E49" s="1056">
        <v>-772636.4099999995</v>
      </c>
    </row>
    <row r="50" spans="2:5" ht="12.75">
      <c r="B50" s="357" t="s">
        <v>965</v>
      </c>
      <c r="C50" s="362"/>
      <c r="D50" s="573">
        <v>0</v>
      </c>
      <c r="E50" s="574">
        <v>0</v>
      </c>
    </row>
    <row r="51" spans="2:5" ht="12.75">
      <c r="B51" s="357" t="s">
        <v>966</v>
      </c>
      <c r="C51" s="362"/>
      <c r="D51" s="573">
        <v>0</v>
      </c>
      <c r="E51" s="574">
        <v>0</v>
      </c>
    </row>
    <row r="52" spans="2:5" ht="12.75">
      <c r="B52" s="357" t="s">
        <v>967</v>
      </c>
      <c r="C52" s="362"/>
      <c r="D52" s="573">
        <v>0</v>
      </c>
      <c r="E52" s="574">
        <v>0</v>
      </c>
    </row>
    <row r="53" spans="2:5" ht="12.75">
      <c r="B53" s="357" t="s">
        <v>968</v>
      </c>
      <c r="C53" s="362"/>
      <c r="D53" s="573">
        <v>0</v>
      </c>
      <c r="E53" s="574">
        <v>0</v>
      </c>
    </row>
    <row r="54" spans="2:5" ht="12.75">
      <c r="B54" s="357" t="s">
        <v>969</v>
      </c>
      <c r="C54" s="362"/>
      <c r="D54" s="573">
        <v>0</v>
      </c>
      <c r="E54" s="574">
        <v>0</v>
      </c>
    </row>
    <row r="55" spans="2:5" ht="13.5" thickBot="1">
      <c r="B55" s="363" t="s">
        <v>972</v>
      </c>
      <c r="C55" s="364"/>
      <c r="D55" s="582">
        <f>D37+D46</f>
        <v>-6852006.32</v>
      </c>
      <c r="E55" s="583">
        <f>E37+E46</f>
        <v>-5660585.47</v>
      </c>
    </row>
    <row r="56" spans="2:5" ht="17.25" customHeight="1" thickBot="1">
      <c r="B56" s="349" t="s">
        <v>973</v>
      </c>
      <c r="C56" s="350"/>
      <c r="D56" s="584"/>
      <c r="E56" s="585"/>
    </row>
    <row r="57" spans="2:5" ht="12.75">
      <c r="B57" s="365" t="s">
        <v>974</v>
      </c>
      <c r="C57" s="366"/>
      <c r="D57" s="587">
        <f>SUM(D58:D62)</f>
        <v>6420270.67</v>
      </c>
      <c r="E57" s="723">
        <f>SUM(E58:E62)</f>
        <v>4177327.06</v>
      </c>
    </row>
    <row r="58" spans="2:5" ht="12.75">
      <c r="B58" s="357" t="s">
        <v>975</v>
      </c>
      <c r="C58" s="362"/>
      <c r="D58" s="573">
        <v>0</v>
      </c>
      <c r="E58" s="574">
        <v>0</v>
      </c>
    </row>
    <row r="59" spans="2:5" ht="12.75">
      <c r="B59" s="357" t="s">
        <v>976</v>
      </c>
      <c r="C59" s="362"/>
      <c r="D59" s="573">
        <v>0</v>
      </c>
      <c r="E59" s="574">
        <v>0</v>
      </c>
    </row>
    <row r="60" spans="2:5" ht="12.75">
      <c r="B60" s="357" t="s">
        <v>977</v>
      </c>
      <c r="C60" s="362"/>
      <c r="D60" s="573">
        <v>0</v>
      </c>
      <c r="E60" s="574">
        <v>0</v>
      </c>
    </row>
    <row r="61" spans="2:5" ht="12.75">
      <c r="B61" s="357" t="s">
        <v>978</v>
      </c>
      <c r="C61" s="362"/>
      <c r="D61" s="573">
        <v>0</v>
      </c>
      <c r="E61" s="574">
        <v>0</v>
      </c>
    </row>
    <row r="62" spans="2:5" ht="12.75" customHeight="1">
      <c r="B62" s="357" t="s">
        <v>979</v>
      </c>
      <c r="C62" s="362"/>
      <c r="D62" s="1052">
        <v>6420270.67</v>
      </c>
      <c r="E62" s="1056">
        <v>4177327.06</v>
      </c>
    </row>
    <row r="63" spans="2:5" ht="12.75">
      <c r="B63" s="355" t="s">
        <v>980</v>
      </c>
      <c r="C63" s="362"/>
      <c r="D63" s="581">
        <f>D64+D70</f>
        <v>4226187.02</v>
      </c>
      <c r="E63" s="721">
        <f>E64+E70</f>
        <v>-2968734</v>
      </c>
    </row>
    <row r="64" spans="2:5" ht="12.75">
      <c r="B64" s="357" t="s">
        <v>981</v>
      </c>
      <c r="C64" s="362"/>
      <c r="D64" s="1057">
        <f>SUM(D65:D69)</f>
        <v>4226187.02</v>
      </c>
      <c r="E64" s="721">
        <f>SUM(E65:E69)</f>
        <v>26992.31999999986</v>
      </c>
    </row>
    <row r="65" spans="2:5" ht="12.75" customHeight="1">
      <c r="B65" s="357" t="s">
        <v>982</v>
      </c>
      <c r="C65" s="362"/>
      <c r="D65" s="573">
        <v>0</v>
      </c>
      <c r="E65" s="574">
        <v>0</v>
      </c>
    </row>
    <row r="66" spans="2:5" ht="12.75" customHeight="1">
      <c r="B66" s="357" t="s">
        <v>983</v>
      </c>
      <c r="C66" s="362"/>
      <c r="D66" s="1052">
        <v>4226187.02</v>
      </c>
      <c r="E66" s="1056">
        <v>0</v>
      </c>
    </row>
    <row r="67" spans="2:5" ht="12.75" customHeight="1">
      <c r="B67" s="357" t="s">
        <v>984</v>
      </c>
      <c r="C67" s="362"/>
      <c r="D67" s="573">
        <v>0</v>
      </c>
      <c r="E67" s="574">
        <v>0</v>
      </c>
    </row>
    <row r="68" spans="2:5" ht="12.75" customHeight="1">
      <c r="B68" s="357" t="s">
        <v>985</v>
      </c>
      <c r="C68" s="362"/>
      <c r="D68" s="573">
        <v>0</v>
      </c>
      <c r="E68" s="574">
        <v>0</v>
      </c>
    </row>
    <row r="69" spans="2:5" ht="12.75" customHeight="1">
      <c r="B69" s="357" t="s">
        <v>986</v>
      </c>
      <c r="C69" s="362"/>
      <c r="D69" s="573">
        <v>0</v>
      </c>
      <c r="E69" s="1056">
        <v>26992.31999999986</v>
      </c>
    </row>
    <row r="70" spans="2:5" ht="12.75">
      <c r="B70" s="357" t="s">
        <v>987</v>
      </c>
      <c r="C70" s="362"/>
      <c r="D70" s="581">
        <f>SUM(D71:D75)</f>
        <v>0</v>
      </c>
      <c r="E70" s="721">
        <f>SUM(E71:E75)</f>
        <v>-2995726.32</v>
      </c>
    </row>
    <row r="71" spans="2:5" ht="12.75" customHeight="1">
      <c r="B71" s="357" t="s">
        <v>988</v>
      </c>
      <c r="C71" s="362"/>
      <c r="D71" s="573">
        <v>0</v>
      </c>
      <c r="E71" s="574">
        <v>0</v>
      </c>
    </row>
    <row r="72" spans="2:5" ht="12.75" customHeight="1">
      <c r="B72" s="357" t="s">
        <v>989</v>
      </c>
      <c r="C72" s="362"/>
      <c r="D72" s="1052">
        <v>0</v>
      </c>
      <c r="E72" s="1056">
        <v>-2995726.32</v>
      </c>
    </row>
    <row r="73" spans="2:5" ht="12.75" customHeight="1">
      <c r="B73" s="357" t="s">
        <v>990</v>
      </c>
      <c r="C73" s="362"/>
      <c r="D73" s="573">
        <v>0</v>
      </c>
      <c r="E73" s="574">
        <v>0</v>
      </c>
    </row>
    <row r="74" spans="2:5" ht="12.75" customHeight="1">
      <c r="B74" s="357" t="s">
        <v>991</v>
      </c>
      <c r="C74" s="362"/>
      <c r="D74" s="573">
        <v>0</v>
      </c>
      <c r="E74" s="574">
        <v>0</v>
      </c>
    </row>
    <row r="75" spans="2:5" ht="12.75" customHeight="1">
      <c r="B75" s="357" t="s">
        <v>992</v>
      </c>
      <c r="C75" s="362"/>
      <c r="D75" s="573">
        <v>0</v>
      </c>
      <c r="E75" s="574">
        <v>0</v>
      </c>
    </row>
    <row r="76" spans="2:5" ht="25.5">
      <c r="B76" s="355" t="s">
        <v>993</v>
      </c>
      <c r="C76" s="362"/>
      <c r="D76" s="581">
        <f>SUM(D77:D78)</f>
        <v>0</v>
      </c>
      <c r="E76" s="721">
        <f>SUM(E77:E78)</f>
        <v>0</v>
      </c>
    </row>
    <row r="77" spans="2:5" ht="15" customHeight="1">
      <c r="B77" s="357" t="s">
        <v>994</v>
      </c>
      <c r="C77" s="367" t="s">
        <v>975</v>
      </c>
      <c r="D77" s="573">
        <v>0</v>
      </c>
      <c r="E77" s="574">
        <v>0</v>
      </c>
    </row>
    <row r="78" spans="2:5" ht="12.75">
      <c r="B78" s="357" t="s">
        <v>995</v>
      </c>
      <c r="C78" s="367" t="s">
        <v>976</v>
      </c>
      <c r="D78" s="573">
        <v>0</v>
      </c>
      <c r="E78" s="574">
        <v>0</v>
      </c>
    </row>
    <row r="79" spans="2:5" ht="23.25" customHeight="1" thickBot="1">
      <c r="B79" s="1215" t="s">
        <v>996</v>
      </c>
      <c r="C79" s="1216"/>
      <c r="D79" s="588">
        <f>D57+D63+D76</f>
        <v>10646457.69</v>
      </c>
      <c r="E79" s="589">
        <f>E57+E63+E76</f>
        <v>1208593.06</v>
      </c>
    </row>
    <row r="80" spans="2:5" ht="17.25" customHeight="1" thickBot="1">
      <c r="B80" s="368" t="s">
        <v>997</v>
      </c>
      <c r="C80" s="369"/>
      <c r="D80" s="575">
        <v>0</v>
      </c>
      <c r="E80" s="576">
        <v>0</v>
      </c>
    </row>
    <row r="81" spans="2:5" ht="25.5" customHeight="1" thickBot="1">
      <c r="B81" s="370" t="s">
        <v>998</v>
      </c>
      <c r="C81" s="371"/>
      <c r="D81" s="590">
        <f>D35+D55+D79+D80</f>
        <v>-1281838.0367320906</v>
      </c>
      <c r="E81" s="591">
        <f>E35+E55+E79+E80</f>
        <v>-125546.78481143853</v>
      </c>
    </row>
    <row r="82" spans="2:5" ht="12.75">
      <c r="B82" s="372" t="s">
        <v>999</v>
      </c>
      <c r="C82" s="373"/>
      <c r="D82" s="577">
        <f>+ACTIVO!D41</f>
        <v>2039297.5799999489</v>
      </c>
      <c r="E82" s="578">
        <f>+ACTIVO!C40</f>
        <v>2164844.3599999323</v>
      </c>
    </row>
    <row r="83" spans="2:5" ht="13.5" customHeight="1" thickBot="1">
      <c r="B83" s="374" t="s">
        <v>1000</v>
      </c>
      <c r="C83" s="375"/>
      <c r="D83" s="579">
        <f>+ACTIVO!E41</f>
        <v>757459.5399999502</v>
      </c>
      <c r="E83" s="580">
        <f>+ACTIVO!D41</f>
        <v>2039297.5799999489</v>
      </c>
    </row>
    <row r="84" spans="4:5" ht="12.75">
      <c r="D84" s="1082">
        <f>+D83-D82-D81</f>
        <v>-0.003267908003181219</v>
      </c>
      <c r="E84" s="1082">
        <f>+E83-E82-E81</f>
        <v>0.004811455029994249</v>
      </c>
    </row>
    <row r="85" spans="4:5" ht="12.75">
      <c r="D85" s="1083"/>
      <c r="E85" s="1083"/>
    </row>
    <row r="86" spans="4:5" ht="12.75">
      <c r="D86" s="376"/>
      <c r="E86" s="376"/>
    </row>
    <row r="87" spans="4:5" ht="12.75">
      <c r="D87" s="376"/>
      <c r="E87" s="376"/>
    </row>
    <row r="88" spans="4:5" ht="12.75">
      <c r="D88" s="376"/>
      <c r="E88" s="376"/>
    </row>
    <row r="89" spans="4:5" ht="12.75">
      <c r="D89" s="376"/>
      <c r="E89" s="376"/>
    </row>
    <row r="90" spans="4:5" ht="12.75">
      <c r="D90" s="376"/>
      <c r="E90" s="376"/>
    </row>
    <row r="91" spans="4:5" ht="12.75">
      <c r="D91" s="376"/>
      <c r="E91" s="376"/>
    </row>
    <row r="92" spans="4:5" ht="12.75">
      <c r="D92" s="376"/>
      <c r="E92" s="376"/>
    </row>
    <row r="93" spans="4:5" ht="12.75">
      <c r="D93" s="376"/>
      <c r="E93" s="376"/>
    </row>
    <row r="94" spans="4:5" ht="12.75">
      <c r="D94" s="376"/>
      <c r="E94" s="376"/>
    </row>
    <row r="95" spans="4:5" ht="12.75">
      <c r="D95" s="376"/>
      <c r="E95" s="376"/>
    </row>
    <row r="96" spans="4:5" ht="12.75">
      <c r="D96" s="376"/>
      <c r="E96" s="376"/>
    </row>
    <row r="97" spans="4:5" ht="12.75">
      <c r="D97" s="376"/>
      <c r="E97" s="376"/>
    </row>
    <row r="98" spans="4:5" ht="12.75">
      <c r="D98" s="376"/>
      <c r="E98" s="376"/>
    </row>
  </sheetData>
  <sheetProtection/>
  <mergeCells count="5">
    <mergeCell ref="B79:C79"/>
    <mergeCell ref="B4:D4"/>
    <mergeCell ref="B5:D5"/>
    <mergeCell ref="B6:E6"/>
    <mergeCell ref="B35:C35"/>
  </mergeCells>
  <printOptions horizontalCentered="1" verticalCentered="1"/>
  <pageMargins left="0.3937007874015748" right="0.3937007874015748" top="0.3937007874015748" bottom="0.3937007874015748" header="0.5118110236220472" footer="0.2755905511811024"/>
  <pageSetup fitToHeight="1" fitToWidth="1" horizontalDpi="600" verticalDpi="600" orientation="portrait" paperSize="9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Q50"/>
  <sheetViews>
    <sheetView zoomScale="79" zoomScaleNormal="79" zoomScalePageLayoutView="0" workbookViewId="0" topLeftCell="A1">
      <selection activeCell="A3" sqref="A3:K3"/>
    </sheetView>
  </sheetViews>
  <sheetFormatPr defaultColWidth="11.421875" defaultRowHeight="12.75"/>
  <cols>
    <col min="1" max="1" width="2.57421875" style="780" customWidth="1"/>
    <col min="2" max="2" width="23.57421875" style="780" customWidth="1"/>
    <col min="3" max="3" width="32.140625" style="780" bestFit="1" customWidth="1"/>
    <col min="4" max="4" width="20.421875" style="780" customWidth="1"/>
    <col min="5" max="5" width="20.57421875" style="780" customWidth="1"/>
    <col min="6" max="6" width="19.421875" style="780" customWidth="1"/>
    <col min="7" max="7" width="15.8515625" style="780" customWidth="1"/>
    <col min="8" max="8" width="15.421875" style="780" customWidth="1"/>
    <col min="9" max="9" width="16.421875" style="780" customWidth="1"/>
    <col min="10" max="10" width="18.421875" style="780" bestFit="1" customWidth="1"/>
    <col min="11" max="11" width="15.421875" style="780" customWidth="1"/>
    <col min="12" max="12" width="19.00390625" style="780" customWidth="1"/>
    <col min="13" max="13" width="12.421875" style="780" bestFit="1" customWidth="1"/>
    <col min="14" max="15" width="5.00390625" style="780" hidden="1" customWidth="1"/>
    <col min="16" max="16" width="11.421875" style="780" hidden="1" customWidth="1"/>
    <col min="17" max="17" width="16.421875" style="780" customWidth="1"/>
    <col min="18" max="16384" width="11.421875" style="780" customWidth="1"/>
  </cols>
  <sheetData>
    <row r="1" ht="25.5" customHeight="1" thickBot="1"/>
    <row r="2" spans="1:12" ht="44.25" customHeight="1">
      <c r="A2" s="1248" t="s">
        <v>894</v>
      </c>
      <c r="B2" s="1249"/>
      <c r="C2" s="1249"/>
      <c r="D2" s="1249"/>
      <c r="E2" s="1249"/>
      <c r="F2" s="1249"/>
      <c r="G2" s="1249"/>
      <c r="H2" s="1249"/>
      <c r="I2" s="1249"/>
      <c r="J2" s="1249"/>
      <c r="K2" s="1250"/>
      <c r="L2" s="781">
        <f>CPYG!E2</f>
        <v>2017</v>
      </c>
    </row>
    <row r="3" spans="1:12" ht="24" customHeight="1">
      <c r="A3" s="1255" t="s">
        <v>1071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7"/>
      <c r="L3" s="236" t="s">
        <v>882</v>
      </c>
    </row>
    <row r="4" spans="1:12" ht="23.25" customHeight="1" thickBot="1">
      <c r="A4" s="1251" t="s">
        <v>70</v>
      </c>
      <c r="B4" s="1252"/>
      <c r="C4" s="1252"/>
      <c r="D4" s="1252"/>
      <c r="E4" s="1252"/>
      <c r="F4" s="1252"/>
      <c r="G4" s="1253"/>
      <c r="H4" s="1253"/>
      <c r="I4" s="1253"/>
      <c r="J4" s="1253"/>
      <c r="K4" s="1253"/>
      <c r="L4" s="1254"/>
    </row>
    <row r="5" spans="1:12" ht="28.5" customHeight="1">
      <c r="A5" s="1258" t="s">
        <v>98</v>
      </c>
      <c r="B5" s="1259"/>
      <c r="C5" s="1259"/>
      <c r="D5" s="1259" t="s">
        <v>106</v>
      </c>
      <c r="E5" s="1259"/>
      <c r="F5" s="1262"/>
      <c r="G5" s="1259" t="s">
        <v>71</v>
      </c>
      <c r="H5" s="1259"/>
      <c r="I5" s="1262"/>
      <c r="J5" s="1258" t="s">
        <v>72</v>
      </c>
      <c r="K5" s="1259"/>
      <c r="L5" s="1262"/>
    </row>
    <row r="6" spans="1:12" ht="28.5" customHeight="1" thickBot="1">
      <c r="A6" s="1260"/>
      <c r="B6" s="1261"/>
      <c r="C6" s="1261"/>
      <c r="D6" s="783" t="s">
        <v>73</v>
      </c>
      <c r="E6" s="783" t="s">
        <v>74</v>
      </c>
      <c r="F6" s="784" t="s">
        <v>196</v>
      </c>
      <c r="G6" s="783" t="s">
        <v>73</v>
      </c>
      <c r="H6" s="783" t="s">
        <v>74</v>
      </c>
      <c r="I6" s="784" t="s">
        <v>196</v>
      </c>
      <c r="J6" s="782" t="s">
        <v>73</v>
      </c>
      <c r="K6" s="783" t="s">
        <v>74</v>
      </c>
      <c r="L6" s="784" t="s">
        <v>196</v>
      </c>
    </row>
    <row r="7" spans="1:12" ht="28.5" customHeight="1">
      <c r="A7" s="785" t="s">
        <v>75</v>
      </c>
      <c r="B7" s="786"/>
      <c r="C7" s="787"/>
      <c r="D7" s="1102">
        <f>+D8+D9</f>
        <v>12937543.85</v>
      </c>
      <c r="E7" s="1105">
        <f>+E8+E9</f>
        <v>0</v>
      </c>
      <c r="F7" s="788"/>
      <c r="G7" s="1102">
        <f>+G8+G9</f>
        <v>13232026.68</v>
      </c>
      <c r="H7" s="914">
        <f>+H8+H9</f>
        <v>0</v>
      </c>
      <c r="I7" s="788"/>
      <c r="J7" s="1102">
        <f>+J8+J9</f>
        <v>13232026.78</v>
      </c>
      <c r="K7" s="914">
        <f>+K8+K9</f>
        <v>0</v>
      </c>
      <c r="L7" s="788"/>
    </row>
    <row r="8" spans="1:12" ht="18" customHeight="1">
      <c r="A8" s="789"/>
      <c r="B8" s="790"/>
      <c r="C8" s="791" t="s">
        <v>76</v>
      </c>
      <c r="D8" s="1102">
        <v>12937543.85</v>
      </c>
      <c r="E8" s="1105">
        <v>0</v>
      </c>
      <c r="F8" s="788"/>
      <c r="G8" s="1102">
        <f>13232026.68</f>
        <v>13232026.68</v>
      </c>
      <c r="H8" s="914"/>
      <c r="I8" s="788"/>
      <c r="J8" s="1102">
        <v>13232026.78</v>
      </c>
      <c r="K8" s="914"/>
      <c r="L8" s="788"/>
    </row>
    <row r="9" spans="1:12" ht="25.5" customHeight="1">
      <c r="A9" s="789"/>
      <c r="B9" s="790"/>
      <c r="C9" s="791" t="s">
        <v>77</v>
      </c>
      <c r="D9" s="1102">
        <v>0</v>
      </c>
      <c r="E9" s="1105">
        <v>0</v>
      </c>
      <c r="F9" s="788"/>
      <c r="G9" s="1102">
        <v>0</v>
      </c>
      <c r="H9" s="914">
        <v>0</v>
      </c>
      <c r="I9" s="788"/>
      <c r="J9" s="914">
        <v>0</v>
      </c>
      <c r="K9" s="914">
        <v>0</v>
      </c>
      <c r="L9" s="788"/>
    </row>
    <row r="10" spans="1:12" ht="28.5" customHeight="1">
      <c r="A10" s="785" t="s">
        <v>78</v>
      </c>
      <c r="B10" s="790"/>
      <c r="C10" s="792"/>
      <c r="D10" s="1103">
        <f>+D11+D15</f>
        <v>0</v>
      </c>
      <c r="E10" s="1103">
        <f>+E11+E15</f>
        <v>0</v>
      </c>
      <c r="F10" s="788"/>
      <c r="G10" s="914">
        <f>+G11+G15</f>
        <v>0</v>
      </c>
      <c r="H10" s="914">
        <f>+H11+H15</f>
        <v>0</v>
      </c>
      <c r="I10" s="788"/>
      <c r="J10" s="914">
        <f>+J11+J15</f>
        <v>0</v>
      </c>
      <c r="K10" s="914">
        <f>+K11+K15</f>
        <v>0</v>
      </c>
      <c r="L10" s="788"/>
    </row>
    <row r="11" spans="1:12" ht="30" customHeight="1">
      <c r="A11" s="789"/>
      <c r="B11" s="793" t="s">
        <v>79</v>
      </c>
      <c r="C11" s="791" t="s">
        <v>80</v>
      </c>
      <c r="D11" s="1104">
        <f>+D12+D13+D14</f>
        <v>0</v>
      </c>
      <c r="E11" s="1104">
        <f>+E12+E13+E14</f>
        <v>0</v>
      </c>
      <c r="F11" s="788"/>
      <c r="G11" s="916">
        <f>+G12+G13+G14</f>
        <v>0</v>
      </c>
      <c r="H11" s="916">
        <f>+H12+H13+H14</f>
        <v>0</v>
      </c>
      <c r="I11" s="788"/>
      <c r="J11" s="916">
        <f>+J12+J13+J14</f>
        <v>0</v>
      </c>
      <c r="K11" s="916">
        <f>+K12+K13+K14</f>
        <v>0</v>
      </c>
      <c r="L11" s="788"/>
    </row>
    <row r="12" spans="1:12" ht="18" customHeight="1">
      <c r="A12" s="789"/>
      <c r="B12" s="794"/>
      <c r="C12" s="791"/>
      <c r="D12" s="1104">
        <v>0</v>
      </c>
      <c r="E12" s="1104">
        <v>0</v>
      </c>
      <c r="F12" s="788"/>
      <c r="G12" s="916">
        <v>0</v>
      </c>
      <c r="H12" s="916">
        <v>0</v>
      </c>
      <c r="I12" s="788"/>
      <c r="J12" s="916">
        <v>0</v>
      </c>
      <c r="K12" s="916">
        <v>0</v>
      </c>
      <c r="L12" s="788"/>
    </row>
    <row r="13" spans="1:12" ht="18" customHeight="1">
      <c r="A13" s="789"/>
      <c r="B13" s="794"/>
      <c r="C13" s="791"/>
      <c r="D13" s="1104">
        <v>0</v>
      </c>
      <c r="E13" s="1104">
        <v>0</v>
      </c>
      <c r="F13" s="788"/>
      <c r="G13" s="916">
        <v>0</v>
      </c>
      <c r="H13" s="916">
        <v>0</v>
      </c>
      <c r="I13" s="788"/>
      <c r="J13" s="916">
        <v>0</v>
      </c>
      <c r="K13" s="916">
        <v>0</v>
      </c>
      <c r="L13" s="788"/>
    </row>
    <row r="14" spans="1:12" ht="18" customHeight="1">
      <c r="A14" s="789"/>
      <c r="B14" s="794"/>
      <c r="C14" s="791"/>
      <c r="D14" s="1104">
        <v>0</v>
      </c>
      <c r="E14" s="1104">
        <v>0</v>
      </c>
      <c r="F14" s="788"/>
      <c r="G14" s="916">
        <v>0</v>
      </c>
      <c r="H14" s="916">
        <v>0</v>
      </c>
      <c r="I14" s="788"/>
      <c r="J14" s="916">
        <v>0</v>
      </c>
      <c r="K14" s="916">
        <v>0</v>
      </c>
      <c r="L14" s="788"/>
    </row>
    <row r="15" spans="1:12" ht="26.25" customHeight="1">
      <c r="A15" s="789"/>
      <c r="B15" s="793" t="s">
        <v>79</v>
      </c>
      <c r="C15" s="791" t="s">
        <v>81</v>
      </c>
      <c r="D15" s="1104">
        <f>+D16+D17+D18</f>
        <v>0</v>
      </c>
      <c r="E15" s="1104">
        <f>+E16+E17+E18</f>
        <v>0</v>
      </c>
      <c r="F15" s="788"/>
      <c r="G15" s="916">
        <f>+G16+G17+G18</f>
        <v>0</v>
      </c>
      <c r="H15" s="916">
        <f>+H16+H17+H18</f>
        <v>0</v>
      </c>
      <c r="I15" s="788"/>
      <c r="J15" s="916">
        <f>+J16+J17+J18</f>
        <v>0</v>
      </c>
      <c r="K15" s="916">
        <f>+K16+K17+K18</f>
        <v>0</v>
      </c>
      <c r="L15" s="788"/>
    </row>
    <row r="16" spans="1:12" ht="18" customHeight="1">
      <c r="A16" s="789"/>
      <c r="B16" s="794"/>
      <c r="C16" s="791"/>
      <c r="D16" s="1103">
        <v>0</v>
      </c>
      <c r="E16" s="1103">
        <v>0</v>
      </c>
      <c r="F16" s="788"/>
      <c r="G16" s="1103">
        <v>0</v>
      </c>
      <c r="H16" s="1103">
        <v>0</v>
      </c>
      <c r="I16" s="788"/>
      <c r="J16" s="1103">
        <v>0</v>
      </c>
      <c r="K16" s="1103">
        <v>0</v>
      </c>
      <c r="L16" s="788"/>
    </row>
    <row r="17" spans="1:12" ht="18" customHeight="1">
      <c r="A17" s="789"/>
      <c r="B17" s="794"/>
      <c r="C17" s="791"/>
      <c r="D17" s="1103">
        <v>0</v>
      </c>
      <c r="E17" s="1103">
        <v>0</v>
      </c>
      <c r="F17" s="788"/>
      <c r="G17" s="1103">
        <v>0</v>
      </c>
      <c r="H17" s="1103">
        <v>0</v>
      </c>
      <c r="I17" s="788"/>
      <c r="J17" s="1103">
        <v>0</v>
      </c>
      <c r="K17" s="1103">
        <v>0</v>
      </c>
      <c r="L17" s="788"/>
    </row>
    <row r="18" spans="1:12" ht="18" customHeight="1">
      <c r="A18" s="789"/>
      <c r="B18" s="790"/>
      <c r="C18" s="792"/>
      <c r="D18" s="1103">
        <v>0</v>
      </c>
      <c r="E18" s="1103">
        <v>0</v>
      </c>
      <c r="F18" s="788"/>
      <c r="G18" s="1103">
        <v>0</v>
      </c>
      <c r="H18" s="1103">
        <v>0</v>
      </c>
      <c r="I18" s="788"/>
      <c r="J18" s="1103">
        <v>0</v>
      </c>
      <c r="K18" s="1103">
        <v>0</v>
      </c>
      <c r="L18" s="788"/>
    </row>
    <row r="19" spans="1:12" ht="18" customHeight="1">
      <c r="A19" s="785" t="s">
        <v>82</v>
      </c>
      <c r="B19" s="790"/>
      <c r="C19" s="792"/>
      <c r="D19" s="914">
        <f>+D20+D24+D28+D29</f>
        <v>42427743.62</v>
      </c>
      <c r="E19" s="1103">
        <f>+E20+E24+E28+E29</f>
        <v>0</v>
      </c>
      <c r="F19" s="788"/>
      <c r="G19" s="914">
        <f>+G20+G24+G28+G29</f>
        <v>43040182.60714286</v>
      </c>
      <c r="H19" s="1103">
        <f>+H20+H24+H28+H29</f>
        <v>0</v>
      </c>
      <c r="I19" s="788"/>
      <c r="J19" s="919">
        <f>+J20+J24+J28+J29</f>
        <v>42996127.18</v>
      </c>
      <c r="K19" s="1103">
        <f>+K20+K24+K28+K29</f>
        <v>0</v>
      </c>
      <c r="L19" s="788"/>
    </row>
    <row r="20" spans="1:12" ht="20.25" customHeight="1">
      <c r="A20" s="785"/>
      <c r="B20" s="794" t="s">
        <v>83</v>
      </c>
      <c r="C20" s="791" t="s">
        <v>84</v>
      </c>
      <c r="D20" s="916">
        <v>176331.37</v>
      </c>
      <c r="E20" s="1104">
        <f>+E21+E22+E23</f>
        <v>0</v>
      </c>
      <c r="F20" s="788"/>
      <c r="G20" s="916">
        <v>241150.92</v>
      </c>
      <c r="H20" s="1104">
        <f>+H21+H22+H23</f>
        <v>0</v>
      </c>
      <c r="I20" s="788"/>
      <c r="J20" s="918">
        <v>241150.92</v>
      </c>
      <c r="K20" s="1104">
        <f>+K21+K22+K23</f>
        <v>0</v>
      </c>
      <c r="L20" s="788"/>
    </row>
    <row r="21" spans="1:12" ht="18" customHeight="1">
      <c r="A21" s="785"/>
      <c r="B21" s="790"/>
      <c r="C21" s="792"/>
      <c r="D21" s="1103">
        <v>0</v>
      </c>
      <c r="E21" s="1103">
        <v>0</v>
      </c>
      <c r="F21" s="788"/>
      <c r="G21" s="1103">
        <v>0</v>
      </c>
      <c r="H21" s="1103">
        <v>0</v>
      </c>
      <c r="I21" s="788"/>
      <c r="J21" s="1103">
        <v>0</v>
      </c>
      <c r="K21" s="1103">
        <v>0</v>
      </c>
      <c r="L21" s="788"/>
    </row>
    <row r="22" spans="1:12" ht="18" customHeight="1">
      <c r="A22" s="785"/>
      <c r="B22" s="790"/>
      <c r="C22" s="792"/>
      <c r="D22" s="1103">
        <v>0</v>
      </c>
      <c r="E22" s="1103">
        <v>0</v>
      </c>
      <c r="F22" s="788"/>
      <c r="G22" s="1103">
        <v>0</v>
      </c>
      <c r="H22" s="1103">
        <v>0</v>
      </c>
      <c r="I22" s="788"/>
      <c r="J22" s="1103">
        <v>0</v>
      </c>
      <c r="K22" s="1103">
        <v>0</v>
      </c>
      <c r="L22" s="788"/>
    </row>
    <row r="23" spans="1:12" ht="18" customHeight="1">
      <c r="A23" s="785"/>
      <c r="B23" s="790"/>
      <c r="C23" s="792"/>
      <c r="D23" s="1103">
        <v>0</v>
      </c>
      <c r="E23" s="1103">
        <v>0</v>
      </c>
      <c r="F23" s="788"/>
      <c r="G23" s="1103">
        <v>0</v>
      </c>
      <c r="H23" s="1103">
        <v>0</v>
      </c>
      <c r="I23" s="788"/>
      <c r="J23" s="1103">
        <v>0</v>
      </c>
      <c r="K23" s="1103">
        <v>0</v>
      </c>
      <c r="L23" s="788"/>
    </row>
    <row r="24" spans="1:12" ht="25.5" customHeight="1">
      <c r="A24" s="785"/>
      <c r="B24" s="794" t="s">
        <v>83</v>
      </c>
      <c r="C24" s="791" t="s">
        <v>85</v>
      </c>
      <c r="D24" s="916">
        <v>890338</v>
      </c>
      <c r="E24" s="1104">
        <f>+E25+E26+E27</f>
        <v>0</v>
      </c>
      <c r="F24" s="788"/>
      <c r="G24" s="916">
        <f>'[1]E2016'!$M$66-G29</f>
        <v>789420.8371428571</v>
      </c>
      <c r="H24" s="1104">
        <f>+H25+H26+H27</f>
        <v>0</v>
      </c>
      <c r="I24" s="788"/>
      <c r="J24" s="918">
        <f>833401.94-118877.43-J29</f>
        <v>670543.41</v>
      </c>
      <c r="K24" s="1104">
        <f>+K25+K26+K27</f>
        <v>0</v>
      </c>
      <c r="L24" s="788"/>
    </row>
    <row r="25" spans="1:12" ht="18" customHeight="1">
      <c r="A25" s="785"/>
      <c r="B25" s="790"/>
      <c r="C25" s="792"/>
      <c r="D25" s="1103">
        <v>0</v>
      </c>
      <c r="E25" s="1103">
        <v>0</v>
      </c>
      <c r="F25" s="788"/>
      <c r="G25" s="1103">
        <v>0</v>
      </c>
      <c r="H25" s="1103">
        <v>0</v>
      </c>
      <c r="I25" s="788"/>
      <c r="J25" s="1103">
        <v>0</v>
      </c>
      <c r="K25" s="1103">
        <v>0</v>
      </c>
      <c r="L25" s="788"/>
    </row>
    <row r="26" spans="1:12" ht="18" customHeight="1">
      <c r="A26" s="785"/>
      <c r="B26" s="790"/>
      <c r="C26" s="792"/>
      <c r="D26" s="1103">
        <v>0</v>
      </c>
      <c r="E26" s="1103">
        <v>0</v>
      </c>
      <c r="F26" s="788"/>
      <c r="G26" s="1103">
        <v>0</v>
      </c>
      <c r="H26" s="1103">
        <v>0</v>
      </c>
      <c r="I26" s="788"/>
      <c r="J26" s="1103">
        <v>0</v>
      </c>
      <c r="K26" s="1103">
        <v>0</v>
      </c>
      <c r="L26" s="788"/>
    </row>
    <row r="27" spans="1:12" ht="18" customHeight="1">
      <c r="A27" s="785"/>
      <c r="B27" s="790"/>
      <c r="C27" s="792"/>
      <c r="D27" s="1103">
        <v>0</v>
      </c>
      <c r="E27" s="1103">
        <v>0</v>
      </c>
      <c r="F27" s="788"/>
      <c r="G27" s="1103">
        <v>0</v>
      </c>
      <c r="H27" s="1103">
        <v>0</v>
      </c>
      <c r="I27" s="788"/>
      <c r="J27" s="1103">
        <v>0</v>
      </c>
      <c r="K27" s="1103">
        <v>0</v>
      </c>
      <c r="L27" s="788"/>
    </row>
    <row r="28" spans="1:12" ht="18" customHeight="1">
      <c r="A28" s="785"/>
      <c r="B28" s="794" t="s">
        <v>86</v>
      </c>
      <c r="C28" s="791" t="s">
        <v>87</v>
      </c>
      <c r="D28" s="914">
        <f>41440201.16-176331.37</f>
        <v>41263869.79</v>
      </c>
      <c r="E28" s="1103">
        <v>0</v>
      </c>
      <c r="F28" s="788"/>
      <c r="G28" s="914">
        <f>41906519.45-482939.11+542049.41</f>
        <v>41965629.75</v>
      </c>
      <c r="H28" s="1103">
        <v>0</v>
      </c>
      <c r="I28" s="788"/>
      <c r="J28" s="914">
        <f>41719341.45-413939.11+542049.41+193000</f>
        <v>42040451.75</v>
      </c>
      <c r="K28" s="1103">
        <v>0</v>
      </c>
      <c r="L28" s="788"/>
    </row>
    <row r="29" spans="1:12" ht="28.5" customHeight="1">
      <c r="A29" s="785"/>
      <c r="B29" s="794"/>
      <c r="C29" s="791" t="s">
        <v>88</v>
      </c>
      <c r="D29" s="914">
        <v>97204.46</v>
      </c>
      <c r="E29" s="1103">
        <v>0</v>
      </c>
      <c r="F29" s="788"/>
      <c r="G29" s="914">
        <v>43981.1</v>
      </c>
      <c r="H29" s="1103">
        <v>0</v>
      </c>
      <c r="I29" s="788"/>
      <c r="J29" s="919">
        <f>G29</f>
        <v>43981.1</v>
      </c>
      <c r="K29" s="1103">
        <v>0</v>
      </c>
      <c r="L29" s="788"/>
    </row>
    <row r="30" spans="1:17" s="798" customFormat="1" ht="22.5" customHeight="1" thickBot="1">
      <c r="A30" s="1264" t="s">
        <v>89</v>
      </c>
      <c r="B30" s="1265"/>
      <c r="C30" s="1265"/>
      <c r="D30" s="915">
        <f>+D19+D10+D7</f>
        <v>55365287.47</v>
      </c>
      <c r="E30" s="795">
        <f>+E19+E10+E7</f>
        <v>0</v>
      </c>
      <c r="F30" s="796"/>
      <c r="G30" s="915">
        <f>+G19+G10+G7</f>
        <v>56272209.28714286</v>
      </c>
      <c r="H30" s="795">
        <f>+H19+H10+H7</f>
        <v>0</v>
      </c>
      <c r="I30" s="796"/>
      <c r="J30" s="920">
        <f>+J19+J10+J7</f>
        <v>56228153.96</v>
      </c>
      <c r="K30" s="795">
        <f>+K19+K10+K7</f>
        <v>0</v>
      </c>
      <c r="L30" s="797"/>
      <c r="M30" s="917"/>
      <c r="N30" s="799">
        <f>+H30-CPYG!D7</f>
        <v>-56272209.28714286</v>
      </c>
      <c r="O30" s="799">
        <f>+K30-CPYG!E7</f>
        <v>-56228153.96</v>
      </c>
      <c r="Q30" s="917"/>
    </row>
    <row r="31" spans="1:11" ht="9" customHeight="1">
      <c r="A31" s="1263"/>
      <c r="B31" s="1263"/>
      <c r="C31" s="1263"/>
      <c r="D31" s="1263"/>
      <c r="E31" s="1263"/>
      <c r="F31" s="1263"/>
      <c r="G31" s="1263"/>
      <c r="H31" s="1263"/>
      <c r="I31" s="1263"/>
      <c r="J31" s="1263"/>
      <c r="K31" s="1263"/>
    </row>
    <row r="32" spans="1:12" ht="33" customHeight="1" thickBot="1">
      <c r="A32" s="1227" t="s">
        <v>90</v>
      </c>
      <c r="B32" s="1228"/>
      <c r="C32" s="1228"/>
      <c r="D32" s="1228"/>
      <c r="E32" s="1229"/>
      <c r="F32" s="784" t="s">
        <v>106</v>
      </c>
      <c r="G32" s="784" t="s">
        <v>71</v>
      </c>
      <c r="H32" s="818" t="s">
        <v>72</v>
      </c>
      <c r="I32" s="1230" t="s">
        <v>196</v>
      </c>
      <c r="J32" s="1231"/>
      <c r="K32" s="1231"/>
      <c r="L32" s="1232"/>
    </row>
    <row r="33" spans="1:12" ht="15" customHeight="1">
      <c r="A33" s="1245" t="s">
        <v>99</v>
      </c>
      <c r="B33" s="1246"/>
      <c r="C33" s="1246"/>
      <c r="D33" s="1246"/>
      <c r="E33" s="1247"/>
      <c r="F33" s="810">
        <f>SUM(F34:F36)</f>
        <v>417375.33</v>
      </c>
      <c r="G33" s="810">
        <f>SUM(G34:G36)</f>
        <v>0</v>
      </c>
      <c r="H33" s="810">
        <f>SUM(H34:H36)</f>
        <v>0</v>
      </c>
      <c r="I33" s="1233"/>
      <c r="J33" s="1234"/>
      <c r="K33" s="1234"/>
      <c r="L33" s="1235"/>
    </row>
    <row r="34" spans="1:12" ht="15" customHeight="1">
      <c r="A34" s="1272"/>
      <c r="B34" s="1273"/>
      <c r="C34" s="1273"/>
      <c r="D34" s="1273"/>
      <c r="E34" s="1274"/>
      <c r="F34" s="819">
        <v>417375.33</v>
      </c>
      <c r="G34" s="811">
        <f>+CPYG!D64</f>
        <v>0</v>
      </c>
      <c r="H34" s="811">
        <f>+CPYG!E64</f>
        <v>0</v>
      </c>
      <c r="I34" s="1236"/>
      <c r="J34" s="1237"/>
      <c r="K34" s="1237"/>
      <c r="L34" s="1238"/>
    </row>
    <row r="35" spans="1:12" ht="15" customHeight="1">
      <c r="A35" s="1266"/>
      <c r="B35" s="1267"/>
      <c r="C35" s="1267"/>
      <c r="D35" s="1267"/>
      <c r="E35" s="1268"/>
      <c r="F35" s="820"/>
      <c r="G35" s="812"/>
      <c r="H35" s="812"/>
      <c r="I35" s="1239"/>
      <c r="J35" s="1240"/>
      <c r="K35" s="1240"/>
      <c r="L35" s="1241"/>
    </row>
    <row r="36" spans="1:12" ht="15" customHeight="1">
      <c r="A36" s="1269"/>
      <c r="B36" s="1270"/>
      <c r="C36" s="1270"/>
      <c r="D36" s="1270"/>
      <c r="E36" s="1271"/>
      <c r="F36" s="821"/>
      <c r="G36" s="813"/>
      <c r="H36" s="813"/>
      <c r="I36" s="1242"/>
      <c r="J36" s="1243"/>
      <c r="K36" s="1243"/>
      <c r="L36" s="1244"/>
    </row>
    <row r="37" spans="1:12" ht="15" customHeight="1">
      <c r="A37" s="1275" t="s">
        <v>100</v>
      </c>
      <c r="B37" s="1276"/>
      <c r="C37" s="1276"/>
      <c r="D37" s="1276"/>
      <c r="E37" s="1277"/>
      <c r="F37" s="810">
        <f>+F38+F39+F40</f>
        <v>-9054.09</v>
      </c>
      <c r="G37" s="810">
        <f>+G38+G39+G40</f>
        <v>-635312.0700000001</v>
      </c>
      <c r="H37" s="817">
        <f>+H38+H39+H40</f>
        <v>-1266731.07</v>
      </c>
      <c r="I37" s="1233"/>
      <c r="J37" s="1234"/>
      <c r="K37" s="1234"/>
      <c r="L37" s="1235"/>
    </row>
    <row r="38" spans="1:12" ht="15" customHeight="1">
      <c r="A38" s="1272" t="s">
        <v>555</v>
      </c>
      <c r="B38" s="1273"/>
      <c r="C38" s="1273"/>
      <c r="D38" s="1273"/>
      <c r="E38" s="1274"/>
      <c r="F38" s="819">
        <v>-9054.09</v>
      </c>
      <c r="G38" s="811">
        <v>-635232</v>
      </c>
      <c r="H38" s="811">
        <v>-1266651</v>
      </c>
      <c r="I38" s="1236"/>
      <c r="J38" s="1237"/>
      <c r="K38" s="1237"/>
      <c r="L38" s="1238"/>
    </row>
    <row r="39" spans="1:12" ht="15" customHeight="1">
      <c r="A39" s="1266" t="s">
        <v>218</v>
      </c>
      <c r="B39" s="1267"/>
      <c r="C39" s="1267"/>
      <c r="D39" s="1267"/>
      <c r="E39" s="1268"/>
      <c r="F39" s="820"/>
      <c r="G39" s="812">
        <f>+CPYG!D63-'INF. ADIC. CPYG '!G38</f>
        <v>-80.07000000006519</v>
      </c>
      <c r="H39" s="812">
        <f>+CPYG!E63-'INF. ADIC. CPYG '!H38</f>
        <v>-80.07000000006519</v>
      </c>
      <c r="I39" s="1239"/>
      <c r="J39" s="1240"/>
      <c r="K39" s="1240"/>
      <c r="L39" s="1241"/>
    </row>
    <row r="40" spans="1:12" ht="15" customHeight="1">
      <c r="A40" s="1269"/>
      <c r="B40" s="1270"/>
      <c r="C40" s="1270"/>
      <c r="D40" s="1270"/>
      <c r="E40" s="1271"/>
      <c r="F40" s="821"/>
      <c r="G40" s="813"/>
      <c r="H40" s="813"/>
      <c r="I40" s="1242"/>
      <c r="J40" s="1243"/>
      <c r="K40" s="1243"/>
      <c r="L40" s="1244"/>
    </row>
    <row r="41" spans="1:9" ht="6" customHeight="1">
      <c r="A41" s="804"/>
      <c r="B41" s="804"/>
      <c r="C41" s="804"/>
      <c r="D41" s="804"/>
      <c r="E41" s="804"/>
      <c r="F41" s="814"/>
      <c r="G41" s="814"/>
      <c r="H41" s="814"/>
      <c r="I41" s="800"/>
    </row>
    <row r="42" spans="1:12" ht="26.25" customHeight="1" thickBot="1">
      <c r="A42" s="1227" t="s">
        <v>91</v>
      </c>
      <c r="B42" s="1228"/>
      <c r="C42" s="1228"/>
      <c r="D42" s="1228"/>
      <c r="E42" s="1229"/>
      <c r="F42" s="784" t="s">
        <v>106</v>
      </c>
      <c r="G42" s="784" t="s">
        <v>71</v>
      </c>
      <c r="H42" s="818" t="s">
        <v>72</v>
      </c>
      <c r="I42" s="1282" t="s">
        <v>196</v>
      </c>
      <c r="J42" s="1283"/>
      <c r="K42" s="1283"/>
      <c r="L42" s="1284"/>
    </row>
    <row r="43" spans="1:12" ht="15" customHeight="1">
      <c r="A43" s="1279" t="s">
        <v>92</v>
      </c>
      <c r="B43" s="1280"/>
      <c r="C43" s="1280"/>
      <c r="D43" s="1280"/>
      <c r="E43" s="1281"/>
      <c r="F43" s="815"/>
      <c r="G43" s="815"/>
      <c r="H43" s="815"/>
      <c r="I43" s="1285"/>
      <c r="J43" s="1286"/>
      <c r="K43" s="1286"/>
      <c r="L43" s="1287"/>
    </row>
    <row r="44" spans="1:12" ht="15" customHeight="1">
      <c r="A44" s="1288" t="s">
        <v>93</v>
      </c>
      <c r="B44" s="1289"/>
      <c r="C44" s="1289"/>
      <c r="D44" s="1289"/>
      <c r="E44" s="1290"/>
      <c r="F44" s="816"/>
      <c r="G44" s="816"/>
      <c r="H44" s="816"/>
      <c r="I44" s="1291"/>
      <c r="J44" s="1292"/>
      <c r="K44" s="1292"/>
      <c r="L44" s="1293"/>
    </row>
    <row r="47" ht="12.75">
      <c r="G47" s="927">
        <f>+G30+1726461-542049.41</f>
        <v>57456620.87714286</v>
      </c>
    </row>
    <row r="48" spans="1:2" ht="12.75">
      <c r="A48" s="801" t="s">
        <v>94</v>
      </c>
      <c r="B48" s="802" t="s">
        <v>95</v>
      </c>
    </row>
    <row r="49" spans="1:12" ht="27.75" customHeight="1">
      <c r="A49" s="801" t="s">
        <v>96</v>
      </c>
      <c r="B49" s="1278" t="s">
        <v>101</v>
      </c>
      <c r="C49" s="1278"/>
      <c r="D49" s="1278"/>
      <c r="E49" s="1278"/>
      <c r="F49" s="1278"/>
      <c r="G49" s="1278"/>
      <c r="H49" s="1278"/>
      <c r="I49" s="1278"/>
      <c r="J49" s="1278"/>
      <c r="K49" s="1278"/>
      <c r="L49" s="1278"/>
    </row>
    <row r="50" spans="1:12" s="803" customFormat="1" ht="24" customHeight="1">
      <c r="A50" s="801" t="s">
        <v>97</v>
      </c>
      <c r="B50" s="1278" t="s">
        <v>102</v>
      </c>
      <c r="C50" s="1278"/>
      <c r="D50" s="1278"/>
      <c r="E50" s="1278"/>
      <c r="F50" s="1278"/>
      <c r="G50" s="1278"/>
      <c r="H50" s="1278"/>
      <c r="I50" s="1278"/>
      <c r="J50" s="1278"/>
      <c r="K50" s="1278"/>
      <c r="L50" s="1278"/>
    </row>
  </sheetData>
  <sheetProtection/>
  <mergeCells count="35">
    <mergeCell ref="A37:E37"/>
    <mergeCell ref="B50:L50"/>
    <mergeCell ref="B49:L49"/>
    <mergeCell ref="A42:E42"/>
    <mergeCell ref="A43:E43"/>
    <mergeCell ref="I42:L42"/>
    <mergeCell ref="I43:L43"/>
    <mergeCell ref="A44:E44"/>
    <mergeCell ref="I44:L44"/>
    <mergeCell ref="A30:C30"/>
    <mergeCell ref="I40:L40"/>
    <mergeCell ref="A39:E39"/>
    <mergeCell ref="A40:E40"/>
    <mergeCell ref="A34:E34"/>
    <mergeCell ref="A35:E35"/>
    <mergeCell ref="A36:E36"/>
    <mergeCell ref="I39:L39"/>
    <mergeCell ref="A38:E38"/>
    <mergeCell ref="I38:L38"/>
    <mergeCell ref="I37:L37"/>
    <mergeCell ref="A33:E33"/>
    <mergeCell ref="A2:K2"/>
    <mergeCell ref="A4:L4"/>
    <mergeCell ref="A3:K3"/>
    <mergeCell ref="A5:C6"/>
    <mergeCell ref="G5:I5"/>
    <mergeCell ref="J5:L5"/>
    <mergeCell ref="D5:F5"/>
    <mergeCell ref="A31:K31"/>
    <mergeCell ref="A32:E32"/>
    <mergeCell ref="I32:L32"/>
    <mergeCell ref="I33:L33"/>
    <mergeCell ref="I34:L34"/>
    <mergeCell ref="I35:L35"/>
    <mergeCell ref="I36:L3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Excmo. Cabildo Insular de Tenerife</cp:lastModifiedBy>
  <cp:lastPrinted>2016-11-30T12:49:32Z</cp:lastPrinted>
  <dcterms:created xsi:type="dcterms:W3CDTF">2004-09-28T16:33:32Z</dcterms:created>
  <dcterms:modified xsi:type="dcterms:W3CDTF">2017-02-08T10:03:40Z</dcterms:modified>
  <cp:category/>
  <cp:version/>
  <cp:contentType/>
  <cp:contentStatus/>
</cp:coreProperties>
</file>