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28710" windowHeight="13485" tabRatio="773" firstSheet="6" activeTab="6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Estado de Flujos" sheetId="8" r:id="rId8"/>
    <sheet name="INF. ADIC. CPYG " sheetId="9" r:id="rId9"/>
    <sheet name="Inversiones reales" sheetId="10" r:id="rId10"/>
    <sheet name="Inv. NO FIN" sheetId="11" r:id="rId11"/>
    <sheet name="Inv. FIN" sheetId="12" r:id="rId12"/>
    <sheet name="No rellenar EP-5 " sheetId="13" state="hidden" r:id="rId13"/>
    <sheet name="Transf. y subv." sheetId="14" r:id="rId14"/>
    <sheet name="Deuda Viva y Prev. Vtos. Deuda" sheetId="15" r:id="rId15"/>
    <sheet name="Perfil Vtos Deuda 10 años" sheetId="16" r:id="rId16"/>
    <sheet name="Deuda L.P." sheetId="17" r:id="rId17"/>
    <sheet name="EP7 A" sheetId="18" state="hidden" r:id="rId18"/>
    <sheet name="Deuda C.P." sheetId="19" r:id="rId19"/>
    <sheet name="Personal" sheetId="20" r:id="rId20"/>
    <sheet name="PD 2017 (Personal)" sheetId="21" r:id="rId21"/>
    <sheet name="LF 2017 (Personal)" sheetId="22" r:id="rId22"/>
    <sheet name="LT 2017 (Personal)" sheetId="23" r:id="rId23"/>
    <sheet name="PRESTACIONES Y GASTOS SOCIALES" sheetId="24" r:id="rId24"/>
    <sheet name="COMPARATIVA 2016-2017" sheetId="25" r:id="rId25"/>
    <sheet name="Operaciones Internas" sheetId="26" r:id="rId26"/>
    <sheet name="Encomiendas" sheetId="27" r:id="rId27"/>
    <sheet name="Estab. Presup. " sheetId="28" state="hidden" r:id="rId28"/>
    <sheet name="FINANCIACION" sheetId="29" state="hidden" r:id="rId29"/>
    <sheet name="PRESUPUESTO" sheetId="30" state="hidden" r:id="rId30"/>
    <sheet name="PRESUPUESTO CPYG" sheetId="31" state="hidden" r:id="rId31"/>
  </sheets>
  <externalReferences>
    <externalReference r:id="rId34"/>
  </externalReferences>
  <definedNames>
    <definedName name="_xlnm.Print_Area" localSheetId="2">'ACCIONISTAS'!$B$3:$J$50</definedName>
    <definedName name="_xlnm.Print_Area" localSheetId="5">'ACTIVO'!$B$2:$E$43</definedName>
    <definedName name="_xlnm.Print_Area" localSheetId="24">'COMPARATIVA 2016-2017'!$B$3:$F$14</definedName>
    <definedName name="_xlnm.Print_Area" localSheetId="3">'COMPROBACION'!$B$2:$D$67</definedName>
    <definedName name="_xlnm.Print_Area" localSheetId="4">'CPYG'!$B$2:$E$94</definedName>
    <definedName name="_xlnm.Print_Area" localSheetId="18">'Deuda C.P.'!$A$2:$O$22</definedName>
    <definedName name="_xlnm.Print_Area" localSheetId="16">'Deuda L.P.'!$B$2:$P$25</definedName>
    <definedName name="_xlnm.Print_Area" localSheetId="14">'Deuda Viva y Prev. Vtos. Deuda'!$B$3:$L$29</definedName>
    <definedName name="_xlnm.Print_Area" localSheetId="26">'Encomiendas'!$B$2:$F$23</definedName>
    <definedName name="_xlnm.Print_Area" localSheetId="17">'EP7 A'!$A$1:$H$25</definedName>
    <definedName name="_xlnm.Print_Area" localSheetId="27">'Estab. Presup. '!$B$2:$F$29</definedName>
    <definedName name="_xlnm.Print_Area" localSheetId="7">'Estado de Flujos'!$B$4:$E$83</definedName>
    <definedName name="_xlnm.Print_Area" localSheetId="28">'FINANCIACION'!$B$2:$I$25</definedName>
    <definedName name="_xlnm.Print_Area" localSheetId="8">'INF. ADIC. CPYG '!$B$2:$M$61</definedName>
    <definedName name="_xlnm.Print_Area" localSheetId="11">'Inv. FIN'!$B$2:$M$87</definedName>
    <definedName name="_xlnm.Print_Area" localSheetId="10">'Inv. NO FIN'!$B$1:$L$34</definedName>
    <definedName name="_xlnm.Print_Area" localSheetId="9">'Inversiones reales'!$B$2:$Q$31</definedName>
    <definedName name="_xlnm.Print_Area" localSheetId="21">'LF 2017 (Personal)'!$B$2:$O$19</definedName>
    <definedName name="_xlnm.Print_Area" localSheetId="22">'LT 2017 (Personal)'!$B$2:$P$49</definedName>
    <definedName name="_xlnm.Print_Area" localSheetId="0">'No rellenar Consolidación'!$A$1:$D$99</definedName>
    <definedName name="_xlnm.Print_Area" localSheetId="12">'No rellenar EP-5 '!$A$1:$D$81</definedName>
    <definedName name="_xlnm.Print_Area" localSheetId="25">'Operaciones Internas'!$B$2:$E$63</definedName>
    <definedName name="_xlnm.Print_Area" localSheetId="1">'ORGANOS DE GOBIERNO'!$B$3:$I$15</definedName>
    <definedName name="_xlnm.Print_Area" localSheetId="6">'PASIVO'!$B$2:$E$60</definedName>
    <definedName name="_xlnm.Print_Area" localSheetId="20">'PD 2017 (Personal)'!$B$2:$N$12</definedName>
    <definedName name="_xlnm.Print_Area" localSheetId="15">'Perfil Vtos Deuda 10 años'!$B$2:$L$13</definedName>
    <definedName name="_xlnm.Print_Area" localSheetId="19">'Personal'!$B$2:$I$54</definedName>
    <definedName name="_xlnm.Print_Area" localSheetId="23">'PRESTACIONES Y GASTOS SOCIALES'!$B$2:$D$17</definedName>
    <definedName name="_xlnm.Print_Area" localSheetId="29">'PRESUPUESTO'!$B$2:$D$61</definedName>
    <definedName name="_xlnm.Print_Area" localSheetId="30">'PRESUPUESTO CPYG'!$B$2:$D$72</definedName>
    <definedName name="_xlnm.Print_Area" localSheetId="13">'Transf. y subv.'!$B$2:$I$76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comments10.xml><?xml version="1.0" encoding="utf-8"?>
<comments xmlns="http://schemas.openxmlformats.org/spreadsheetml/2006/main">
  <authors>
    <author>Hardisson</author>
  </authors>
  <commentList>
    <comment ref="H34" authorId="0">
      <text>
        <r>
          <rPr>
            <b/>
            <sz val="9"/>
            <rFont val="Tahoma"/>
            <family val="2"/>
          </rPr>
          <t>Hardisson:</t>
        </r>
        <r>
          <rPr>
            <sz val="9"/>
            <rFont val="Tahoma"/>
            <family val="2"/>
          </rPr>
          <t xml:space="preserve">
No coincide con inv no financieras</t>
        </r>
      </text>
    </comment>
  </commentList>
</comments>
</file>

<file path=xl/sharedStrings.xml><?xml version="1.0" encoding="utf-8"?>
<sst xmlns="http://schemas.openxmlformats.org/spreadsheetml/2006/main" count="1663" uniqueCount="1067">
  <si>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</si>
  <si>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</si>
  <si>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</si>
  <si>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</si>
  <si>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</si>
  <si>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</si>
  <si>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</si>
  <si>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</si>
  <si>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</si>
  <si>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</si>
  <si>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</si>
  <si>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</si>
  <si>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</si>
  <si>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</si>
  <si>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</si>
  <si>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</si>
  <si>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</si>
  <si>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</si>
  <si>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</si>
  <si>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</si>
  <si>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</si>
  <si>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</si>
  <si>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</si>
  <si>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</si>
  <si>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</si>
  <si>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</si>
  <si>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</si>
  <si>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</si>
  <si>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</si>
  <si>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</si>
  <si>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</si>
  <si>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</si>
  <si>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</si>
  <si>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</si>
  <si>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</si>
  <si>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</si>
  <si>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</si>
  <si>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</si>
  <si>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</si>
  <si>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</si>
  <si>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</si>
  <si>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</si>
  <si>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</si>
  <si>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</si>
  <si>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</si>
  <si>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</si>
  <si>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</si>
  <si>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</si>
  <si>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</si>
  <si>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</si>
  <si>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</si>
  <si>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</si>
  <si>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</si>
  <si>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</si>
  <si>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</si>
  <si>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</si>
  <si>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</si>
  <si>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</si>
  <si>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</si>
  <si>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</si>
  <si>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</si>
  <si>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</si>
  <si>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</si>
  <si>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</si>
  <si>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</si>
  <si>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</si>
  <si>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</si>
  <si>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</si>
  <si>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</si>
  <si>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</si>
  <si>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</si>
  <si>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</si>
  <si>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</si>
  <si>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</si>
  <si>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</si>
  <si>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</si>
  <si>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</si>
  <si>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</si>
  <si>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</si>
  <si>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</si>
  <si>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</si>
  <si>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</si>
  <si>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</si>
  <si>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</si>
  <si>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</si>
  <si>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</si>
  <si>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</si>
  <si>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</si>
  <si>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</si>
  <si>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</si>
  <si>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</si>
  <si>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</si>
  <si>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</si>
  <si>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</si>
  <si>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</si>
  <si>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</si>
  <si>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</si>
  <si>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</si>
  <si>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</si>
  <si>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</si>
  <si>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</si>
  <si>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</si>
  <si>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</si>
  <si>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</si>
  <si>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</si>
  <si>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</si>
  <si>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</si>
  <si>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</si>
  <si>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</si>
  <si>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</si>
  <si>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</si>
  <si>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</si>
  <si>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</si>
  <si>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</si>
  <si>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</si>
  <si>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</si>
  <si>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</si>
  <si>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</si>
  <si>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</si>
  <si>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</si>
  <si>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</si>
  <si>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</si>
  <si>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</si>
  <si>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</si>
  <si>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</si>
  <si>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</si>
  <si>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</si>
  <si>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</si>
  <si>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</si>
  <si>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</si>
  <si>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</si>
  <si>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</si>
  <si>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</si>
  <si>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</si>
  <si>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</si>
  <si>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</si>
  <si>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</si>
  <si>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</si>
  <si>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</si>
  <si>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</si>
  <si>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</si>
  <si>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</si>
  <si>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</si>
  <si>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</si>
  <si>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</si>
  <si>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</si>
  <si>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</si>
  <si>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</si>
  <si>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</si>
  <si>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</si>
  <si>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</si>
  <si>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</si>
  <si>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</si>
  <si>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</si>
  <si>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</si>
  <si>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</si>
  <si>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</si>
  <si>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</si>
  <si>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</si>
  <si>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</si>
  <si>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</si>
  <si>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</si>
  <si>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</si>
  <si>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</si>
  <si>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</si>
  <si>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</si>
  <si>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</si>
  <si>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</si>
  <si>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</si>
  <si>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</si>
  <si>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</si>
  <si>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</si>
  <si>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</si>
  <si>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</si>
  <si>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</si>
  <si>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</si>
  <si>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</si>
  <si>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</si>
  <si>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</si>
  <si>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</si>
  <si>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</si>
  <si>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</si>
  <si>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</si>
  <si>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</si>
  <si>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</si>
  <si>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</si>
  <si>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</si>
  <si>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</si>
  <si>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</si>
  <si>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</si>
  <si>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</si>
  <si>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</si>
  <si>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</si>
  <si>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</si>
  <si>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</si>
  <si>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</si>
  <si>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</si>
  <si>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</si>
  <si>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</si>
  <si>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</si>
  <si>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</si>
  <si>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</si>
  <si>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</si>
  <si>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</si>
  <si>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</si>
  <si>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</si>
  <si>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</si>
  <si>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</si>
  <si>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</si>
  <si>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</si>
  <si>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</si>
  <si>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</si>
  <si>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</si>
  <si>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</si>
  <si>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</si>
  <si>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</si>
  <si>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</si>
  <si>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</si>
  <si>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</si>
  <si>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</si>
  <si>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</si>
  <si>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</si>
  <si>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</si>
  <si>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</si>
  <si>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</si>
  <si>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</si>
  <si>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</si>
  <si>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</si>
  <si>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</si>
  <si>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</si>
  <si>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</si>
  <si>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</si>
  <si>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</si>
  <si>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</si>
  <si>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</si>
  <si>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</si>
  <si>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</si>
  <si>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</si>
  <si>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</si>
  <si>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</si>
  <si>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</si>
  <si>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</si>
  <si>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</si>
  <si>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 xml:space="preserve">Estado de flujo de efectivo </t>
  </si>
  <si>
    <t>A) FLUJOS DE EFECTIVO DE LAS ACTIVIDADES DE EXPLOTACION</t>
  </si>
  <si>
    <t xml:space="preserve">   1. Resultado del ejercicio antes de impuestos</t>
  </si>
  <si>
    <t xml:space="preserve">   2. Ajustes del resultado</t>
  </si>
  <si>
    <t xml:space="preserve">      a) Amortización del inmovilizado (+)</t>
  </si>
  <si>
    <t xml:space="preserve">      b) Correcciones valorativas por deterioro(+/-)</t>
  </si>
  <si>
    <t xml:space="preserve">      c) Variación de provisiones (+/-)</t>
  </si>
  <si>
    <t xml:space="preserve">      d) Imputación de subvenciones (-)</t>
  </si>
  <si>
    <t xml:space="preserve">      e) Resultados por bajas y enajenaciones del inmovilizado (+/-)</t>
  </si>
  <si>
    <t xml:space="preserve">      f) Resultados por bajas y enajenaciones del instrumentos finanieros (+/-)</t>
  </si>
  <si>
    <t xml:space="preserve">      g) Ingresos Financieros (-)</t>
  </si>
  <si>
    <t xml:space="preserve">      h) Gastos Financieros (+)</t>
  </si>
  <si>
    <t xml:space="preserve">      i) Diferencias de cambio (+/-)</t>
  </si>
  <si>
    <t xml:space="preserve">      j) Valoración del valor razonable en instrumentos financieros</t>
  </si>
  <si>
    <t xml:space="preserve">      k) Otros ingresos y gastos (-/+)</t>
  </si>
  <si>
    <t xml:space="preserve">   3. Cambios de Capital Corriente</t>
  </si>
  <si>
    <t xml:space="preserve">      a) Existencias (+/-)</t>
  </si>
  <si>
    <t xml:space="preserve">      b) Deudores y otras cuentas a cobrar (+/-)</t>
  </si>
  <si>
    <t xml:space="preserve">      c) Otros activos corrientes (+/-)</t>
  </si>
  <si>
    <t xml:space="preserve">      d) Acreedores y otras cuentas a pagar(+/-)</t>
  </si>
  <si>
    <t xml:space="preserve">      e) Otros pasivos corrientes (+/-)</t>
  </si>
  <si>
    <t xml:space="preserve">      f) Otros activos y pasivos no corrientes (+/-)</t>
  </si>
  <si>
    <t>Ojo. Apto VI NO está considerado en los Ajustes de Variaciones de Balance</t>
  </si>
  <si>
    <t>Ojo. Apto VII NO está considerado en los Ajustes de Variaciones de Balance</t>
  </si>
  <si>
    <t xml:space="preserve">   4. Otros flujos de efectivo de las actividades de explotación</t>
  </si>
  <si>
    <t xml:space="preserve">      a) Pagos de intereses (-)</t>
  </si>
  <si>
    <t xml:space="preserve">      b) Cobros de dividendos (+)</t>
  </si>
  <si>
    <t xml:space="preserve">      c) Cobros de Intereses (+)</t>
  </si>
  <si>
    <t xml:space="preserve">      d) Cobros (pagos) por impuesto sobre beneficios(+/-)</t>
  </si>
  <si>
    <t xml:space="preserve">      e) Otros pagos (cobros) (-/+)</t>
  </si>
  <si>
    <t xml:space="preserve">   5. Flujos de efectivo de las actividades de explotación (1+2+3+4)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</si>
  <si>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</si>
  <si>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</si>
  <si>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</si>
  <si>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</si>
  <si>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</si>
  <si>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</si>
  <si>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</si>
  <si>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B) FLUJOS DE EFECTIVO DE LAS ACTIVIDADES DE INVERSIÓN</t>
  </si>
  <si>
    <t xml:space="preserve">   6. Pagos por inversiones (-)</t>
  </si>
  <si>
    <t xml:space="preserve">      a) Empresas del grupo y asociadas</t>
  </si>
  <si>
    <t xml:space="preserve">      b) Inmovilizado intangible</t>
  </si>
  <si>
    <t xml:space="preserve">      c) Inmovilizado material</t>
  </si>
  <si>
    <t xml:space="preserve">      d) Inversiones inmobiliarias</t>
  </si>
  <si>
    <t xml:space="preserve">      e) Otros activos financieros</t>
  </si>
  <si>
    <t xml:space="preserve">      f) Activos no corrientes mantenidos para venta</t>
  </si>
  <si>
    <t xml:space="preserve">      g) Unidad de negocio</t>
  </si>
  <si>
    <t xml:space="preserve">      h) Otros activos</t>
  </si>
  <si>
    <t xml:space="preserve">   7. Cobros por desinversiones (+)</t>
  </si>
  <si>
    <t xml:space="preserve">      a) Empresas del Grupo y Asociadas</t>
  </si>
  <si>
    <t xml:space="preserve">   8. Flujos de efectivo de las actividades de Inversión (6+7)</t>
  </si>
  <si>
    <t>C) FLUJOS DE EFECTIVO DE LAS ACTIVIDADES DE FINANCIACIÓN</t>
  </si>
  <si>
    <t xml:space="preserve">   9. Cobros y Pagos por instrumentos de patrimonio</t>
  </si>
  <si>
    <t xml:space="preserve">      a) Emisión de instrumentos de patrimonio (+)</t>
  </si>
  <si>
    <t xml:space="preserve">      b) Amortización de instrumentos de patrimonio (-)</t>
  </si>
  <si>
    <t xml:space="preserve">      c) Adquisición de instrumentos de patrimonio propio (-)</t>
  </si>
  <si>
    <t xml:space="preserve">      d) Enajenación de instrumentos de patrimonio propio (+)</t>
  </si>
  <si>
    <t xml:space="preserve">      e) Subvenciones, donaciones y legados recibidos (+)</t>
  </si>
  <si>
    <t xml:space="preserve">   10. Cobros y Pagos por instrumentos de pasivo financiero</t>
  </si>
  <si>
    <t xml:space="preserve">      a) Emisión </t>
  </si>
  <si>
    <t xml:space="preserve">          1. Obligaciones y otros valores negociables (+) </t>
  </si>
  <si>
    <t xml:space="preserve">          2. Deudas con entidades de crédito (+)</t>
  </si>
  <si>
    <t xml:space="preserve">          3. Deudas con empresas del grupo y asociadas (+)</t>
  </si>
  <si>
    <t xml:space="preserve">          4. Deudas con características especiales (+)</t>
  </si>
  <si>
    <t xml:space="preserve">          5. Otras deudas (+)</t>
  </si>
  <si>
    <t xml:space="preserve">      b) Devolución y amortización de </t>
  </si>
  <si>
    <t xml:space="preserve">          1. Obligaciones y otros valores negociables (-) </t>
  </si>
  <si>
    <t xml:space="preserve">          2. Deudas con entidades de crédito (-)</t>
  </si>
  <si>
    <t xml:space="preserve">          3. Deudas con empresas del grupo y asociadas (-)</t>
  </si>
  <si>
    <t xml:space="preserve">          4. Deudas con características especiales (-)</t>
  </si>
  <si>
    <t xml:space="preserve">          5. Otras deudas (-)</t>
  </si>
  <si>
    <t xml:space="preserve">   11. Pagos por dividendos y remuneraciones de otros instrumentos de patrimonio</t>
  </si>
  <si>
    <t xml:space="preserve">      a) Dividendos (-)</t>
  </si>
  <si>
    <t xml:space="preserve">      b) Remuneración de otros instrumentos de patrimonio (-)</t>
  </si>
  <si>
    <t xml:space="preserve">   12. Flujos de efectivo de las actividades de financiación (9+10+11)</t>
  </si>
  <si>
    <t>D) Efecto de las variaciones de los tipos de cambio (+/-)</t>
  </si>
  <si>
    <t>E) AUMENTO/DISMINUCIÓN NETA DEL EFECTIVO O EQUIVALENTES (5+8+12+D)</t>
  </si>
  <si>
    <t xml:space="preserve">    Efectivo o equivalentes al comienzo del ejercicio</t>
  </si>
  <si>
    <t xml:space="preserve">    Efectivo o equivalentes al final del ejercicio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</si>
  <si>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</si>
  <si>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</si>
  <si>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</si>
  <si>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</si>
  <si>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</si>
  <si>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</si>
  <si>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</si>
  <si>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</si>
  <si>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</si>
  <si>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</si>
  <si>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</si>
  <si>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</si>
  <si>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</si>
  <si>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</si>
  <si>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</si>
  <si>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</si>
  <si>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</si>
  <si>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</si>
  <si>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</si>
  <si>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</si>
  <si>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</si>
  <si>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</si>
  <si>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</si>
  <si>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</si>
  <si>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</si>
  <si>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</si>
  <si>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</si>
  <si>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</si>
  <si>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</si>
  <si>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</si>
  <si>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</si>
  <si>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</si>
  <si>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</si>
  <si>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</si>
  <si>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</si>
  <si>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</si>
  <si>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</si>
  <si>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</si>
  <si>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</si>
  <si>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</si>
  <si>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</si>
  <si>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</si>
  <si>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</si>
  <si>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</si>
  <si>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</si>
  <si>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</si>
  <si>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</si>
  <si>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</si>
  <si>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</si>
  <si>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</si>
  <si>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</si>
  <si>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</si>
  <si>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</si>
  <si>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</si>
  <si>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</si>
  <si>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</si>
  <si>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</si>
  <si>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</si>
  <si>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</si>
  <si>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</si>
  <si>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</si>
  <si>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</si>
  <si>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</si>
  <si>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</si>
  <si>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</si>
  <si>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</si>
  <si>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</si>
  <si>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</si>
  <si>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</si>
  <si>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</si>
  <si>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</si>
  <si>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</si>
  <si>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</si>
  <si>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</si>
  <si>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</si>
  <si>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</si>
  <si>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</si>
  <si>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</si>
  <si>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</si>
  <si>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</si>
  <si>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</si>
  <si>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</si>
  <si>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</si>
  <si>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</si>
  <si>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</si>
  <si>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</si>
  <si>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</si>
  <si>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</si>
  <si>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</si>
  <si>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</si>
  <si>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</si>
  <si>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</si>
  <si>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</si>
  <si>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</si>
  <si>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</si>
  <si>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</si>
  <si>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</si>
  <si>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</si>
  <si>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</si>
  <si>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</si>
  <si>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</si>
  <si>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</si>
  <si>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</si>
  <si>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</si>
  <si>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</si>
  <si>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</si>
  <si>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</si>
  <si>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</si>
  <si>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</si>
  <si>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</si>
  <si>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</si>
  <si>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</si>
  <si>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</si>
  <si>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</si>
  <si>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</si>
  <si>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</si>
  <si>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</si>
  <si>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</si>
  <si>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</si>
  <si>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</si>
  <si>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</si>
  <si>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</si>
  <si>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</si>
  <si>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</si>
  <si>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</si>
  <si>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ESTADO DE FLUJOS DE EFECTIVO                                                                                                                                     (Sólo para sociedades sujetas al P.G. de Contabilidad de Empresas Modelo Ordinario)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</si>
  <si>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</si>
  <si>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</si>
  <si>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</si>
  <si>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</si>
  <si>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</si>
  <si>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</si>
  <si>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</si>
  <si>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</si>
  <si>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</si>
  <si>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</si>
  <si>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</si>
  <si>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</si>
  <si>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</si>
  <si>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</si>
  <si>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</si>
  <si>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</si>
  <si>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</si>
  <si>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</si>
  <si>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</si>
  <si>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</si>
  <si>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</si>
  <si>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</si>
  <si>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</si>
  <si>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</si>
  <si>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</si>
  <si>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</si>
  <si>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</si>
  <si>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</si>
  <si>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</si>
  <si>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</si>
  <si>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</si>
  <si>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</si>
  <si>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</si>
  <si>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</si>
  <si>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</si>
  <si>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</si>
  <si>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</si>
  <si>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</si>
  <si>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</si>
  <si>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</si>
  <si>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</si>
  <si>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</si>
  <si>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</si>
  <si>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</si>
  <si>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</si>
  <si>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</si>
  <si>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</si>
  <si>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</si>
  <si>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</si>
  <si>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</si>
  <si>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</si>
  <si>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2017             (previsión)</t>
  </si>
  <si>
    <t>2016        (estimado)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</si>
  <si>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</si>
  <si>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</si>
  <si>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</si>
  <si>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</si>
  <si>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</si>
  <si>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</si>
  <si>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</si>
  <si>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</si>
  <si>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</si>
  <si>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</si>
  <si>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</si>
  <si>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</si>
  <si>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</si>
  <si>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</si>
  <si>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</si>
  <si>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</si>
  <si>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</si>
  <si>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</si>
  <si>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</si>
  <si>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</si>
  <si>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</si>
  <si>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</si>
  <si>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</si>
  <si>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</si>
  <si>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</si>
  <si>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</si>
  <si>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</si>
  <si>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</si>
  <si>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</si>
  <si>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</si>
  <si>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</si>
  <si>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</si>
  <si>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</si>
  <si>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</si>
  <si>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</si>
  <si>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</si>
  <si>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</si>
  <si>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</si>
  <si>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</si>
  <si>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</si>
  <si>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</si>
  <si>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</si>
  <si>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</si>
  <si>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</si>
  <si>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</si>
  <si>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</si>
  <si>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</si>
  <si>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</si>
  <si>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</si>
  <si>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</si>
  <si>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</si>
  <si>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</si>
  <si>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</si>
  <si>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</si>
  <si>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</si>
  <si>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</si>
  <si>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</si>
  <si>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</si>
  <si>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</si>
  <si>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</si>
  <si>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</si>
  <si>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</si>
  <si>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</si>
  <si>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</si>
  <si>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</si>
  <si>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</si>
  <si>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</si>
  <si>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</si>
  <si>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</si>
  <si>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</si>
  <si>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</si>
  <si>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</si>
  <si>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</si>
  <si>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</si>
  <si>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</si>
  <si>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</si>
  <si>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</si>
  <si>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</si>
  <si>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</si>
  <si>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</si>
  <si>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</si>
  <si>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</si>
  <si>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</si>
  <si>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</si>
  <si>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</si>
  <si>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</si>
  <si>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</si>
  <si>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</si>
  <si>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</si>
  <si>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</si>
  <si>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</si>
  <si>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</si>
  <si>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</si>
  <si>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</si>
  <si>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</si>
  <si>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</si>
  <si>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</si>
  <si>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</si>
  <si>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</si>
  <si>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</si>
  <si>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</si>
  <si>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</si>
  <si>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</si>
  <si>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</si>
  <si>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</si>
  <si>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</si>
  <si>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</si>
  <si>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</si>
  <si>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</si>
  <si>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</si>
  <si>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</si>
  <si>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</si>
  <si>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</si>
  <si>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</si>
  <si>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</si>
  <si>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</si>
  <si>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</si>
  <si>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</si>
  <si>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</si>
  <si>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</si>
  <si>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</si>
  <si>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</si>
  <si>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</si>
  <si>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</si>
  <si>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</si>
  <si>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</si>
  <si>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</si>
  <si>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</si>
  <si>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</si>
  <si>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</si>
  <si>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</si>
  <si>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</si>
  <si>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</si>
  <si>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</si>
  <si>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</si>
  <si>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</si>
  <si>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</si>
  <si>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</si>
  <si>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</si>
  <si>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</si>
  <si>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</si>
  <si>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</si>
  <si>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</si>
  <si>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</si>
  <si>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</si>
  <si>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</si>
  <si>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</si>
  <si>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</si>
  <si>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</si>
  <si>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</si>
  <si>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</si>
  <si>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</si>
  <si>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</si>
  <si>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</si>
  <si>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</si>
  <si>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</si>
  <si>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</si>
  <si>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</si>
  <si>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</si>
  <si>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</si>
  <si>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</si>
  <si>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</si>
  <si>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</si>
  <si>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</si>
  <si>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</si>
  <si>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</si>
  <si>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</si>
  <si>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</si>
  <si>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</si>
  <si>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</si>
  <si>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</si>
  <si>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Vocal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</si>
  <si>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</si>
  <si>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</si>
  <si>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</si>
  <si>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</si>
  <si>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</si>
  <si>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</si>
  <si>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</si>
  <si>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</si>
  <si>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</si>
  <si>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</si>
  <si>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</si>
  <si>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</si>
  <si>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</si>
  <si>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</si>
  <si>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</si>
  <si>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</si>
  <si>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</si>
  <si>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</si>
  <si>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</si>
  <si>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</si>
  <si>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</si>
  <si>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</si>
  <si>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</si>
  <si>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</si>
  <si>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</si>
  <si>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</si>
  <si>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</si>
  <si>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</si>
  <si>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</si>
  <si>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</si>
  <si>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</si>
  <si>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</si>
  <si>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</si>
  <si>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</si>
  <si>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</si>
  <si>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</si>
  <si>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</si>
  <si>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</si>
  <si>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</si>
  <si>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</si>
  <si>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</si>
  <si>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</si>
  <si>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</si>
  <si>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</si>
  <si>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</si>
  <si>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</si>
  <si>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</si>
  <si>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</si>
  <si>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</si>
  <si>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</si>
  <si>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</si>
  <si>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</si>
  <si>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</si>
  <si>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</si>
  <si>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</si>
  <si>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</si>
  <si>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</si>
  <si>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</si>
  <si>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</si>
  <si>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</si>
  <si>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</si>
  <si>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</si>
  <si>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</si>
  <si>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</si>
  <si>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</si>
  <si>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</si>
  <si>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</si>
  <si>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</si>
  <si>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</si>
  <si>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</si>
  <si>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</si>
  <si>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</si>
  <si>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</si>
  <si>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</si>
  <si>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</si>
  <si>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</si>
  <si>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</si>
  <si>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</si>
  <si>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</si>
  <si>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</si>
  <si>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</si>
  <si>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</si>
  <si>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</si>
  <si>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</si>
  <si>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</si>
  <si>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</si>
  <si>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</si>
  <si>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</si>
  <si>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</si>
  <si>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</si>
  <si>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</si>
  <si>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</si>
  <si>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</si>
  <si>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</si>
  <si>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</si>
  <si>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</si>
  <si>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</si>
  <si>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</si>
  <si>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</si>
  <si>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</si>
  <si>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</si>
  <si>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</si>
  <si>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</si>
  <si>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</si>
  <si>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</si>
  <si>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</si>
  <si>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</si>
  <si>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</si>
  <si>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</si>
  <si>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</si>
  <si>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</si>
  <si>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</si>
  <si>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</si>
  <si>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</si>
  <si>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</si>
  <si>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</si>
  <si>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</si>
  <si>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</si>
  <si>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</si>
  <si>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</si>
  <si>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</si>
  <si>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</si>
  <si>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</si>
  <si>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</si>
  <si>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</si>
  <si>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</si>
  <si>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</si>
  <si>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</si>
  <si>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</si>
  <si>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</si>
  <si>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</si>
  <si>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</si>
  <si>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</si>
  <si>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</si>
  <si>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</si>
  <si>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</si>
  <si>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</si>
  <si>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</si>
  <si>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</si>
  <si>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</si>
  <si>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</si>
  <si>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</si>
  <si>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</si>
  <si>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</si>
  <si>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</si>
  <si>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</si>
  <si>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</si>
  <si>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</si>
  <si>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</si>
  <si>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</si>
  <si>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</si>
  <si>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</si>
  <si>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</si>
  <si>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</si>
  <si>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</si>
  <si>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</si>
  <si>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</si>
  <si>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</si>
  <si>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</si>
  <si>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</si>
  <si>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</si>
  <si>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</si>
  <si>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</si>
  <si>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</si>
  <si>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</si>
  <si>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</si>
  <si>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</si>
  <si>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</si>
  <si>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</si>
  <si>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</si>
  <si>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</si>
  <si>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</si>
  <si>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</si>
  <si>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</si>
  <si>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</si>
  <si>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</si>
  <si>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</si>
  <si>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</si>
  <si>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</si>
  <si>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</si>
  <si>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</si>
  <si>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</si>
  <si>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</si>
  <si>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</si>
  <si>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</si>
  <si>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</si>
  <si>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Ex.p Sanc. Solten III 2012</t>
  </si>
  <si>
    <t>Recargo mod. 222 dic14</t>
  </si>
  <si>
    <t>Ayto. S/C de Tenerife</t>
  </si>
  <si>
    <t>Recargo int demora Torres Quevedo</t>
  </si>
  <si>
    <t>Exp. Act. Admon. Mod 220 2013</t>
  </si>
  <si>
    <t>Balten</t>
  </si>
  <si>
    <t>Canarias Submarine Link</t>
  </si>
  <si>
    <t>Metropolitano de Tenerife</t>
  </si>
  <si>
    <t>IT3</t>
  </si>
  <si>
    <t>IVC</t>
  </si>
  <si>
    <t>Agencia Insular Energia</t>
  </si>
  <si>
    <t>Pol. Ind. Granadilla</t>
  </si>
  <si>
    <t>Eolicas de Tenerife</t>
  </si>
  <si>
    <t>Ayto. Granadilla</t>
  </si>
  <si>
    <t>Ayto. Adeje</t>
  </si>
  <si>
    <t>Donativo Cruz Roja Española</t>
  </si>
  <si>
    <t>Liq Prov Apremio mod 220 2013</t>
  </si>
  <si>
    <t xml:space="preserve">Mod 993 Gob Can </t>
  </si>
  <si>
    <t>Subv Cap Cabildo Pta 5Mw</t>
  </si>
  <si>
    <t>Subv Cap Cabildo Edif Acum Energ</t>
  </si>
  <si>
    <t>Subv Cap Cabildo Inst Acum Energ</t>
  </si>
  <si>
    <t>Subv Cap Cabildo Sist climat NAP</t>
  </si>
  <si>
    <t>Subv Cap AECID Filipinas</t>
  </si>
  <si>
    <t>Cabildo CEDEI capital</t>
  </si>
  <si>
    <t>MEC Proy AISOVOL</t>
  </si>
  <si>
    <t>Cabildo Electf rural Senegal</t>
  </si>
  <si>
    <t>Convenio Canal TV prorroga 2015-2016</t>
  </si>
  <si>
    <t>Convenio Gob Abierto prorroga 2015-2016</t>
  </si>
  <si>
    <t>Subv-MAC Sosturmac</t>
  </si>
  <si>
    <t>Subv MEC RETOS Heliodron</t>
  </si>
  <si>
    <t>Subv MEC RETOS Simmula</t>
  </si>
  <si>
    <t>MEC Ayudas Contr Personal Apoyo 2016</t>
  </si>
  <si>
    <t>Subv CDTI SMARTLODGIN</t>
  </si>
  <si>
    <t>Subv CDTI SOCAV</t>
  </si>
  <si>
    <t>Subv Cabildo CEDEI</t>
  </si>
  <si>
    <t>Subv AECID FILIPINAS</t>
  </si>
  <si>
    <t>Proy PROCIVMAC Gob Canarias</t>
  </si>
  <si>
    <t>Subv MEC RETOS Spiterm</t>
  </si>
  <si>
    <t>Subv MEC RETOS Electrovolcan</t>
  </si>
  <si>
    <t>Subv Fund Cajacanarias</t>
  </si>
  <si>
    <t>Banesto</t>
  </si>
  <si>
    <t>Bankia</t>
  </si>
  <si>
    <t>Caixabank S.A. (NAP)</t>
  </si>
  <si>
    <t>Préstamos Ministerios</t>
  </si>
  <si>
    <t>Poligono de Granadilla</t>
  </si>
  <si>
    <t>Deuda a Caixabank S.A (Compra acciones propias)</t>
  </si>
  <si>
    <t>Préstamo</t>
  </si>
  <si>
    <t>Caixabank SA (NAP)</t>
  </si>
  <si>
    <t>Préstamos Proyecto</t>
  </si>
  <si>
    <t>Caixabank</t>
  </si>
  <si>
    <t>Polígono Industrial de Granadilla</t>
  </si>
  <si>
    <t>522,555,560,561</t>
  </si>
  <si>
    <t>Resto partidas otros pasivos financieros</t>
  </si>
  <si>
    <t>ENTIDAD: INSTITUTO TECNOLOGICO Y DE ENERGIAS RENOVABLES S.A.</t>
  </si>
  <si>
    <t>Capital pendiente de inscripción</t>
  </si>
  <si>
    <t>Plus Dedicación</t>
  </si>
  <si>
    <t>Bonus por objetivos</t>
  </si>
  <si>
    <t>Director Gerente</t>
  </si>
  <si>
    <t>Director de Area</t>
  </si>
  <si>
    <t>Transporte</t>
  </si>
  <si>
    <t>Complementos Personales</t>
  </si>
  <si>
    <t>Actuaciones Disponibilidad</t>
  </si>
  <si>
    <t>Aux. / Limp / Telef.</t>
  </si>
  <si>
    <t>Aux. Técnico / Aux. Admón.</t>
  </si>
  <si>
    <t>Técnico</t>
  </si>
  <si>
    <t>Técnico Esp. / Adtvo.</t>
  </si>
  <si>
    <t>Investigador / Especialista</t>
  </si>
  <si>
    <t>1A</t>
  </si>
  <si>
    <t>1B</t>
  </si>
  <si>
    <t>Jefe Dpto. / Responsable / Investigador</t>
  </si>
  <si>
    <t>1C</t>
  </si>
  <si>
    <t>Oficial 1ª (mantenimiento)</t>
  </si>
  <si>
    <t>Of. 1ª</t>
  </si>
  <si>
    <t>Tec. Esp. (mantenmiento)</t>
  </si>
  <si>
    <t>T.Esp.</t>
  </si>
  <si>
    <t>Complementos</t>
  </si>
  <si>
    <t>Aux. /Telef.</t>
  </si>
  <si>
    <t>Servicios NOC para Canalink</t>
  </si>
  <si>
    <t>Peón construcción</t>
  </si>
  <si>
    <t>Obra Civil Centro de Ensayos</t>
  </si>
  <si>
    <t>Finaliz. 31/03/17</t>
  </si>
  <si>
    <t>Aux. Adtvo.</t>
  </si>
  <si>
    <t>Temporal minusvalía 430 (cuota 2% trabajadores)</t>
  </si>
  <si>
    <t>Aux. Técnico</t>
  </si>
  <si>
    <t>Servicios con Canalink</t>
  </si>
  <si>
    <t>Guia</t>
  </si>
  <si>
    <t>Sustitución</t>
  </si>
  <si>
    <t>(tiempo parcial)</t>
  </si>
  <si>
    <t>Of. 2ª Carpintero Aluminio</t>
  </si>
  <si>
    <t>Plantas FV</t>
  </si>
  <si>
    <t>Of. 2ª Mto.</t>
  </si>
  <si>
    <t>Viviendas bioclimáticas</t>
  </si>
  <si>
    <t>Subestación</t>
  </si>
  <si>
    <t>Superordenador</t>
  </si>
  <si>
    <t>Eurosolar</t>
  </si>
  <si>
    <t>Desarollo aplicaciones software</t>
  </si>
  <si>
    <t>Isla Renovable</t>
  </si>
  <si>
    <t>Avión Solar</t>
  </si>
  <si>
    <t>Naves</t>
  </si>
  <si>
    <t>Beca Programa CEDEI</t>
  </si>
  <si>
    <t>Programa formación CEDEI</t>
  </si>
  <si>
    <t>Investigador Doctor</t>
  </si>
  <si>
    <t>Consej. Educación - Atribución Temp. Funciones</t>
  </si>
  <si>
    <t>Becas Lic.</t>
  </si>
  <si>
    <t>Lic.N2</t>
  </si>
  <si>
    <t>Proyectos de investigación y desarrollo</t>
  </si>
  <si>
    <t>Planta 5 MW Arico</t>
  </si>
  <si>
    <t xml:space="preserve">5 meses </t>
  </si>
  <si>
    <t>Aux. Técnico Investigador</t>
  </si>
  <si>
    <t>RETOS - Electrovolcan</t>
  </si>
  <si>
    <t>RETOS - Spirulina</t>
  </si>
  <si>
    <t>Lic.N1</t>
  </si>
  <si>
    <t>Tenerife INNOVA</t>
  </si>
  <si>
    <t>RETOS - Heliodron</t>
  </si>
  <si>
    <t>RETOS- Simmula</t>
  </si>
  <si>
    <t>5 MESES</t>
  </si>
  <si>
    <t>9 meses</t>
  </si>
  <si>
    <t>Laboratorio Genómica</t>
  </si>
  <si>
    <t>3 meseS</t>
  </si>
  <si>
    <t>Doctor - Laboratorio Biologia</t>
  </si>
  <si>
    <t>1D</t>
  </si>
  <si>
    <t>Dirección Genómica - t.parcial</t>
  </si>
  <si>
    <t>t. parcial 25% jornada normal</t>
  </si>
  <si>
    <t>INSTITUTO TECNOLOGICO Y DE ENERGIAS RENOVABLES</t>
  </si>
  <si>
    <t>Cabildo Aplicación Isotopos para huella vinos Tenerife</t>
  </si>
  <si>
    <t>Cabildo Tecnicas Evaluación Salinizacion Acuiferos Tenerife</t>
  </si>
  <si>
    <t>Cabildo Aires de Tenerife</t>
  </si>
  <si>
    <t>Cabildo Proyecto TENAIR</t>
  </si>
  <si>
    <t>Subv MEC Proyecto Vertegas</t>
  </si>
  <si>
    <t>Caixabank S.A.</t>
  </si>
  <si>
    <t>ITER</t>
  </si>
  <si>
    <t>Eólicas de Tenerife</t>
  </si>
  <si>
    <t>Energía Verde de la Macaronesia SL</t>
  </si>
  <si>
    <t>EVM2 Energías Renovables SL</t>
  </si>
  <si>
    <t>Solten II Granadilla SA</t>
  </si>
  <si>
    <t>Instituto Tecnológico y de Telecomunicaciones de Tenerife SL</t>
  </si>
  <si>
    <t>Parques Eólicos de Granadilla AIE</t>
  </si>
  <si>
    <t>Instituto Volcanológico de Canarias SAU</t>
  </si>
  <si>
    <t>Tech Development Europe SA</t>
  </si>
  <si>
    <t>Comunidad de Aguas Unión Norte</t>
  </si>
  <si>
    <t>Parque Eólico Punta de Teno</t>
  </si>
  <si>
    <t>Acciones Caixa Bank</t>
  </si>
  <si>
    <t>Cabildo</t>
  </si>
  <si>
    <t>Carlos Enrique Alonso Rodríguez</t>
  </si>
  <si>
    <t xml:space="preserve">Antonio Miguel García Marichal </t>
  </si>
  <si>
    <t>Manuel Fernández Vega</t>
  </si>
  <si>
    <t>Aurelio Abreu Expósito</t>
  </si>
  <si>
    <t>Miguel Ángel Pérez Hernández</t>
  </si>
  <si>
    <t>Miguel Becerra Domínguez</t>
  </si>
  <si>
    <t>José Luis Rivero Plasencia</t>
  </si>
  <si>
    <t>Felix Fariña Rodríguez</t>
  </si>
  <si>
    <t>Gabriel Megias Martinez</t>
  </si>
  <si>
    <t>Proyecto VISITER</t>
  </si>
  <si>
    <t>INSTITUTO TECNOLOGICO Y DE TELECOMUNICACIONES DE TENERIFE, SL</t>
  </si>
  <si>
    <t>INSTITUTO VOLCANOLOGICO DE CANARIAS SA</t>
  </si>
  <si>
    <t>ENERGIA VERDE DE LA MACARONESIA, SL</t>
  </si>
  <si>
    <t>EVM2 ENERGIAS RENOVABLES, SL</t>
  </si>
  <si>
    <t>SOLTEN II GRANADILLA, SA</t>
  </si>
  <si>
    <t>EÓLICAS DE TENERIFE</t>
  </si>
  <si>
    <t>PARQUES EOLICOS DE GRANADILLA AIE</t>
  </si>
  <si>
    <t>Desemb pdte *180,000</t>
  </si>
  <si>
    <t>Dev prima</t>
  </si>
  <si>
    <t>CDAD DE AGUAS UNION NORTE</t>
  </si>
  <si>
    <t>PARQUE EOLICOS PUNTA DE TENO</t>
  </si>
  <si>
    <t>TECH DEVELOPMENT</t>
  </si>
  <si>
    <t>CAIXA BANK</t>
  </si>
  <si>
    <t>Valores repr deuda: Obligaciones Cabildo</t>
  </si>
  <si>
    <t>Creditos L/P: CB REGAI y Personal</t>
  </si>
  <si>
    <t>Fianzas y Depósitos</t>
  </si>
  <si>
    <t>Créditos a empresas: Créditos fical emp Grupo Consolidado</t>
  </si>
  <si>
    <t>Valores repr Deuda: Int Oblig Cabildo</t>
  </si>
  <si>
    <t>C/C con empresas grupo y asociadas</t>
  </si>
  <si>
    <t>INVERSIONES FINACIERAS A C/P</t>
  </si>
  <si>
    <t>RESTO DE INVERSIONES C/P)</t>
  </si>
  <si>
    <t>VALORES REPRESENTATIVOS DE DEUDA</t>
  </si>
  <si>
    <t>Valores Rep Deuda: Obligaciones La Caixa y Pagarés Sabadell</t>
  </si>
  <si>
    <t>CREDITOS A C/P</t>
  </si>
  <si>
    <t>Credito IT3</t>
  </si>
  <si>
    <t>Int.devengados Crédito Canalink</t>
  </si>
  <si>
    <t>Int.devengados Crédito IT3</t>
  </si>
  <si>
    <t xml:space="preserve">Dividendo a cobrar </t>
  </si>
  <si>
    <t>Fianzas y depósitos</t>
  </si>
  <si>
    <t>560,561,565</t>
  </si>
  <si>
    <t>Cuentas cte socios y otras p.vinc</t>
  </si>
  <si>
    <t>551,552.5</t>
  </si>
  <si>
    <t>Proyecto Investigación Africa Autosuf. Energética</t>
  </si>
  <si>
    <t>Proyecto Saltos Microelectronicos</t>
  </si>
  <si>
    <t>Planificacion Sistemas Energias Solar</t>
  </si>
  <si>
    <t>Prorroga Convenio Ayuntamientos</t>
  </si>
  <si>
    <t>Adenda Convenio Ayuntamientos</t>
  </si>
  <si>
    <t>Capital pendiente de inscripción (No figura Patrimonio Neto, figura en Otras Deudas C/P)</t>
  </si>
  <si>
    <t>Sistema Acumulación Energia y Gestión Cargas Reducción Consumo - Edificio</t>
  </si>
  <si>
    <t>Sistema Acumulación Energia y Gestión Cargas Reducción Consumo - Instalaciones</t>
  </si>
  <si>
    <t>Sistema Climatización Geotermia D-Alix</t>
  </si>
  <si>
    <t>Aplicación Isotopos para Huella en Vinos de Tenerife</t>
  </si>
  <si>
    <t>Tecnicas Evaluación Salinización Acuiferos de Tenerife</t>
  </si>
  <si>
    <t>Proy. Investigación Africa Autosuficiencia Energética</t>
  </si>
  <si>
    <t>0301</t>
  </si>
  <si>
    <t>9242</t>
  </si>
  <si>
    <t>44931</t>
  </si>
  <si>
    <t>0701</t>
  </si>
  <si>
    <t>4632</t>
  </si>
  <si>
    <t>74142</t>
  </si>
  <si>
    <t>0911</t>
  </si>
  <si>
    <t>4391</t>
  </si>
  <si>
    <t>% Incremento 2016-2017</t>
  </si>
  <si>
    <t>Inversiones Varias</t>
  </si>
  <si>
    <t>ENTIDAD: INSTITUTO TECNOLÓGICO DE ENERGÍAS RENOVABLES S.A. (ITER)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</si>
</sst>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0\ &quot;€&quot;"/>
    <numFmt numFmtId="170" formatCode="_-* #,##0.00\ [$€-C0A]_-;\-* #,##0.00\ [$€-C0A]_-;_-* &quot;-&quot;??\ [$€-C0A]_-;_-@_-"/>
    <numFmt numFmtId="171" formatCode="_-* #,##0.00\ [$€-42D]_-;\-* #,##0.00\ [$€-42D]_-;_-* &quot;-&quot;??\ [$€-42D]_-;_-@_-"/>
    <numFmt numFmtId="172" formatCode="_(* #,##0\ &quot;pta&quot;_);_(* \(#,##0\ &quot;pta&quot;\);_(* &quot;-&quot;??\ &quot;pta&quot;_);_(@_)"/>
    <numFmt numFmtId="173" formatCode="#,##0.00;\(#,##0.00\)"/>
    <numFmt numFmtId="174" formatCode="#,##0.00_ ;\-#,##0.00\ "/>
    <numFmt numFmtId="175" formatCode="_-* #,##0\ _€_-;\-* #,##0\ _€_-;_-* &quot;-&quot;??\ _€_-;_-@_-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ck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medium">
        <color indexed="56"/>
      </left>
      <right style="medium"/>
      <top style="medium">
        <color indexed="56"/>
      </top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 style="thick"/>
      <top style="thin"/>
      <bottom style="thin"/>
    </border>
    <border>
      <left/>
      <right style="thin"/>
      <top style="double"/>
      <bottom/>
    </border>
    <border>
      <left style="thin">
        <color indexed="41"/>
      </left>
      <right style="medium"/>
      <top style="double"/>
      <bottom/>
    </border>
    <border>
      <left style="thin">
        <color indexed="41"/>
      </left>
      <right style="medium"/>
      <top/>
      <bottom style="double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/>
    </border>
    <border>
      <left style="thin"/>
      <right style="medium"/>
      <top style="thin">
        <color indexed="41"/>
      </top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 style="medium">
        <color indexed="56"/>
      </top>
      <bottom style="medium"/>
    </border>
    <border>
      <left/>
      <right style="medium">
        <color indexed="56"/>
      </right>
      <top style="medium">
        <color indexed="56"/>
      </top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/>
      <bottom style="medium">
        <color indexed="56"/>
      </bottom>
    </border>
    <border>
      <left/>
      <right style="thin"/>
      <top/>
      <bottom style="medium">
        <color indexed="56"/>
      </bottom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thin">
        <color indexed="41"/>
      </bottom>
    </border>
    <border>
      <left/>
      <right style="medium"/>
      <top style="thin">
        <color indexed="41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7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1439">
    <xf numFmtId="0" fontId="0" fillId="0" borderId="0" xfId="0" applyAlignment="1">
      <alignment/>
    </xf>
    <xf numFmtId="3" fontId="0" fillId="0" borderId="0" xfId="68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8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3" fontId="3" fillId="0" borderId="10" xfId="68" applyNumberFormat="1" applyFont="1" applyBorder="1" applyAlignment="1">
      <alignment vertical="center"/>
      <protection/>
    </xf>
    <xf numFmtId="3" fontId="0" fillId="0" borderId="0" xfId="68" applyNumberFormat="1" applyFont="1" applyFill="1" applyBorder="1">
      <alignment/>
      <protection/>
    </xf>
    <xf numFmtId="3" fontId="3" fillId="0" borderId="0" xfId="68" applyNumberFormat="1" applyFont="1" applyFill="1" applyBorder="1">
      <alignment/>
      <protection/>
    </xf>
    <xf numFmtId="3" fontId="3" fillId="0" borderId="0" xfId="68" applyNumberFormat="1" applyFont="1" applyBorder="1">
      <alignment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3" fontId="0" fillId="0" borderId="10" xfId="68" applyNumberFormat="1" applyFont="1" applyBorder="1" applyAlignment="1">
      <alignment vertical="center"/>
      <protection/>
    </xf>
    <xf numFmtId="3" fontId="3" fillId="0" borderId="10" xfId="68" applyNumberFormat="1" applyFont="1" applyBorder="1" applyAlignment="1">
      <alignment horizontal="left" vertical="center" wrapText="1"/>
      <protection/>
    </xf>
    <xf numFmtId="3" fontId="0" fillId="0" borderId="10" xfId="68" applyNumberFormat="1" applyFont="1" applyBorder="1" applyAlignment="1">
      <alignment horizontal="left" vertical="center" wrapText="1"/>
      <protection/>
    </xf>
    <xf numFmtId="3" fontId="26" fillId="8" borderId="12" xfId="57" applyNumberFormat="1" applyFont="1" applyFill="1" applyBorder="1" applyAlignment="1">
      <alignment horizontal="center" vertical="center"/>
      <protection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" fontId="26" fillId="8" borderId="13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 wrapText="1"/>
      <protection/>
    </xf>
    <xf numFmtId="3" fontId="3" fillId="0" borderId="14" xfId="57" applyNumberFormat="1" applyFont="1" applyFill="1" applyBorder="1" applyAlignment="1">
      <alignment horizontal="center" vertical="center" wrapText="1"/>
      <protection/>
    </xf>
    <xf numFmtId="3" fontId="3" fillId="0" borderId="15" xfId="68" applyNumberFormat="1" applyFont="1" applyBorder="1" applyAlignment="1">
      <alignment horizontal="centerContinuous" vertical="center"/>
      <protection/>
    </xf>
    <xf numFmtId="3" fontId="3" fillId="0" borderId="16" xfId="68" applyNumberFormat="1" applyFont="1" applyBorder="1" applyAlignment="1">
      <alignment vertical="center"/>
      <protection/>
    </xf>
    <xf numFmtId="173" fontId="3" fillId="0" borderId="17" xfId="68" applyNumberFormat="1" applyFont="1" applyBorder="1" applyAlignment="1">
      <alignment horizontal="right" vertical="center"/>
      <protection/>
    </xf>
    <xf numFmtId="173" fontId="3" fillId="0" borderId="12" xfId="68" applyNumberFormat="1" applyFont="1" applyBorder="1" applyAlignment="1">
      <alignment horizontal="right" vertical="center"/>
      <protection/>
    </xf>
    <xf numFmtId="173" fontId="3" fillId="0" borderId="17" xfId="68" applyNumberFormat="1" applyFont="1" applyBorder="1" applyAlignment="1" applyProtection="1">
      <alignment horizontal="right" vertical="center"/>
      <protection locked="0"/>
    </xf>
    <xf numFmtId="173" fontId="3" fillId="0" borderId="12" xfId="68" applyNumberFormat="1" applyFont="1" applyBorder="1" applyAlignment="1" applyProtection="1">
      <alignment horizontal="right" vertical="center"/>
      <protection locked="0"/>
    </xf>
    <xf numFmtId="173" fontId="0" fillId="0" borderId="17" xfId="68" applyNumberFormat="1" applyFont="1" applyBorder="1" applyAlignment="1" applyProtection="1">
      <alignment horizontal="right" vertical="center"/>
      <protection locked="0"/>
    </xf>
    <xf numFmtId="173" fontId="0" fillId="0" borderId="12" xfId="68" applyNumberFormat="1" applyFont="1" applyBorder="1" applyAlignment="1" applyProtection="1">
      <alignment horizontal="right" vertical="center"/>
      <protection locked="0"/>
    </xf>
    <xf numFmtId="173" fontId="0" fillId="0" borderId="18" xfId="68" applyNumberFormat="1" applyFont="1" applyBorder="1" applyAlignment="1" applyProtection="1">
      <alignment horizontal="right" vertical="center"/>
      <protection locked="0"/>
    </xf>
    <xf numFmtId="173" fontId="0" fillId="0" borderId="12" xfId="68" applyNumberFormat="1" applyFont="1" applyFill="1" applyBorder="1" applyAlignment="1" applyProtection="1">
      <alignment horizontal="right" vertical="center"/>
      <protection locked="0"/>
    </xf>
    <xf numFmtId="173" fontId="0" fillId="0" borderId="17" xfId="68" applyNumberFormat="1" applyFont="1" applyBorder="1" applyAlignment="1">
      <alignment horizontal="right" vertical="center"/>
      <protection/>
    </xf>
    <xf numFmtId="173" fontId="0" fillId="0" borderId="12" xfId="68" applyNumberFormat="1" applyFont="1" applyBorder="1" applyAlignment="1">
      <alignment horizontal="right" vertical="center"/>
      <protection/>
    </xf>
    <xf numFmtId="173" fontId="3" fillId="0" borderId="19" xfId="68" applyNumberFormat="1" applyFont="1" applyBorder="1" applyAlignment="1">
      <alignment horizontal="right" vertical="center"/>
      <protection/>
    </xf>
    <xf numFmtId="173" fontId="3" fillId="0" borderId="20" xfId="68" applyNumberFormat="1" applyFont="1" applyBorder="1" applyAlignment="1">
      <alignment horizontal="right" vertical="center"/>
      <protection/>
    </xf>
    <xf numFmtId="173" fontId="0" fillId="0" borderId="0" xfId="68" applyNumberFormat="1" applyFont="1" applyBorder="1">
      <alignment/>
      <protection/>
    </xf>
    <xf numFmtId="173" fontId="0" fillId="0" borderId="0" xfId="68" applyNumberFormat="1" applyFont="1" applyBorder="1" applyAlignment="1">
      <alignment horizontal="center"/>
      <protection/>
    </xf>
    <xf numFmtId="173" fontId="0" fillId="0" borderId="0" xfId="68" applyNumberFormat="1" applyFont="1" applyFill="1" applyBorder="1" applyAlignment="1">
      <alignment horizontal="center"/>
      <protection/>
    </xf>
    <xf numFmtId="0" fontId="3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3" fontId="3" fillId="0" borderId="17" xfId="68" applyNumberFormat="1" applyFont="1" applyFill="1" applyBorder="1" applyAlignment="1" applyProtection="1">
      <alignment horizontal="right" vertical="center"/>
      <protection locked="0"/>
    </xf>
    <xf numFmtId="10" fontId="0" fillId="0" borderId="0" xfId="71" applyNumberFormat="1" applyFont="1" applyBorder="1" applyAlignment="1">
      <alignment vertical="center"/>
    </xf>
    <xf numFmtId="3" fontId="3" fillId="0" borderId="0" xfId="68" applyNumberFormat="1" applyFont="1" applyBorder="1" applyAlignment="1">
      <alignment vertical="center"/>
      <protection/>
    </xf>
    <xf numFmtId="3" fontId="0" fillId="0" borderId="0" xfId="67" applyNumberFormat="1" applyFont="1" applyBorder="1">
      <alignment/>
      <protection/>
    </xf>
    <xf numFmtId="0" fontId="0" fillId="0" borderId="0" xfId="56" applyFont="1" applyAlignment="1">
      <alignment vertical="center"/>
      <protection/>
    </xf>
    <xf numFmtId="4" fontId="3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22" xfId="0" applyNumberFormat="1" applyFont="1" applyBorder="1" applyAlignment="1">
      <alignment/>
    </xf>
    <xf numFmtId="0" fontId="0" fillId="0" borderId="0" xfId="56" applyFont="1">
      <alignment/>
      <protection/>
    </xf>
    <xf numFmtId="0" fontId="3" fillId="0" borderId="0" xfId="56" applyFont="1">
      <alignment/>
      <protection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3" fontId="3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3" fontId="0" fillId="0" borderId="27" xfId="49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3" fontId="0" fillId="0" borderId="27" xfId="49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3" fontId="0" fillId="0" borderId="14" xfId="49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3" fontId="0" fillId="0" borderId="2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173" fontId="3" fillId="0" borderId="32" xfId="0" applyNumberFormat="1" applyFont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>
      <alignment vertical="center"/>
    </xf>
    <xf numFmtId="173" fontId="3" fillId="8" borderId="27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 applyProtection="1">
      <alignment vertical="center"/>
      <protection/>
    </xf>
    <xf numFmtId="173" fontId="3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3" fillId="8" borderId="34" xfId="0" applyNumberFormat="1" applyFont="1" applyFill="1" applyBorder="1" applyAlignment="1">
      <alignment vertical="center"/>
    </xf>
    <xf numFmtId="173" fontId="3" fillId="8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3" fontId="3" fillId="0" borderId="22" xfId="0" applyNumberFormat="1" applyFont="1" applyBorder="1" applyAlignment="1">
      <alignment vertical="center"/>
    </xf>
    <xf numFmtId="173" fontId="3" fillId="8" borderId="37" xfId="0" applyNumberFormat="1" applyFont="1" applyFill="1" applyBorder="1" applyAlignment="1">
      <alignment vertical="center"/>
    </xf>
    <xf numFmtId="173" fontId="3" fillId="8" borderId="38" xfId="0" applyNumberFormat="1" applyFont="1" applyFill="1" applyBorder="1" applyAlignment="1">
      <alignment vertical="center"/>
    </xf>
    <xf numFmtId="3" fontId="0" fillId="0" borderId="26" xfId="62" applyNumberFormat="1" applyFont="1" applyBorder="1" applyAlignment="1" applyProtection="1">
      <alignment vertical="center"/>
      <protection/>
    </xf>
    <xf numFmtId="173" fontId="0" fillId="0" borderId="27" xfId="0" applyNumberFormat="1" applyFont="1" applyBorder="1" applyAlignment="1" applyProtection="1">
      <alignment vertical="center"/>
      <protection/>
    </xf>
    <xf numFmtId="173" fontId="0" fillId="0" borderId="14" xfId="0" applyNumberFormat="1" applyFont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/>
      <protection/>
    </xf>
    <xf numFmtId="3" fontId="3" fillId="0" borderId="34" xfId="0" applyNumberFormat="1" applyFont="1" applyBorder="1" applyAlignment="1">
      <alignment vertical="center"/>
    </xf>
    <xf numFmtId="173" fontId="3" fillId="0" borderId="35" xfId="0" applyNumberFormat="1" applyFont="1" applyBorder="1" applyAlignment="1" applyProtection="1">
      <alignment vertical="center"/>
      <protection/>
    </xf>
    <xf numFmtId="3" fontId="3" fillId="0" borderId="15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173" fontId="3" fillId="0" borderId="22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3" fontId="3" fillId="24" borderId="15" xfId="0" applyNumberFormat="1" applyFont="1" applyFill="1" applyBorder="1" applyAlignment="1" applyProtection="1">
      <alignment vertical="center"/>
      <protection/>
    </xf>
    <xf numFmtId="3" fontId="3" fillId="24" borderId="26" xfId="0" applyNumberFormat="1" applyFont="1" applyFill="1" applyBorder="1" applyAlignment="1">
      <alignment vertical="center"/>
    </xf>
    <xf numFmtId="173" fontId="3" fillId="24" borderId="27" xfId="49" applyNumberFormat="1" applyFont="1" applyFill="1" applyBorder="1" applyAlignment="1" applyProtection="1">
      <alignment vertical="center"/>
      <protection/>
    </xf>
    <xf numFmtId="173" fontId="3" fillId="24" borderId="27" xfId="0" applyNumberFormat="1" applyFont="1" applyFill="1" applyBorder="1" applyAlignment="1" applyProtection="1">
      <alignment vertical="center"/>
      <protection/>
    </xf>
    <xf numFmtId="0" fontId="7" fillId="3" borderId="0" xfId="56" applyFont="1" applyFill="1">
      <alignment/>
      <protection/>
    </xf>
    <xf numFmtId="3" fontId="0" fillId="3" borderId="0" xfId="67" applyNumberFormat="1" applyFont="1" applyFill="1" applyBorder="1">
      <alignment/>
      <protection/>
    </xf>
    <xf numFmtId="3" fontId="3" fillId="8" borderId="39" xfId="0" applyNumberFormat="1" applyFont="1" applyFill="1" applyBorder="1" applyAlignment="1">
      <alignment vertical="center"/>
    </xf>
    <xf numFmtId="3" fontId="3" fillId="8" borderId="36" xfId="0" applyNumberFormat="1" applyFont="1" applyFill="1" applyBorder="1" applyAlignment="1">
      <alignment vertical="center"/>
    </xf>
    <xf numFmtId="3" fontId="3" fillId="8" borderId="40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3" fillId="8" borderId="42" xfId="0" applyNumberFormat="1" applyFont="1" applyFill="1" applyBorder="1" applyAlignment="1">
      <alignment vertical="center"/>
    </xf>
    <xf numFmtId="3" fontId="3" fillId="8" borderId="43" xfId="0" applyNumberFormat="1" applyFont="1" applyFill="1" applyBorder="1" applyAlignment="1">
      <alignment vertical="center"/>
    </xf>
    <xf numFmtId="3" fontId="3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3" fillId="0" borderId="0" xfId="0" applyFont="1" applyAlignment="1">
      <alignment vertical="justify" wrapText="1"/>
    </xf>
    <xf numFmtId="0" fontId="5" fillId="25" borderId="13" xfId="58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29" fillId="0" borderId="17" xfId="55" applyFont="1" applyBorder="1" applyAlignment="1">
      <alignment horizontal="center" vertical="center" wrapText="1"/>
      <protection/>
    </xf>
    <xf numFmtId="0" fontId="30" fillId="0" borderId="17" xfId="55" applyFont="1" applyBorder="1" applyAlignment="1">
      <alignment horizontal="center" vertical="center" wrapText="1"/>
      <protection/>
    </xf>
    <xf numFmtId="0" fontId="0" fillId="0" borderId="17" xfId="55" applyBorder="1">
      <alignment/>
      <protection/>
    </xf>
    <xf numFmtId="0" fontId="31" fillId="0" borderId="17" xfId="55" applyFont="1" applyBorder="1" applyAlignment="1">
      <alignment horizontal="left" wrapText="1"/>
      <protection/>
    </xf>
    <xf numFmtId="0" fontId="0" fillId="0" borderId="45" xfId="55" applyBorder="1">
      <alignment/>
      <protection/>
    </xf>
    <xf numFmtId="0" fontId="33" fillId="0" borderId="46" xfId="55" applyFont="1" applyBorder="1" applyAlignment="1">
      <alignment wrapText="1"/>
      <protection/>
    </xf>
    <xf numFmtId="170" fontId="32" fillId="0" borderId="46" xfId="55" applyNumberFormat="1" applyFont="1" applyBorder="1" applyAlignment="1">
      <alignment wrapText="1"/>
      <protection/>
    </xf>
    <xf numFmtId="170" fontId="34" fillId="0" borderId="46" xfId="55" applyNumberFormat="1" applyFont="1" applyBorder="1">
      <alignment/>
      <protection/>
    </xf>
    <xf numFmtId="170" fontId="34" fillId="0" borderId="47" xfId="55" applyNumberFormat="1" applyFont="1" applyBorder="1">
      <alignment/>
      <protection/>
    </xf>
    <xf numFmtId="2" fontId="5" fillId="8" borderId="25" xfId="58" applyNumberFormat="1" applyFont="1" applyFill="1" applyBorder="1" applyAlignment="1">
      <alignment horizontal="center" vertical="center" wrapText="1"/>
      <protection/>
    </xf>
    <xf numFmtId="0" fontId="0" fillId="0" borderId="46" xfId="55" applyFont="1" applyBorder="1">
      <alignment/>
      <protection/>
    </xf>
    <xf numFmtId="0" fontId="0" fillId="0" borderId="47" xfId="55" applyFont="1" applyBorder="1">
      <alignment/>
      <protection/>
    </xf>
    <xf numFmtId="0" fontId="0" fillId="0" borderId="0" xfId="55" applyFont="1">
      <alignment/>
      <protection/>
    </xf>
    <xf numFmtId="170" fontId="35" fillId="0" borderId="17" xfId="55" applyNumberFormat="1" applyFont="1" applyBorder="1" applyAlignment="1">
      <alignment horizontal="center" vertical="center" wrapText="1"/>
      <protection/>
    </xf>
    <xf numFmtId="170" fontId="36" fillId="0" borderId="17" xfId="55" applyNumberFormat="1" applyFont="1" applyBorder="1" applyAlignment="1">
      <alignment horizontal="center" wrapText="1"/>
      <protection/>
    </xf>
    <xf numFmtId="170" fontId="36" fillId="0" borderId="17" xfId="55" applyNumberFormat="1" applyFont="1" applyBorder="1" applyAlignment="1">
      <alignment horizontal="center" vertical="center" wrapText="1"/>
      <protection/>
    </xf>
    <xf numFmtId="170" fontId="35" fillId="0" borderId="48" xfId="55" applyNumberFormat="1" applyFont="1" applyBorder="1" applyAlignment="1">
      <alignment horizontal="center" wrapText="1"/>
      <protection/>
    </xf>
    <xf numFmtId="168" fontId="36" fillId="0" borderId="17" xfId="45" applyFont="1" applyBorder="1" applyAlignment="1">
      <alignment horizontal="center" wrapText="1"/>
    </xf>
    <xf numFmtId="168" fontId="36" fillId="0" borderId="17" xfId="45" applyFont="1" applyBorder="1" applyAlignment="1">
      <alignment horizontal="right" vertical="center" wrapText="1"/>
    </xf>
    <xf numFmtId="168" fontId="36" fillId="0" borderId="17" xfId="45" applyFont="1" applyBorder="1" applyAlignment="1">
      <alignment horizontal="right" wrapText="1"/>
    </xf>
    <xf numFmtId="168" fontId="35" fillId="0" borderId="48" xfId="45" applyFont="1" applyBorder="1" applyAlignment="1">
      <alignment horizont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3" fontId="40" fillId="0" borderId="0" xfId="0" applyNumberFormat="1" applyFont="1" applyAlignment="1">
      <alignment vertical="center"/>
    </xf>
    <xf numFmtId="3" fontId="39" fillId="0" borderId="23" xfId="0" applyNumberFormat="1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173" fontId="39" fillId="0" borderId="25" xfId="0" applyNumberFormat="1" applyFont="1" applyBorder="1" applyAlignment="1">
      <alignment vertical="center"/>
    </xf>
    <xf numFmtId="3" fontId="40" fillId="0" borderId="15" xfId="0" applyNumberFormat="1" applyFont="1" applyBorder="1" applyAlignment="1" applyProtection="1">
      <alignment horizontal="right" vertical="center"/>
      <protection/>
    </xf>
    <xf numFmtId="3" fontId="40" fillId="0" borderId="26" xfId="0" applyNumberFormat="1" applyFont="1" applyBorder="1" applyAlignment="1" applyProtection="1">
      <alignment vertical="center"/>
      <protection/>
    </xf>
    <xf numFmtId="173" fontId="40" fillId="0" borderId="27" xfId="49" applyNumberFormat="1" applyFont="1" applyBorder="1" applyAlignment="1" applyProtection="1">
      <alignment vertical="center"/>
      <protection/>
    </xf>
    <xf numFmtId="3" fontId="40" fillId="0" borderId="15" xfId="0" applyNumberFormat="1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173" fontId="40" fillId="0" borderId="27" xfId="49" applyNumberFormat="1" applyFont="1" applyBorder="1" applyAlignment="1">
      <alignment vertical="center"/>
    </xf>
    <xf numFmtId="3" fontId="39" fillId="24" borderId="15" xfId="0" applyNumberFormat="1" applyFont="1" applyFill="1" applyBorder="1" applyAlignment="1" applyProtection="1">
      <alignment vertical="center"/>
      <protection/>
    </xf>
    <xf numFmtId="3" fontId="39" fillId="24" borderId="26" xfId="0" applyNumberFormat="1" applyFont="1" applyFill="1" applyBorder="1" applyAlignment="1">
      <alignment vertical="center"/>
    </xf>
    <xf numFmtId="173" fontId="39" fillId="24" borderId="27" xfId="49" applyNumberFormat="1" applyFont="1" applyFill="1" applyBorder="1" applyAlignment="1" applyProtection="1">
      <alignment vertical="center"/>
      <protection/>
    </xf>
    <xf numFmtId="3" fontId="39" fillId="0" borderId="28" xfId="0" applyNumberFormat="1" applyFont="1" applyBorder="1" applyAlignment="1">
      <alignment vertical="center"/>
    </xf>
    <xf numFmtId="3" fontId="39" fillId="0" borderId="29" xfId="0" applyNumberFormat="1" applyFont="1" applyBorder="1" applyAlignment="1">
      <alignment vertical="center"/>
    </xf>
    <xf numFmtId="173" fontId="40" fillId="0" borderId="14" xfId="49" applyNumberFormat="1" applyFont="1" applyBorder="1" applyAlignment="1">
      <alignment vertical="center"/>
    </xf>
    <xf numFmtId="173" fontId="39" fillId="24" borderId="27" xfId="0" applyNumberFormat="1" applyFont="1" applyFill="1" applyBorder="1" applyAlignment="1" applyProtection="1">
      <alignment vertical="center"/>
      <protection/>
    </xf>
    <xf numFmtId="3" fontId="39" fillId="0" borderId="1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173" fontId="40" fillId="0" borderId="27" xfId="0" applyNumberFormat="1" applyFont="1" applyBorder="1" applyAlignment="1">
      <alignment vertical="center"/>
    </xf>
    <xf numFmtId="3" fontId="39" fillId="8" borderId="15" xfId="0" applyNumberFormat="1" applyFont="1" applyFill="1" applyBorder="1" applyAlignment="1">
      <alignment vertical="center"/>
    </xf>
    <xf numFmtId="173" fontId="39" fillId="8" borderId="27" xfId="0" applyNumberFormat="1" applyFont="1" applyFill="1" applyBorder="1" applyAlignment="1">
      <alignment vertical="center"/>
    </xf>
    <xf numFmtId="3" fontId="39" fillId="8" borderId="26" xfId="0" applyNumberFormat="1" applyFont="1" applyFill="1" applyBorder="1" applyAlignment="1" applyProtection="1">
      <alignment vertical="center"/>
      <protection/>
    </xf>
    <xf numFmtId="173" fontId="39" fillId="8" borderId="27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173" fontId="39" fillId="0" borderId="22" xfId="0" applyNumberFormat="1" applyFont="1" applyBorder="1" applyAlignment="1">
      <alignment vertical="center"/>
    </xf>
    <xf numFmtId="3" fontId="39" fillId="8" borderId="43" xfId="0" applyNumberFormat="1" applyFont="1" applyFill="1" applyBorder="1" applyAlignment="1">
      <alignment vertical="center"/>
    </xf>
    <xf numFmtId="3" fontId="39" fillId="8" borderId="44" xfId="0" applyNumberFormat="1" applyFont="1" applyFill="1" applyBorder="1" applyAlignment="1">
      <alignment vertical="center"/>
    </xf>
    <xf numFmtId="173" fontId="39" fillId="8" borderId="49" xfId="0" applyNumberFormat="1" applyFont="1" applyFill="1" applyBorder="1" applyAlignment="1">
      <alignment vertical="center"/>
    </xf>
    <xf numFmtId="3" fontId="40" fillId="8" borderId="41" xfId="0" applyNumberFormat="1" applyFont="1" applyFill="1" applyBorder="1" applyAlignment="1">
      <alignment vertical="center"/>
    </xf>
    <xf numFmtId="3" fontId="39" fillId="8" borderId="42" xfId="0" applyNumberFormat="1" applyFont="1" applyFill="1" applyBorder="1" applyAlignment="1">
      <alignment vertical="center"/>
    </xf>
    <xf numFmtId="173" fontId="39" fillId="8" borderId="38" xfId="0" applyNumberFormat="1" applyFont="1" applyFill="1" applyBorder="1" applyAlignment="1">
      <alignment vertical="center"/>
    </xf>
    <xf numFmtId="3" fontId="40" fillId="0" borderId="26" xfId="62" applyNumberFormat="1" applyFont="1" applyBorder="1" applyAlignment="1" applyProtection="1">
      <alignment vertical="center"/>
      <protection/>
    </xf>
    <xf numFmtId="173" fontId="40" fillId="0" borderId="27" xfId="0" applyNumberFormat="1" applyFont="1" applyBorder="1" applyAlignment="1" applyProtection="1">
      <alignment vertical="center"/>
      <protection/>
    </xf>
    <xf numFmtId="4" fontId="40" fillId="0" borderId="0" xfId="0" applyNumberFormat="1" applyFont="1" applyAlignment="1">
      <alignment vertical="center"/>
    </xf>
    <xf numFmtId="173" fontId="40" fillId="0" borderId="14" xfId="0" applyNumberFormat="1" applyFont="1" applyBorder="1" applyAlignment="1">
      <alignment vertical="center"/>
    </xf>
    <xf numFmtId="3" fontId="39" fillId="0" borderId="33" xfId="0" applyNumberFormat="1" applyFont="1" applyBorder="1" applyAlignment="1" applyProtection="1">
      <alignment vertical="center"/>
      <protection/>
    </xf>
    <xf numFmtId="3" fontId="39" fillId="0" borderId="34" xfId="0" applyNumberFormat="1" applyFont="1" applyBorder="1" applyAlignment="1">
      <alignment vertical="center"/>
    </xf>
    <xf numFmtId="173" fontId="39" fillId="0" borderId="35" xfId="0" applyNumberFormat="1" applyFont="1" applyBorder="1" applyAlignment="1" applyProtection="1">
      <alignment vertical="center"/>
      <protection/>
    </xf>
    <xf numFmtId="3" fontId="39" fillId="0" borderId="0" xfId="0" applyNumberFormat="1" applyFont="1" applyFill="1" applyBorder="1" applyAlignment="1" applyProtection="1">
      <alignment vertical="center"/>
      <protection/>
    </xf>
    <xf numFmtId="0" fontId="40" fillId="3" borderId="0" xfId="0" applyFont="1" applyFill="1" applyAlignment="1">
      <alignment vertical="center"/>
    </xf>
    <xf numFmtId="0" fontId="43" fillId="3" borderId="0" xfId="56" applyFont="1" applyFill="1" applyAlignment="1">
      <alignment vertical="center"/>
      <protection/>
    </xf>
    <xf numFmtId="3" fontId="40" fillId="3" borderId="0" xfId="67" applyNumberFormat="1" applyFont="1" applyFill="1" applyBorder="1" applyAlignment="1">
      <alignment vertical="center"/>
      <protection/>
    </xf>
    <xf numFmtId="0" fontId="40" fillId="0" borderId="0" xfId="56" applyFont="1" applyAlignment="1">
      <alignment vertical="center"/>
      <protection/>
    </xf>
    <xf numFmtId="3" fontId="40" fillId="0" borderId="0" xfId="67" applyNumberFormat="1" applyFont="1" applyBorder="1" applyAlignment="1">
      <alignment vertical="center"/>
      <protection/>
    </xf>
    <xf numFmtId="0" fontId="39" fillId="0" borderId="0" xfId="56" applyFont="1" applyAlignment="1">
      <alignment vertical="center" wrapText="1"/>
      <protection/>
    </xf>
    <xf numFmtId="0" fontId="39" fillId="0" borderId="0" xfId="56" applyFont="1" applyAlignment="1">
      <alignment vertical="center"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vertical="center"/>
    </xf>
    <xf numFmtId="173" fontId="42" fillId="0" borderId="17" xfId="0" applyNumberFormat="1" applyFont="1" applyBorder="1" applyAlignment="1" applyProtection="1">
      <alignment vertical="center"/>
      <protection/>
    </xf>
    <xf numFmtId="173" fontId="40" fillId="0" borderId="17" xfId="0" applyNumberFormat="1" applyFont="1" applyBorder="1" applyAlignment="1">
      <alignment vertical="center"/>
    </xf>
    <xf numFmtId="3" fontId="39" fillId="8" borderId="24" xfId="0" applyNumberFormat="1" applyFont="1" applyFill="1" applyBorder="1" applyAlignment="1">
      <alignment vertical="center"/>
    </xf>
    <xf numFmtId="3" fontId="40" fillId="8" borderId="1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>
      <alignment vertical="center"/>
    </xf>
    <xf numFmtId="173" fontId="40" fillId="0" borderId="0" xfId="0" applyNumberFormat="1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173" fontId="40" fillId="0" borderId="50" xfId="0" applyNumberFormat="1" applyFont="1" applyBorder="1" applyAlignment="1">
      <alignment vertical="center"/>
    </xf>
    <xf numFmtId="0" fontId="40" fillId="0" borderId="50" xfId="0" applyFont="1" applyBorder="1" applyAlignment="1">
      <alignment vertical="center" wrapText="1"/>
    </xf>
    <xf numFmtId="0" fontId="42" fillId="0" borderId="50" xfId="0" applyFont="1" applyBorder="1" applyAlignment="1">
      <alignment vertical="center"/>
    </xf>
    <xf numFmtId="173" fontId="42" fillId="0" borderId="50" xfId="0" applyNumberFormat="1" applyFont="1" applyBorder="1" applyAlignment="1" applyProtection="1">
      <alignment vertical="center"/>
      <protection/>
    </xf>
    <xf numFmtId="3" fontId="39" fillId="0" borderId="51" xfId="0" applyNumberFormat="1" applyFont="1" applyFill="1" applyBorder="1" applyAlignment="1">
      <alignment vertical="center"/>
    </xf>
    <xf numFmtId="3" fontId="39" fillId="0" borderId="52" xfId="0" applyNumberFormat="1" applyFont="1" applyFill="1" applyBorder="1" applyAlignment="1">
      <alignment vertical="center"/>
    </xf>
    <xf numFmtId="173" fontId="39" fillId="0" borderId="53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3" fontId="39" fillId="0" borderId="26" xfId="0" applyNumberFormat="1" applyFont="1" applyFill="1" applyBorder="1" applyAlignment="1">
      <alignment vertical="center"/>
    </xf>
    <xf numFmtId="173" fontId="39" fillId="0" borderId="27" xfId="0" applyNumberFormat="1" applyFont="1" applyBorder="1" applyAlignment="1">
      <alignment vertical="center"/>
    </xf>
    <xf numFmtId="3" fontId="39" fillId="8" borderId="54" xfId="0" applyNumberFormat="1" applyFont="1" applyFill="1" applyBorder="1" applyAlignment="1">
      <alignment vertical="center"/>
    </xf>
    <xf numFmtId="3" fontId="39" fillId="8" borderId="5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 applyProtection="1">
      <alignment vertical="center"/>
      <protection/>
    </xf>
    <xf numFmtId="0" fontId="40" fillId="0" borderId="43" xfId="0" applyFont="1" applyBorder="1" applyAlignment="1">
      <alignment vertical="center"/>
    </xf>
    <xf numFmtId="3" fontId="39" fillId="0" borderId="43" xfId="0" applyNumberFormat="1" applyFont="1" applyFill="1" applyBorder="1" applyAlignment="1" quotePrefix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39" fillId="24" borderId="41" xfId="0" applyNumberFormat="1" applyFont="1" applyFill="1" applyBorder="1" applyAlignment="1" applyProtection="1">
      <alignment vertical="center"/>
      <protection/>
    </xf>
    <xf numFmtId="3" fontId="40" fillId="0" borderId="0" xfId="62" applyNumberFormat="1" applyFont="1" applyBorder="1" applyAlignment="1" applyProtection="1">
      <alignment vertical="center"/>
      <protection/>
    </xf>
    <xf numFmtId="3" fontId="39" fillId="24" borderId="0" xfId="0" applyNumberFormat="1" applyFont="1" applyFill="1" applyBorder="1" applyAlignment="1">
      <alignment vertical="center"/>
    </xf>
    <xf numFmtId="3" fontId="39" fillId="0" borderId="56" xfId="0" applyNumberFormat="1" applyFont="1" applyBorder="1" applyAlignment="1">
      <alignment vertical="center"/>
    </xf>
    <xf numFmtId="3" fontId="39" fillId="0" borderId="39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5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0" xfId="53" applyFont="1" applyAlignment="1">
      <alignment horizontal="left" vertical="center" wrapText="1"/>
      <protection/>
    </xf>
    <xf numFmtId="0" fontId="40" fillId="0" borderId="0" xfId="53" applyFont="1" applyAlignment="1">
      <alignment vertical="center"/>
      <protection/>
    </xf>
    <xf numFmtId="0" fontId="40" fillId="0" borderId="0" xfId="53" applyFont="1" applyFill="1" applyAlignment="1">
      <alignment vertical="center"/>
      <protection/>
    </xf>
    <xf numFmtId="171" fontId="40" fillId="0" borderId="0" xfId="53" applyNumberFormat="1" applyFont="1" applyAlignment="1">
      <alignment vertical="center"/>
      <protection/>
    </xf>
    <xf numFmtId="0" fontId="39" fillId="0" borderId="0" xfId="53" applyFont="1" applyAlignment="1">
      <alignment vertical="center"/>
      <protection/>
    </xf>
    <xf numFmtId="2" fontId="40" fillId="0" borderId="0" xfId="53" applyNumberFormat="1" applyFont="1" applyAlignment="1">
      <alignment vertical="center"/>
      <protection/>
    </xf>
    <xf numFmtId="4" fontId="40" fillId="0" borderId="0" xfId="53" applyNumberFormat="1" applyFont="1" applyAlignment="1">
      <alignment vertical="center"/>
      <protection/>
    </xf>
    <xf numFmtId="0" fontId="39" fillId="0" borderId="17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168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171" fontId="40" fillId="22" borderId="0" xfId="0" applyNumberFormat="1" applyFont="1" applyFill="1" applyAlignment="1">
      <alignment vertical="center"/>
    </xf>
    <xf numFmtId="1" fontId="44" fillId="8" borderId="13" xfId="57" applyNumberFormat="1" applyFont="1" applyFill="1" applyBorder="1" applyAlignment="1">
      <alignment horizontal="center" vertical="center"/>
      <protection/>
    </xf>
    <xf numFmtId="2" fontId="44" fillId="8" borderId="12" xfId="57" applyNumberFormat="1" applyFont="1" applyFill="1" applyBorder="1" applyAlignment="1">
      <alignment horizontal="center" vertical="center"/>
      <protection/>
    </xf>
    <xf numFmtId="0" fontId="40" fillId="0" borderId="0" xfId="63" applyFont="1" applyAlignment="1">
      <alignment vertical="center"/>
      <protection/>
    </xf>
    <xf numFmtId="4" fontId="40" fillId="0" borderId="0" xfId="63" applyNumberFormat="1" applyFont="1" applyAlignment="1">
      <alignment vertical="center"/>
      <protection/>
    </xf>
    <xf numFmtId="3" fontId="40" fillId="0" borderId="0" xfId="63" applyNumberFormat="1" applyFont="1" applyAlignment="1">
      <alignment vertical="center"/>
      <protection/>
    </xf>
    <xf numFmtId="4" fontId="40" fillId="26" borderId="11" xfId="63" applyNumberFormat="1" applyFont="1" applyFill="1" applyBorder="1" applyAlignment="1" applyProtection="1">
      <alignment horizontal="center" vertical="center"/>
      <protection locked="0"/>
    </xf>
    <xf numFmtId="173" fontId="40" fillId="0" borderId="11" xfId="50" applyNumberFormat="1" applyFont="1" applyBorder="1" applyAlignment="1" applyProtection="1">
      <alignment horizontal="right" vertical="center"/>
      <protection locked="0"/>
    </xf>
    <xf numFmtId="0" fontId="40" fillId="0" borderId="60" xfId="63" applyNumberFormat="1" applyFont="1" applyFill="1" applyBorder="1" applyAlignment="1" applyProtection="1">
      <alignment vertical="center"/>
      <protection locked="0"/>
    </xf>
    <xf numFmtId="0" fontId="40" fillId="0" borderId="27" xfId="63" applyNumberFormat="1" applyFont="1" applyFill="1" applyBorder="1" applyAlignment="1" applyProtection="1">
      <alignment vertical="center"/>
      <protection locked="0"/>
    </xf>
    <xf numFmtId="173" fontId="40" fillId="0" borderId="17" xfId="50" applyNumberFormat="1" applyFont="1" applyBorder="1" applyAlignment="1" applyProtection="1">
      <alignment horizontal="right" vertical="center"/>
      <protection locked="0"/>
    </xf>
    <xf numFmtId="49" fontId="40" fillId="0" borderId="61" xfId="63" applyNumberFormat="1" applyFont="1" applyFill="1" applyBorder="1" applyAlignment="1" applyProtection="1">
      <alignment horizontal="center" vertical="center"/>
      <protection locked="0"/>
    </xf>
    <xf numFmtId="49" fontId="40" fillId="0" borderId="25" xfId="63" applyNumberFormat="1" applyFont="1" applyFill="1" applyBorder="1" applyAlignment="1" applyProtection="1">
      <alignment horizontal="center" vertical="center"/>
      <protection locked="0"/>
    </xf>
    <xf numFmtId="0" fontId="40" fillId="0" borderId="61" xfId="63" applyNumberFormat="1" applyFont="1" applyFill="1" applyBorder="1" applyAlignment="1" applyProtection="1">
      <alignment vertical="center"/>
      <protection locked="0"/>
    </xf>
    <xf numFmtId="0" fontId="40" fillId="0" borderId="25" xfId="63" applyNumberFormat="1" applyFont="1" applyFill="1" applyBorder="1" applyAlignment="1" applyProtection="1">
      <alignment vertical="center"/>
      <protection locked="0"/>
    </xf>
    <xf numFmtId="4" fontId="40" fillId="26" borderId="57" xfId="63" applyNumberFormat="1" applyFont="1" applyFill="1" applyBorder="1" applyAlignment="1" applyProtection="1">
      <alignment horizontal="center" vertical="center"/>
      <protection locked="0"/>
    </xf>
    <xf numFmtId="173" fontId="40" fillId="0" borderId="48" xfId="50" applyNumberFormat="1" applyFont="1" applyBorder="1" applyAlignment="1" applyProtection="1">
      <alignment horizontal="right" vertical="center"/>
      <protection locked="0"/>
    </xf>
    <xf numFmtId="0" fontId="40" fillId="0" borderId="62" xfId="63" applyNumberFormat="1" applyFont="1" applyFill="1" applyBorder="1" applyAlignment="1" applyProtection="1">
      <alignment vertical="center"/>
      <protection locked="0"/>
    </xf>
    <xf numFmtId="0" fontId="40" fillId="0" borderId="20" xfId="63" applyNumberFormat="1" applyFont="1" applyFill="1" applyBorder="1" applyAlignment="1" applyProtection="1">
      <alignment vertical="center"/>
      <protection locked="0"/>
    </xf>
    <xf numFmtId="4" fontId="40" fillId="0" borderId="17" xfId="63" applyNumberFormat="1" applyFont="1" applyBorder="1" applyAlignment="1" applyProtection="1">
      <alignment horizontal="center" vertical="center"/>
      <protection locked="0"/>
    </xf>
    <xf numFmtId="173" fontId="40" fillId="0" borderId="17" xfId="63" applyNumberFormat="1" applyFont="1" applyBorder="1" applyAlignment="1" applyProtection="1">
      <alignment horizontal="right" vertical="center"/>
      <protection locked="0"/>
    </xf>
    <xf numFmtId="4" fontId="40" fillId="0" borderId="48" xfId="63" applyNumberFormat="1" applyFont="1" applyBorder="1" applyAlignment="1" applyProtection="1">
      <alignment horizontal="center" vertical="center"/>
      <protection locked="0"/>
    </xf>
    <xf numFmtId="0" fontId="39" fillId="0" borderId="0" xfId="63" applyFont="1" applyBorder="1" applyAlignment="1">
      <alignment horizontal="center" vertical="center"/>
      <protection/>
    </xf>
    <xf numFmtId="0" fontId="40" fillId="0" borderId="0" xfId="63" applyFont="1" applyBorder="1" applyAlignment="1">
      <alignment vertical="center"/>
      <protection/>
    </xf>
    <xf numFmtId="173" fontId="39" fillId="0" borderId="0" xfId="63" applyNumberFormat="1" applyFont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center" vertical="center" wrapText="1"/>
    </xf>
    <xf numFmtId="0" fontId="40" fillId="0" borderId="0" xfId="64" applyFont="1" applyAlignment="1">
      <alignment vertical="center"/>
      <protection/>
    </xf>
    <xf numFmtId="4" fontId="40" fillId="0" borderId="0" xfId="64" applyNumberFormat="1" applyFont="1" applyAlignment="1">
      <alignment vertical="center"/>
      <protection/>
    </xf>
    <xf numFmtId="0" fontId="39" fillId="0" borderId="18" xfId="64" applyFont="1" applyFill="1" applyBorder="1" applyAlignment="1">
      <alignment horizontal="center" vertical="center" wrapText="1"/>
      <protection/>
    </xf>
    <xf numFmtId="0" fontId="39" fillId="0" borderId="17" xfId="64" applyFont="1" applyFill="1" applyBorder="1" applyAlignment="1">
      <alignment horizontal="center" vertical="center" wrapText="1"/>
      <protection/>
    </xf>
    <xf numFmtId="0" fontId="39" fillId="0" borderId="63" xfId="64" applyFont="1" applyFill="1" applyBorder="1" applyAlignment="1">
      <alignment vertical="center" wrapText="1"/>
      <protection/>
    </xf>
    <xf numFmtId="4" fontId="40" fillId="0" borderId="64" xfId="64" applyNumberFormat="1" applyFont="1" applyBorder="1" applyAlignment="1">
      <alignment vertical="center"/>
      <protection/>
    </xf>
    <xf numFmtId="4" fontId="40" fillId="0" borderId="17" xfId="64" applyNumberFormat="1" applyFont="1" applyFill="1" applyBorder="1" applyAlignment="1">
      <alignment horizontal="center" vertical="center" wrapText="1"/>
      <protection/>
    </xf>
    <xf numFmtId="4" fontId="40" fillId="0" borderId="64" xfId="64" applyNumberFormat="1" applyFont="1" applyFill="1" applyBorder="1" applyAlignment="1">
      <alignment vertical="center" wrapText="1"/>
      <protection/>
    </xf>
    <xf numFmtId="0" fontId="39" fillId="0" borderId="48" xfId="64" applyFont="1" applyFill="1" applyBorder="1" applyAlignment="1">
      <alignment horizontal="center" vertical="center" wrapText="1"/>
      <protection/>
    </xf>
    <xf numFmtId="4" fontId="39" fillId="0" borderId="12" xfId="64" applyNumberFormat="1" applyFont="1" applyFill="1" applyBorder="1" applyAlignment="1">
      <alignment horizontal="center" vertical="center" wrapText="1"/>
      <protection/>
    </xf>
    <xf numFmtId="4" fontId="51" fillId="0" borderId="0" xfId="64" applyNumberFormat="1" applyFont="1" applyAlignment="1">
      <alignment vertical="center"/>
      <protection/>
    </xf>
    <xf numFmtId="4" fontId="40" fillId="0" borderId="65" xfId="64" applyNumberFormat="1" applyFont="1" applyFill="1" applyBorder="1" applyAlignment="1" quotePrefix="1">
      <alignment horizontal="center" vertical="center" wrapText="1"/>
      <protection/>
    </xf>
    <xf numFmtId="0" fontId="40" fillId="0" borderId="17" xfId="64" applyFont="1" applyFill="1" applyBorder="1" applyAlignment="1">
      <alignment horizontal="center" vertical="center"/>
      <protection/>
    </xf>
    <xf numFmtId="173" fontId="40" fillId="0" borderId="17" xfId="64" applyNumberFormat="1" applyFont="1" applyFill="1" applyBorder="1" applyAlignment="1">
      <alignment horizontal="center" vertical="center" wrapText="1"/>
      <protection/>
    </xf>
    <xf numFmtId="173" fontId="40" fillId="0" borderId="17" xfId="64" applyNumberFormat="1" applyFont="1" applyFill="1" applyBorder="1" applyAlignment="1">
      <alignment horizontal="right" vertical="center" wrapText="1"/>
      <protection/>
    </xf>
    <xf numFmtId="173" fontId="40" fillId="0" borderId="17" xfId="64" applyNumberFormat="1" applyFont="1" applyBorder="1" applyAlignment="1">
      <alignment horizontal="center" vertical="center"/>
      <protection/>
    </xf>
    <xf numFmtId="4" fontId="40" fillId="0" borderId="12" xfId="64" applyNumberFormat="1" applyFont="1" applyFill="1" applyBorder="1" applyAlignment="1">
      <alignment horizontal="center" vertical="center" wrapText="1"/>
      <protection/>
    </xf>
    <xf numFmtId="0" fontId="40" fillId="0" borderId="0" xfId="64" applyFont="1" applyAlignment="1">
      <alignment horizontal="center" vertical="center"/>
      <protection/>
    </xf>
    <xf numFmtId="4" fontId="51" fillId="0" borderId="0" xfId="64" applyNumberFormat="1" applyFont="1" applyAlignment="1">
      <alignment horizontal="center" vertical="center"/>
      <protection/>
    </xf>
    <xf numFmtId="4" fontId="40" fillId="0" borderId="0" xfId="64" applyNumberFormat="1" applyFont="1" applyAlignment="1">
      <alignment horizontal="center" vertical="center"/>
      <protection/>
    </xf>
    <xf numFmtId="4" fontId="40" fillId="0" borderId="65" xfId="64" applyNumberFormat="1" applyFont="1" applyFill="1" applyBorder="1" applyAlignment="1">
      <alignment horizontal="center" vertical="center" wrapText="1"/>
      <protection/>
    </xf>
    <xf numFmtId="169" fontId="40" fillId="0" borderId="17" xfId="64" applyNumberFormat="1" applyFont="1" applyFill="1" applyBorder="1" applyAlignment="1">
      <alignment horizontal="right" vertical="center" wrapText="1"/>
      <protection/>
    </xf>
    <xf numFmtId="4" fontId="40" fillId="0" borderId="66" xfId="64" applyNumberFormat="1" applyFont="1" applyFill="1" applyBorder="1" applyAlignment="1">
      <alignment horizontal="center" vertical="center" wrapText="1"/>
      <protection/>
    </xf>
    <xf numFmtId="0" fontId="40" fillId="0" borderId="48" xfId="64" applyFont="1" applyFill="1" applyBorder="1" applyAlignment="1">
      <alignment horizontal="center" vertical="center"/>
      <protection/>
    </xf>
    <xf numFmtId="4" fontId="40" fillId="0" borderId="48" xfId="64" applyNumberFormat="1" applyFont="1" applyFill="1" applyBorder="1" applyAlignment="1">
      <alignment horizontal="center" vertical="center" wrapText="1"/>
      <protection/>
    </xf>
    <xf numFmtId="169" fontId="40" fillId="0" borderId="48" xfId="64" applyNumberFormat="1" applyFont="1" applyFill="1" applyBorder="1" applyAlignment="1">
      <alignment horizontal="right" vertical="center" wrapText="1"/>
      <protection/>
    </xf>
    <xf numFmtId="0" fontId="40" fillId="0" borderId="48" xfId="64" applyNumberFormat="1" applyFont="1" applyBorder="1" applyAlignment="1">
      <alignment horizontal="center" vertical="center"/>
      <protection/>
    </xf>
    <xf numFmtId="4" fontId="40" fillId="0" borderId="25" xfId="64" applyNumberFormat="1" applyFont="1" applyFill="1" applyBorder="1" applyAlignment="1">
      <alignment horizontal="center" vertical="center" wrapText="1"/>
      <protection/>
    </xf>
    <xf numFmtId="49" fontId="40" fillId="0" borderId="50" xfId="64" applyNumberFormat="1" applyFont="1" applyBorder="1" applyAlignment="1">
      <alignment horizontal="center" vertical="center"/>
      <protection/>
    </xf>
    <xf numFmtId="0" fontId="40" fillId="0" borderId="67" xfId="64" applyFont="1" applyBorder="1" applyAlignment="1">
      <alignment horizontal="center" vertical="center"/>
      <protection/>
    </xf>
    <xf numFmtId="0" fontId="40" fillId="0" borderId="50" xfId="64" applyFont="1" applyBorder="1" applyAlignment="1">
      <alignment horizontal="center" vertical="center"/>
      <protection/>
    </xf>
    <xf numFmtId="0" fontId="40" fillId="0" borderId="50" xfId="64" applyNumberFormat="1" applyFont="1" applyBorder="1" applyAlignment="1" applyProtection="1">
      <alignment horizontal="center" vertical="center"/>
      <protection locked="0"/>
    </xf>
    <xf numFmtId="4" fontId="40" fillId="0" borderId="50" xfId="64" applyNumberFormat="1" applyFont="1" applyBorder="1" applyAlignment="1">
      <alignment horizontal="center" vertical="center"/>
      <protection/>
    </xf>
    <xf numFmtId="4" fontId="40" fillId="0" borderId="0" xfId="64" applyNumberFormat="1" applyFont="1" applyFill="1" applyBorder="1" applyAlignment="1">
      <alignment horizontal="center" vertical="center" wrapText="1"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40" fillId="0" borderId="0" xfId="64" applyNumberFormat="1" applyFont="1" applyFill="1" applyBorder="1" applyAlignment="1">
      <alignment horizontal="center" vertical="center" wrapText="1"/>
      <protection/>
    </xf>
    <xf numFmtId="0" fontId="40" fillId="0" borderId="0" xfId="64" applyNumberFormat="1" applyFont="1" applyBorder="1" applyAlignment="1">
      <alignment horizontal="center" vertical="center"/>
      <protection/>
    </xf>
    <xf numFmtId="3" fontId="40" fillId="0" borderId="0" xfId="64" applyNumberFormat="1" applyFont="1" applyFill="1" applyBorder="1" applyAlignment="1">
      <alignment horizontal="center" vertical="center" wrapText="1"/>
      <protection/>
    </xf>
    <xf numFmtId="0" fontId="39" fillId="0" borderId="0" xfId="64" applyFont="1" applyAlignment="1">
      <alignment vertical="center"/>
      <protection/>
    </xf>
    <xf numFmtId="0" fontId="39" fillId="0" borderId="0" xfId="64" applyFont="1" applyAlignment="1">
      <alignment horizontal="center" vertical="center"/>
      <protection/>
    </xf>
    <xf numFmtId="0" fontId="29" fillId="8" borderId="68" xfId="0" applyFont="1" applyFill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 wrapText="1"/>
    </xf>
    <xf numFmtId="4" fontId="40" fillId="0" borderId="17" xfId="0" applyNumberFormat="1" applyFont="1" applyBorder="1" applyAlignment="1">
      <alignment horizontal="right" vertical="center" wrapText="1"/>
    </xf>
    <xf numFmtId="4" fontId="40" fillId="0" borderId="12" xfId="0" applyNumberFormat="1" applyFont="1" applyBorder="1" applyAlignment="1">
      <alignment horizontal="right"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/>
    </xf>
    <xf numFmtId="4" fontId="40" fillId="0" borderId="12" xfId="0" applyNumberFormat="1" applyFont="1" applyBorder="1" applyAlignment="1">
      <alignment horizontal="right" vertical="center"/>
    </xf>
    <xf numFmtId="0" fontId="40" fillId="0" borderId="42" xfId="0" applyFont="1" applyBorder="1" applyAlignment="1">
      <alignment horizontal="right" vertical="center" wrapText="1"/>
    </xf>
    <xf numFmtId="0" fontId="40" fillId="0" borderId="42" xfId="0" applyFont="1" applyBorder="1" applyAlignment="1">
      <alignment vertical="center"/>
    </xf>
    <xf numFmtId="4" fontId="39" fillId="0" borderId="2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39" fillId="0" borderId="64" xfId="0" applyFont="1" applyFill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4" fontId="40" fillId="0" borderId="17" xfId="0" applyNumberFormat="1" applyFont="1" applyBorder="1" applyAlignment="1" applyProtection="1">
      <alignment horizontal="righ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right" vertical="center"/>
      <protection locked="0"/>
    </xf>
    <xf numFmtId="3" fontId="40" fillId="0" borderId="0" xfId="0" applyNumberFormat="1" applyFont="1" applyAlignment="1">
      <alignment/>
    </xf>
    <xf numFmtId="0" fontId="54" fillId="0" borderId="0" xfId="0" applyFont="1" applyAlignment="1">
      <alignment/>
    </xf>
    <xf numFmtId="2" fontId="44" fillId="8" borderId="12" xfId="57" applyNumberFormat="1" applyFont="1" applyFill="1" applyBorder="1" applyAlignment="1">
      <alignment horizontal="center" vertical="center" wrapText="1"/>
      <protection/>
    </xf>
    <xf numFmtId="0" fontId="39" fillId="0" borderId="65" xfId="0" applyFont="1" applyFill="1" applyBorder="1" applyAlignment="1" applyProtection="1">
      <alignment horizontal="center" vertical="center"/>
      <protection locked="0"/>
    </xf>
    <xf numFmtId="0" fontId="39" fillId="0" borderId="63" xfId="0" applyFont="1" applyFill="1" applyBorder="1" applyAlignment="1" applyProtection="1">
      <alignment horizontal="center" vertical="center"/>
      <protection locked="0"/>
    </xf>
    <xf numFmtId="0" fontId="40" fillId="0" borderId="65" xfId="0" applyFont="1" applyBorder="1" applyAlignment="1" applyProtection="1">
      <alignment horizontal="left" vertical="center"/>
      <protection locked="0"/>
    </xf>
    <xf numFmtId="4" fontId="40" fillId="0" borderId="64" xfId="0" applyNumberFormat="1" applyFont="1" applyBorder="1" applyAlignment="1" applyProtection="1">
      <alignment horizontal="left" vertical="center"/>
      <protection locked="0"/>
    </xf>
    <xf numFmtId="4" fontId="40" fillId="0" borderId="12" xfId="0" applyNumberFormat="1" applyFont="1" applyBorder="1" applyAlignment="1" applyProtection="1">
      <alignment horizontal="right" vertical="center"/>
      <protection locked="0"/>
    </xf>
    <xf numFmtId="4" fontId="40" fillId="0" borderId="18" xfId="0" applyNumberFormat="1" applyFont="1" applyBorder="1" applyAlignment="1" applyProtection="1">
      <alignment horizontal="right" vertical="center"/>
      <protection locked="0"/>
    </xf>
    <xf numFmtId="4" fontId="40" fillId="0" borderId="17" xfId="0" applyNumberFormat="1" applyFont="1" applyBorder="1" applyAlignment="1" applyProtection="1">
      <alignment horizontal="left" vertical="center"/>
      <protection locked="0"/>
    </xf>
    <xf numFmtId="0" fontId="39" fillId="0" borderId="58" xfId="0" applyFont="1" applyBorder="1" applyAlignment="1">
      <alignment horizontal="center" vertical="center"/>
    </xf>
    <xf numFmtId="4" fontId="39" fillId="0" borderId="19" xfId="0" applyNumberFormat="1" applyFont="1" applyBorder="1" applyAlignment="1" applyProtection="1">
      <alignment horizontal="right" vertical="center"/>
      <protection/>
    </xf>
    <xf numFmtId="3" fontId="39" fillId="8" borderId="23" xfId="0" applyNumberFormat="1" applyFont="1" applyFill="1" applyBorder="1" applyAlignment="1">
      <alignment vertical="center"/>
    </xf>
    <xf numFmtId="173" fontId="39" fillId="8" borderId="25" xfId="0" applyNumberFormat="1" applyFont="1" applyFill="1" applyBorder="1" applyAlignment="1">
      <alignment vertical="center"/>
    </xf>
    <xf numFmtId="4" fontId="40" fillId="26" borderId="59" xfId="63" applyNumberFormat="1" applyFont="1" applyFill="1" applyBorder="1" applyAlignment="1" applyProtection="1">
      <alignment horizontal="center" vertical="center"/>
      <protection locked="0"/>
    </xf>
    <xf numFmtId="173" fontId="40" fillId="0" borderId="19" xfId="50" applyNumberFormat="1" applyFont="1" applyBorder="1" applyAlignment="1" applyProtection="1">
      <alignment horizontal="right" vertical="center"/>
      <protection locked="0"/>
    </xf>
    <xf numFmtId="173" fontId="40" fillId="0" borderId="14" xfId="63" applyNumberFormat="1" applyFont="1" applyBorder="1" applyAlignment="1" applyProtection="1">
      <alignment horizontal="right" vertical="center"/>
      <protection locked="0"/>
    </xf>
    <xf numFmtId="173" fontId="40" fillId="0" borderId="12" xfId="63" applyNumberFormat="1" applyFont="1" applyBorder="1" applyAlignment="1" applyProtection="1">
      <alignment horizontal="right" vertical="center"/>
      <protection locked="0"/>
    </xf>
    <xf numFmtId="173" fontId="40" fillId="0" borderId="25" xfId="63" applyNumberFormat="1" applyFont="1" applyBorder="1" applyAlignment="1" applyProtection="1">
      <alignment horizontal="right" vertical="center"/>
      <protection locked="0"/>
    </xf>
    <xf numFmtId="3" fontId="40" fillId="0" borderId="0" xfId="66" applyNumberFormat="1" applyFont="1">
      <alignment/>
      <protection/>
    </xf>
    <xf numFmtId="3" fontId="40" fillId="0" borderId="0" xfId="66" applyNumberFormat="1" applyFont="1" applyBorder="1">
      <alignment/>
      <protection/>
    </xf>
    <xf numFmtId="4" fontId="40" fillId="0" borderId="0" xfId="66" applyNumberFormat="1" applyFont="1">
      <alignment/>
      <protection/>
    </xf>
    <xf numFmtId="1" fontId="44" fillId="8" borderId="70" xfId="59" applyNumberFormat="1" applyFont="1" applyFill="1" applyBorder="1" applyAlignment="1">
      <alignment horizontal="center" vertical="center"/>
      <protection/>
    </xf>
    <xf numFmtId="3" fontId="40" fillId="0" borderId="0" xfId="66" applyNumberFormat="1" applyFont="1" applyAlignment="1">
      <alignment horizontal="centerContinuous"/>
      <protection/>
    </xf>
    <xf numFmtId="4" fontId="40" fillId="0" borderId="0" xfId="66" applyNumberFormat="1" applyFont="1" applyAlignment="1">
      <alignment horizontal="centerContinuous"/>
      <protection/>
    </xf>
    <xf numFmtId="3" fontId="44" fillId="8" borderId="71" xfId="59" applyNumberFormat="1" applyFont="1" applyFill="1" applyBorder="1" applyAlignment="1">
      <alignment horizontal="center" vertical="center" wrapText="1"/>
      <protection/>
    </xf>
    <xf numFmtId="3" fontId="39" fillId="0" borderId="66" xfId="66" applyNumberFormat="1" applyFont="1" applyBorder="1" applyAlignment="1">
      <alignment vertical="center"/>
      <protection/>
    </xf>
    <xf numFmtId="3" fontId="40" fillId="0" borderId="48" xfId="66" applyNumberFormat="1" applyFont="1" applyBorder="1" applyAlignment="1">
      <alignment vertical="center"/>
      <protection/>
    </xf>
    <xf numFmtId="1" fontId="39" fillId="0" borderId="61" xfId="0" applyNumberFormat="1" applyFont="1" applyBorder="1" applyAlignment="1">
      <alignment horizontal="center" vertical="center" wrapText="1"/>
    </xf>
    <xf numFmtId="3" fontId="39" fillId="0" borderId="25" xfId="0" applyNumberFormat="1" applyFont="1" applyBorder="1" applyAlignment="1">
      <alignment horizontal="center" vertical="center" wrapText="1"/>
    </xf>
    <xf numFmtId="3" fontId="39" fillId="0" borderId="51" xfId="66" applyNumberFormat="1" applyFont="1" applyFill="1" applyBorder="1" applyAlignment="1">
      <alignment horizontal="left" vertical="center" wrapText="1"/>
      <protection/>
    </xf>
    <xf numFmtId="3" fontId="40" fillId="0" borderId="52" xfId="66" applyNumberFormat="1" applyFont="1" applyFill="1" applyBorder="1" applyAlignment="1">
      <alignment vertical="center"/>
      <protection/>
    </xf>
    <xf numFmtId="43" fontId="39" fillId="0" borderId="52" xfId="66" applyNumberFormat="1" applyFont="1" applyFill="1" applyBorder="1" applyAlignment="1">
      <alignment vertical="center"/>
      <protection/>
    </xf>
    <xf numFmtId="43" fontId="39" fillId="0" borderId="47" xfId="66" applyNumberFormat="1" applyFont="1" applyFill="1" applyBorder="1" applyAlignment="1">
      <alignment vertical="center"/>
      <protection/>
    </xf>
    <xf numFmtId="3" fontId="39" fillId="0" borderId="72" xfId="66" applyNumberFormat="1" applyFont="1" applyBorder="1" applyAlignment="1">
      <alignment horizontal="left" vertical="center" wrapText="1"/>
      <protection/>
    </xf>
    <xf numFmtId="3" fontId="40" fillId="0" borderId="73" xfId="66" applyNumberFormat="1" applyFont="1" applyBorder="1" applyAlignment="1">
      <alignment vertical="center"/>
      <protection/>
    </xf>
    <xf numFmtId="3" fontId="39" fillId="0" borderId="65" xfId="66" applyNumberFormat="1" applyFont="1" applyBorder="1" applyAlignment="1">
      <alignment horizontal="left" vertical="center" wrapText="1"/>
      <protection/>
    </xf>
    <xf numFmtId="3" fontId="40" fillId="0" borderId="17" xfId="66" applyNumberFormat="1" applyFont="1" applyBorder="1" applyAlignment="1">
      <alignment vertical="center"/>
      <protection/>
    </xf>
    <xf numFmtId="3" fontId="40" fillId="0" borderId="10" xfId="69" applyNumberFormat="1" applyFont="1" applyBorder="1" applyAlignment="1">
      <alignment vertical="center"/>
      <protection/>
    </xf>
    <xf numFmtId="0" fontId="40" fillId="0" borderId="10" xfId="69" applyNumberFormat="1" applyFont="1" applyBorder="1" applyAlignment="1">
      <alignment horizontal="left" vertical="center" wrapText="1"/>
      <protection/>
    </xf>
    <xf numFmtId="3" fontId="40" fillId="0" borderId="0" xfId="66" applyNumberFormat="1" applyFont="1" applyFill="1">
      <alignment/>
      <protection/>
    </xf>
    <xf numFmtId="3" fontId="40" fillId="0" borderId="74" xfId="66" applyNumberFormat="1" applyFont="1" applyBorder="1" applyAlignment="1">
      <alignment vertical="center"/>
      <protection/>
    </xf>
    <xf numFmtId="3" fontId="40" fillId="0" borderId="75" xfId="69" applyNumberFormat="1" applyFont="1" applyBorder="1" applyAlignment="1">
      <alignment vertical="center"/>
      <protection/>
    </xf>
    <xf numFmtId="3" fontId="40" fillId="0" borderId="64" xfId="69" applyNumberFormat="1" applyFont="1" applyBorder="1" applyAlignment="1">
      <alignment vertical="center"/>
      <protection/>
    </xf>
    <xf numFmtId="3" fontId="39" fillId="16" borderId="58" xfId="66" applyNumberFormat="1" applyFont="1" applyFill="1" applyBorder="1" applyAlignment="1">
      <alignment horizontal="left" vertical="center" wrapText="1"/>
      <protection/>
    </xf>
    <xf numFmtId="3" fontId="40" fillId="16" borderId="76" xfId="69" applyNumberFormat="1" applyFont="1" applyFill="1" applyBorder="1" applyAlignment="1">
      <alignment vertical="center"/>
      <protection/>
    </xf>
    <xf numFmtId="3" fontId="39" fillId="0" borderId="77" xfId="66" applyNumberFormat="1" applyFont="1" applyBorder="1" applyAlignment="1">
      <alignment horizontal="left" vertical="center" wrapText="1"/>
      <protection/>
    </xf>
    <xf numFmtId="3" fontId="40" fillId="0" borderId="29" xfId="69" applyNumberFormat="1" applyFont="1" applyBorder="1" applyAlignment="1">
      <alignment vertical="center"/>
      <protection/>
    </xf>
    <xf numFmtId="3" fontId="40" fillId="0" borderId="78" xfId="69" applyNumberFormat="1" applyFont="1" applyBorder="1" applyAlignment="1">
      <alignment vertical="center"/>
      <protection/>
    </xf>
    <xf numFmtId="3" fontId="39" fillId="26" borderId="51" xfId="66" applyNumberFormat="1" applyFont="1" applyFill="1" applyBorder="1" applyAlignment="1">
      <alignment horizontal="left" vertical="center" wrapText="1"/>
      <protection/>
    </xf>
    <xf numFmtId="3" fontId="40" fillId="26" borderId="52" xfId="66" applyNumberFormat="1" applyFont="1" applyFill="1" applyBorder="1" applyAlignment="1">
      <alignment vertical="center"/>
      <protection/>
    </xf>
    <xf numFmtId="3" fontId="39" fillId="16" borderId="79" xfId="66" applyNumberFormat="1" applyFont="1" applyFill="1" applyBorder="1" applyAlignment="1">
      <alignment horizontal="left" vertical="center" wrapText="1"/>
      <protection/>
    </xf>
    <xf numFmtId="3" fontId="40" fillId="16" borderId="80" xfId="66" applyNumberFormat="1" applyFont="1" applyFill="1" applyBorder="1" applyAlignment="1">
      <alignment vertical="center"/>
      <protection/>
    </xf>
    <xf numFmtId="3" fontId="40" fillId="0" borderId="72" xfId="69" applyNumberFormat="1" applyFont="1" applyBorder="1" applyAlignment="1">
      <alignment vertical="center"/>
      <protection/>
    </xf>
    <xf numFmtId="3" fontId="40" fillId="0" borderId="73" xfId="69" applyNumberFormat="1" applyFont="1" applyBorder="1" applyAlignment="1">
      <alignment vertical="center"/>
      <protection/>
    </xf>
    <xf numFmtId="3" fontId="40" fillId="0" borderId="58" xfId="69" applyNumberFormat="1" applyFont="1" applyBorder="1" applyAlignment="1">
      <alignment vertical="center"/>
      <protection/>
    </xf>
    <xf numFmtId="3" fontId="40" fillId="0" borderId="19" xfId="69" applyNumberFormat="1" applyFont="1" applyBorder="1" applyAlignment="1">
      <alignment vertical="center"/>
      <protection/>
    </xf>
    <xf numFmtId="0" fontId="40" fillId="0" borderId="0" xfId="66" applyNumberFormat="1" applyFont="1">
      <alignment/>
      <protection/>
    </xf>
    <xf numFmtId="173" fontId="40" fillId="0" borderId="0" xfId="66" applyNumberFormat="1" applyFont="1">
      <alignment/>
      <protection/>
    </xf>
    <xf numFmtId="0" fontId="55" fillId="8" borderId="17" xfId="58" applyNumberFormat="1" applyFont="1" applyFill="1" applyBorder="1" applyAlignment="1">
      <alignment horizontal="center" vertical="center"/>
      <protection/>
    </xf>
    <xf numFmtId="0" fontId="55" fillId="0" borderId="0" xfId="58" applyNumberFormat="1" applyFont="1" applyFill="1" applyBorder="1" applyAlignment="1">
      <alignment horizontal="center" vertical="center"/>
      <protection/>
    </xf>
    <xf numFmtId="0" fontId="38" fillId="0" borderId="0" xfId="58" applyNumberFormat="1" applyFont="1" applyFill="1" applyBorder="1" applyAlignment="1">
      <alignment horizontal="center" vertical="center"/>
      <protection/>
    </xf>
    <xf numFmtId="3" fontId="37" fillId="0" borderId="0" xfId="68" applyNumberFormat="1" applyFont="1" applyBorder="1">
      <alignment/>
      <protection/>
    </xf>
    <xf numFmtId="3" fontId="40" fillId="0" borderId="0" xfId="68" applyNumberFormat="1" applyFont="1" applyBorder="1">
      <alignment/>
      <protection/>
    </xf>
    <xf numFmtId="2" fontId="55" fillId="8" borderId="17" xfId="58" applyNumberFormat="1" applyFont="1" applyFill="1" applyBorder="1" applyAlignment="1">
      <alignment horizontal="center" vertical="center"/>
      <protection/>
    </xf>
    <xf numFmtId="2" fontId="55" fillId="0" borderId="0" xfId="58" applyNumberFormat="1" applyFont="1" applyFill="1" applyBorder="1" applyAlignment="1">
      <alignment horizontal="center" vertical="center"/>
      <protection/>
    </xf>
    <xf numFmtId="2" fontId="38" fillId="0" borderId="0" xfId="58" applyNumberFormat="1" applyFont="1" applyFill="1" applyBorder="1" applyAlignment="1">
      <alignment horizontal="center" vertical="center"/>
      <protection/>
    </xf>
    <xf numFmtId="2" fontId="57" fillId="0" borderId="0" xfId="58" applyNumberFormat="1" applyFont="1" applyFill="1" applyBorder="1" applyAlignment="1">
      <alignment horizontal="center" vertical="center"/>
      <protection/>
    </xf>
    <xf numFmtId="2" fontId="58" fillId="0" borderId="0" xfId="58" applyNumberFormat="1" applyFont="1" applyFill="1" applyBorder="1" applyAlignment="1">
      <alignment horizontal="center" vertical="center"/>
      <protection/>
    </xf>
    <xf numFmtId="3" fontId="41" fillId="0" borderId="61" xfId="68" applyNumberFormat="1" applyFont="1" applyFill="1" applyBorder="1" applyAlignment="1">
      <alignment horizontal="centerContinuous" vertical="center"/>
      <protection/>
    </xf>
    <xf numFmtId="0" fontId="39" fillId="0" borderId="17" xfId="0" applyFont="1" applyFill="1" applyBorder="1" applyAlignment="1">
      <alignment horizontal="center" vertical="center" wrapText="1"/>
    </xf>
    <xf numFmtId="2" fontId="39" fillId="0" borderId="48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4" fontId="38" fillId="0" borderId="0" xfId="68" applyNumberFormat="1" applyFont="1" applyBorder="1" applyAlignment="1">
      <alignment horizontal="center" vertical="center" wrapText="1"/>
      <protection/>
    </xf>
    <xf numFmtId="3" fontId="29" fillId="0" borderId="18" xfId="68" applyNumberFormat="1" applyFont="1" applyFill="1" applyBorder="1" applyAlignment="1">
      <alignment vertical="center"/>
      <protection/>
    </xf>
    <xf numFmtId="4" fontId="41" fillId="0" borderId="0" xfId="68" applyNumberFormat="1" applyFont="1" applyBorder="1" applyAlignment="1">
      <alignment horizontal="right" vertical="center"/>
      <protection/>
    </xf>
    <xf numFmtId="3" fontId="40" fillId="0" borderId="0" xfId="68" applyNumberFormat="1" applyFont="1" applyBorder="1" applyAlignment="1">
      <alignment vertical="center"/>
      <protection/>
    </xf>
    <xf numFmtId="3" fontId="39" fillId="0" borderId="17" xfId="68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horizontal="right" vertical="center"/>
      <protection locked="0"/>
    </xf>
    <xf numFmtId="174" fontId="38" fillId="0" borderId="0" xfId="48" applyNumberFormat="1" applyFont="1" applyBorder="1" applyAlignment="1" applyProtection="1">
      <alignment horizontal="right" vertical="center"/>
      <protection locked="0"/>
    </xf>
    <xf numFmtId="4" fontId="38" fillId="0" borderId="0" xfId="68" applyNumberFormat="1" applyFont="1" applyBorder="1" applyAlignment="1">
      <alignment vertical="center"/>
      <protection/>
    </xf>
    <xf numFmtId="3" fontId="40" fillId="0" borderId="17" xfId="68" applyNumberFormat="1" applyFont="1" applyFill="1" applyBorder="1" applyAlignment="1">
      <alignment vertical="center"/>
      <protection/>
    </xf>
    <xf numFmtId="174" fontId="52" fillId="0" borderId="0" xfId="48" applyNumberFormat="1" applyFont="1" applyBorder="1" applyAlignment="1" applyProtection="1">
      <alignment horizontal="right" vertical="center"/>
      <protection locked="0"/>
    </xf>
    <xf numFmtId="174" fontId="37" fillId="0" borderId="0" xfId="48" applyNumberFormat="1" applyFont="1" applyBorder="1" applyAlignment="1" applyProtection="1">
      <alignment horizontal="right" vertical="center"/>
      <protection locked="0"/>
    </xf>
    <xf numFmtId="3" fontId="37" fillId="0" borderId="0" xfId="68" applyNumberFormat="1" applyFont="1" applyBorder="1" applyAlignment="1">
      <alignment vertical="center"/>
      <protection/>
    </xf>
    <xf numFmtId="174" fontId="52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8" applyNumberFormat="1" applyFont="1" applyFill="1" applyBorder="1" applyAlignment="1">
      <alignment vertical="center" wrapText="1"/>
      <protection/>
    </xf>
    <xf numFmtId="174" fontId="41" fillId="0" borderId="0" xfId="48" applyNumberFormat="1" applyFont="1" applyFill="1" applyBorder="1" applyAlignment="1" applyProtection="1">
      <alignment horizontal="right" vertical="center"/>
      <protection locked="0"/>
    </xf>
    <xf numFmtId="174" fontId="38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8" applyNumberFormat="1" applyFont="1" applyFill="1" applyBorder="1" applyAlignment="1">
      <alignment horizontal="left" vertical="center" wrapText="1"/>
      <protection/>
    </xf>
    <xf numFmtId="174" fontId="37" fillId="0" borderId="0" xfId="48" applyNumberFormat="1" applyFont="1" applyFill="1" applyBorder="1" applyAlignment="1" applyProtection="1">
      <alignment horizontal="right" vertical="center"/>
      <protection locked="0"/>
    </xf>
    <xf numFmtId="3" fontId="37" fillId="0" borderId="0" xfId="68" applyNumberFormat="1" applyFont="1" applyFill="1" applyBorder="1" applyAlignment="1">
      <alignment vertical="center"/>
      <protection/>
    </xf>
    <xf numFmtId="3" fontId="40" fillId="0" borderId="0" xfId="68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>
      <alignment horizontal="right" vertical="center"/>
    </xf>
    <xf numFmtId="174" fontId="38" fillId="0" borderId="0" xfId="48" applyNumberFormat="1" applyFont="1" applyBorder="1" applyAlignment="1">
      <alignment horizontal="right" vertical="center"/>
    </xf>
    <xf numFmtId="174" fontId="52" fillId="0" borderId="0" xfId="48" applyNumberFormat="1" applyFont="1" applyFill="1" applyBorder="1" applyAlignment="1">
      <alignment horizontal="right" vertical="center"/>
    </xf>
    <xf numFmtId="174" fontId="37" fillId="0" borderId="0" xfId="48" applyNumberFormat="1" applyFont="1" applyFill="1" applyBorder="1" applyAlignment="1">
      <alignment horizontal="right" vertical="center"/>
    </xf>
    <xf numFmtId="174" fontId="41" fillId="0" borderId="0" xfId="48" applyNumberFormat="1" applyFont="1" applyFill="1" applyBorder="1" applyAlignment="1">
      <alignment horizontal="right" vertical="center"/>
    </xf>
    <xf numFmtId="174" fontId="38" fillId="0" borderId="0" xfId="48" applyNumberFormat="1" applyFont="1" applyFill="1" applyBorder="1" applyAlignment="1">
      <alignment horizontal="right" vertical="center"/>
    </xf>
    <xf numFmtId="3" fontId="40" fillId="0" borderId="17" xfId="68" applyNumberFormat="1" applyFont="1" applyFill="1" applyBorder="1" applyAlignment="1">
      <alignment vertical="center" wrapText="1"/>
      <protection/>
    </xf>
    <xf numFmtId="3" fontId="29" fillId="0" borderId="17" xfId="68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vertical="center"/>
      <protection locked="0"/>
    </xf>
    <xf numFmtId="174" fontId="41" fillId="0" borderId="0" xfId="48" applyNumberFormat="1" applyFont="1" applyFill="1" applyBorder="1" applyAlignment="1">
      <alignment vertical="center"/>
    </xf>
    <xf numFmtId="3" fontId="29" fillId="0" borderId="17" xfId="68" applyNumberFormat="1" applyFont="1" applyFill="1" applyBorder="1" applyAlignment="1">
      <alignment vertical="center" wrapText="1"/>
      <protection/>
    </xf>
    <xf numFmtId="3" fontId="41" fillId="0" borderId="17" xfId="68" applyNumberFormat="1" applyFont="1" applyFill="1" applyBorder="1" applyAlignment="1">
      <alignment vertical="center"/>
      <protection/>
    </xf>
    <xf numFmtId="4" fontId="40" fillId="0" borderId="0" xfId="68" applyNumberFormat="1" applyFont="1" applyBorder="1">
      <alignment/>
      <protection/>
    </xf>
    <xf numFmtId="4" fontId="37" fillId="0" borderId="0" xfId="68" applyNumberFormat="1" applyFont="1" applyBorder="1">
      <alignment/>
      <protection/>
    </xf>
    <xf numFmtId="0" fontId="37" fillId="0" borderId="0" xfId="0" applyFont="1" applyAlignment="1">
      <alignment/>
    </xf>
    <xf numFmtId="3" fontId="39" fillId="0" borderId="0" xfId="68" applyNumberFormat="1" applyFont="1" applyBorder="1">
      <alignment/>
      <protection/>
    </xf>
    <xf numFmtId="4" fontId="40" fillId="0" borderId="0" xfId="68" applyNumberFormat="1" applyFont="1" applyBorder="1" applyAlignment="1">
      <alignment horizontal="center"/>
      <protection/>
    </xf>
    <xf numFmtId="4" fontId="37" fillId="0" borderId="0" xfId="68" applyNumberFormat="1" applyFont="1" applyBorder="1" applyAlignment="1">
      <alignment horizontal="center"/>
      <protection/>
    </xf>
    <xf numFmtId="173" fontId="40" fillId="0" borderId="0" xfId="68" applyNumberFormat="1" applyFont="1" applyBorder="1">
      <alignment/>
      <protection/>
    </xf>
    <xf numFmtId="173" fontId="37" fillId="0" borderId="0" xfId="68" applyNumberFormat="1" applyFont="1" applyBorder="1">
      <alignment/>
      <protection/>
    </xf>
    <xf numFmtId="173" fontId="40" fillId="22" borderId="0" xfId="68" applyNumberFormat="1" applyFont="1" applyFill="1" applyBorder="1">
      <alignment/>
      <protection/>
    </xf>
    <xf numFmtId="173" fontId="37" fillId="22" borderId="0" xfId="68" applyNumberFormat="1" applyFont="1" applyFill="1" applyBorder="1">
      <alignment/>
      <protection/>
    </xf>
    <xf numFmtId="3" fontId="40" fillId="0" borderId="0" xfId="68" applyNumberFormat="1" applyFont="1" applyFill="1" applyBorder="1">
      <alignment/>
      <protection/>
    </xf>
    <xf numFmtId="173" fontId="40" fillId="0" borderId="0" xfId="68" applyNumberFormat="1" applyFont="1" applyFill="1" applyBorder="1">
      <alignment/>
      <protection/>
    </xf>
    <xf numFmtId="173" fontId="37" fillId="0" borderId="0" xfId="68" applyNumberFormat="1" applyFont="1" applyFill="1" applyBorder="1">
      <alignment/>
      <protection/>
    </xf>
    <xf numFmtId="3" fontId="37" fillId="0" borderId="0" xfId="68" applyNumberFormat="1" applyFont="1" applyFill="1" applyBorder="1">
      <alignment/>
      <protection/>
    </xf>
    <xf numFmtId="3" fontId="40" fillId="22" borderId="0" xfId="68" applyNumberFormat="1" applyFont="1" applyFill="1" applyBorder="1" applyAlignment="1">
      <alignment horizontal="right"/>
      <protection/>
    </xf>
    <xf numFmtId="4" fontId="40" fillId="22" borderId="0" xfId="68" applyNumberFormat="1" applyFont="1" applyFill="1" applyBorder="1">
      <alignment/>
      <protection/>
    </xf>
    <xf numFmtId="4" fontId="37" fillId="22" borderId="0" xfId="68" applyNumberFormat="1" applyFont="1" applyFill="1" applyBorder="1">
      <alignment/>
      <protection/>
    </xf>
    <xf numFmtId="0" fontId="55" fillId="25" borderId="17" xfId="58" applyFont="1" applyFill="1" applyBorder="1" applyAlignment="1">
      <alignment horizontal="center" vertical="center" wrapText="1"/>
      <protection/>
    </xf>
    <xf numFmtId="0" fontId="40" fillId="0" borderId="0" xfId="58" applyFont="1" applyAlignment="1">
      <alignment vertical="center"/>
      <protection/>
    </xf>
    <xf numFmtId="167" fontId="57" fillId="0" borderId="0" xfId="58" applyNumberFormat="1" applyFont="1" applyFill="1" applyBorder="1" applyAlignment="1">
      <alignment horizontal="center" vertical="center" wrapText="1"/>
      <protection/>
    </xf>
    <xf numFmtId="0" fontId="29" fillId="0" borderId="17" xfId="58" applyFont="1" applyFill="1" applyBorder="1" applyAlignment="1">
      <alignment horizontal="center" vertical="center"/>
      <protection/>
    </xf>
    <xf numFmtId="0" fontId="39" fillId="0" borderId="17" xfId="58" applyFont="1" applyFill="1" applyBorder="1" applyAlignment="1">
      <alignment horizontal="center" vertical="center"/>
      <protection/>
    </xf>
    <xf numFmtId="0" fontId="39" fillId="0" borderId="17" xfId="58" applyFont="1" applyFill="1" applyBorder="1" applyAlignment="1">
      <alignment horizontal="center" vertical="center" wrapText="1"/>
      <protection/>
    </xf>
    <xf numFmtId="0" fontId="39" fillId="0" borderId="0" xfId="58" applyFont="1" applyFill="1" applyBorder="1" applyAlignment="1">
      <alignment horizontal="center" vertical="center" wrapText="1"/>
      <protection/>
    </xf>
    <xf numFmtId="0" fontId="39" fillId="0" borderId="17" xfId="58" applyFont="1" applyFill="1" applyBorder="1" applyAlignment="1">
      <alignment vertical="center"/>
      <protection/>
    </xf>
    <xf numFmtId="4" fontId="39" fillId="0" borderId="0" xfId="58" applyNumberFormat="1" applyFont="1" applyFill="1" applyBorder="1" applyAlignment="1">
      <alignment horizontal="right" vertical="center"/>
      <protection/>
    </xf>
    <xf numFmtId="4" fontId="40" fillId="0" borderId="0" xfId="58" applyNumberFormat="1" applyFont="1" applyFill="1" applyBorder="1" applyAlignment="1">
      <alignment horizontal="right" vertical="center"/>
      <protection/>
    </xf>
    <xf numFmtId="0" fontId="40" fillId="0" borderId="17" xfId="58" applyFont="1" applyFill="1" applyBorder="1" applyAlignment="1">
      <alignment vertical="center"/>
      <protection/>
    </xf>
    <xf numFmtId="4" fontId="40" fillId="0" borderId="0" xfId="58" applyNumberFormat="1" applyFont="1" applyAlignment="1">
      <alignment vertical="center"/>
      <protection/>
    </xf>
    <xf numFmtId="0" fontId="40" fillId="0" borderId="0" xfId="58" applyFont="1" applyFill="1" applyAlignment="1">
      <alignment vertical="center"/>
      <protection/>
    </xf>
    <xf numFmtId="0" fontId="41" fillId="0" borderId="17" xfId="58" applyFont="1" applyFill="1" applyBorder="1" applyAlignment="1">
      <alignment horizontal="left" vertical="center"/>
      <protection/>
    </xf>
    <xf numFmtId="0" fontId="41" fillId="0" borderId="0" xfId="58" applyFont="1" applyFill="1" applyBorder="1" applyAlignment="1">
      <alignment horizontal="left" vertical="center"/>
      <protection/>
    </xf>
    <xf numFmtId="4" fontId="39" fillId="0" borderId="0" xfId="58" applyNumberFormat="1" applyFont="1" applyBorder="1" applyAlignment="1">
      <alignment horizontal="right" vertical="center"/>
      <protection/>
    </xf>
    <xf numFmtId="0" fontId="42" fillId="0" borderId="0" xfId="58" applyFont="1" applyAlignment="1" quotePrefix="1">
      <alignment vertical="center"/>
      <protection/>
    </xf>
    <xf numFmtId="2" fontId="40" fillId="0" borderId="0" xfId="58" applyNumberFormat="1" applyFont="1" applyAlignment="1">
      <alignment vertical="center"/>
      <protection/>
    </xf>
    <xf numFmtId="2" fontId="40" fillId="0" borderId="0" xfId="58" applyNumberFormat="1" applyFont="1" applyFill="1" applyAlignment="1">
      <alignment vertical="center"/>
      <protection/>
    </xf>
    <xf numFmtId="4" fontId="40" fillId="0" borderId="17" xfId="58" applyNumberFormat="1" applyFont="1" applyFill="1" applyBorder="1" applyAlignment="1">
      <alignment vertical="center"/>
      <protection/>
    </xf>
    <xf numFmtId="4" fontId="40" fillId="0" borderId="0" xfId="58" applyNumberFormat="1" applyFont="1" applyFill="1" applyBorder="1" applyAlignment="1">
      <alignment vertical="center"/>
      <protection/>
    </xf>
    <xf numFmtId="0" fontId="40" fillId="0" borderId="0" xfId="58" applyFont="1" applyFill="1" applyBorder="1" applyAlignment="1">
      <alignment vertical="center"/>
      <protection/>
    </xf>
    <xf numFmtId="4" fontId="40" fillId="27" borderId="0" xfId="58" applyNumberFormat="1" applyFont="1" applyFill="1" applyBorder="1" applyAlignment="1">
      <alignment vertical="center"/>
      <protection/>
    </xf>
    <xf numFmtId="173" fontId="40" fillId="0" borderId="64" xfId="57" applyNumberFormat="1" applyFont="1" applyFill="1" applyBorder="1" applyAlignment="1">
      <alignment vertical="center"/>
      <protection/>
    </xf>
    <xf numFmtId="0" fontId="40" fillId="0" borderId="64" xfId="57" applyFont="1" applyBorder="1" applyAlignment="1">
      <alignment vertical="center"/>
      <protection/>
    </xf>
    <xf numFmtId="4" fontId="40" fillId="11" borderId="17" xfId="58" applyNumberFormat="1" applyFont="1" applyFill="1" applyBorder="1" applyAlignment="1">
      <alignment vertical="center"/>
      <protection/>
    </xf>
    <xf numFmtId="0" fontId="39" fillId="0" borderId="0" xfId="58" applyFont="1" applyFill="1" applyBorder="1" applyAlignment="1">
      <alignment vertical="center"/>
      <protection/>
    </xf>
    <xf numFmtId="4" fontId="39" fillId="0" borderId="0" xfId="58" applyNumberFormat="1" applyFont="1" applyFill="1" applyBorder="1" applyAlignment="1">
      <alignment vertical="center"/>
      <protection/>
    </xf>
    <xf numFmtId="2" fontId="40" fillId="0" borderId="0" xfId="58" applyNumberFormat="1" applyFont="1" applyFill="1" applyBorder="1" applyAlignment="1">
      <alignment vertical="center"/>
      <protection/>
    </xf>
    <xf numFmtId="0" fontId="40" fillId="0" borderId="0" xfId="58" applyFont="1">
      <alignment/>
      <protection/>
    </xf>
    <xf numFmtId="2" fontId="40" fillId="0" borderId="0" xfId="58" applyNumberFormat="1" applyFont="1">
      <alignment/>
      <protection/>
    </xf>
    <xf numFmtId="2" fontId="40" fillId="0" borderId="0" xfId="58" applyNumberFormat="1" applyFont="1" applyFill="1">
      <alignment/>
      <protection/>
    </xf>
    <xf numFmtId="0" fontId="40" fillId="0" borderId="0" xfId="58" applyFont="1" applyFill="1">
      <alignment/>
      <protection/>
    </xf>
    <xf numFmtId="0" fontId="55" fillId="0" borderId="0" xfId="58" applyFont="1" applyFill="1" applyBorder="1" applyAlignment="1">
      <alignment horizontal="center" vertical="center" wrapText="1"/>
      <protection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29" fillId="0" borderId="17" xfId="58" applyFont="1" applyFill="1" applyBorder="1" applyAlignment="1">
      <alignment horizontal="left" vertical="center"/>
      <protection/>
    </xf>
    <xf numFmtId="0" fontId="39" fillId="0" borderId="17" xfId="58" applyFont="1" applyBorder="1" applyAlignment="1">
      <alignment vertical="center"/>
      <protection/>
    </xf>
    <xf numFmtId="0" fontId="40" fillId="0" borderId="17" xfId="58" applyFont="1" applyBorder="1" applyAlignment="1">
      <alignment vertical="center"/>
      <protection/>
    </xf>
    <xf numFmtId="4" fontId="40" fillId="0" borderId="0" xfId="68" applyNumberFormat="1" applyFont="1" applyFill="1" applyBorder="1" applyAlignment="1">
      <alignment horizontal="right" vertical="center"/>
      <protection/>
    </xf>
    <xf numFmtId="0" fontId="40" fillId="0" borderId="17" xfId="58" applyFont="1" applyFill="1" applyBorder="1" applyAlignment="1">
      <alignment vertical="center" wrapText="1"/>
      <protection/>
    </xf>
    <xf numFmtId="0" fontId="39" fillId="0" borderId="17" xfId="58" applyFont="1" applyFill="1" applyBorder="1" applyAlignment="1">
      <alignment vertical="center" wrapText="1"/>
      <protection/>
    </xf>
    <xf numFmtId="4" fontId="40" fillId="0" borderId="0" xfId="58" applyNumberFormat="1" applyFont="1" applyFill="1" applyAlignment="1">
      <alignment vertical="center"/>
      <protection/>
    </xf>
    <xf numFmtId="173" fontId="40" fillId="0" borderId="27" xfId="0" applyNumberFormat="1" applyFont="1" applyFill="1" applyBorder="1" applyAlignment="1" applyProtection="1">
      <alignment vertical="center"/>
      <protection/>
    </xf>
    <xf numFmtId="173" fontId="40" fillId="0" borderId="22" xfId="49" applyNumberFormat="1" applyFont="1" applyBorder="1" applyAlignment="1" applyProtection="1">
      <alignment vertical="center"/>
      <protection/>
    </xf>
    <xf numFmtId="173" fontId="40" fillId="0" borderId="22" xfId="49" applyNumberFormat="1" applyFont="1" applyBorder="1" applyAlignment="1">
      <alignment vertical="center"/>
    </xf>
    <xf numFmtId="173" fontId="39" fillId="24" borderId="22" xfId="49" applyNumberFormat="1" applyFont="1" applyFill="1" applyBorder="1" applyAlignment="1" applyProtection="1">
      <alignment vertical="center"/>
      <protection/>
    </xf>
    <xf numFmtId="173" fontId="40" fillId="0" borderId="81" xfId="49" applyNumberFormat="1" applyFont="1" applyBorder="1" applyAlignment="1">
      <alignment vertical="center"/>
    </xf>
    <xf numFmtId="173" fontId="39" fillId="24" borderId="69" xfId="0" applyNumberFormat="1" applyFont="1" applyFill="1" applyBorder="1" applyAlignment="1" applyProtection="1">
      <alignment vertical="center"/>
      <protection/>
    </xf>
    <xf numFmtId="3" fontId="39" fillId="24" borderId="54" xfId="0" applyNumberFormat="1" applyFont="1" applyFill="1" applyBorder="1" applyAlignment="1">
      <alignment vertical="center"/>
    </xf>
    <xf numFmtId="173" fontId="39" fillId="8" borderId="82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 applyProtection="1">
      <alignment vertical="center"/>
      <protection/>
    </xf>
    <xf numFmtId="173" fontId="39" fillId="8" borderId="69" xfId="0" applyNumberFormat="1" applyFont="1" applyFill="1" applyBorder="1" applyAlignment="1">
      <alignment vertical="center"/>
    </xf>
    <xf numFmtId="173" fontId="40" fillId="0" borderId="82" xfId="0" applyNumberFormat="1" applyFont="1" applyBorder="1" applyAlignment="1">
      <alignment vertical="center"/>
    </xf>
    <xf numFmtId="173" fontId="39" fillId="0" borderId="69" xfId="0" applyNumberFormat="1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3" fontId="39" fillId="0" borderId="54" xfId="0" applyNumberFormat="1" applyFont="1" applyFill="1" applyBorder="1" applyAlignment="1">
      <alignment vertical="center"/>
    </xf>
    <xf numFmtId="173" fontId="40" fillId="0" borderId="22" xfId="0" applyNumberFormat="1" applyFont="1" applyBorder="1" applyAlignment="1">
      <alignment vertical="center"/>
    </xf>
    <xf numFmtId="173" fontId="40" fillId="0" borderId="22" xfId="0" applyNumberFormat="1" applyFont="1" applyFill="1" applyBorder="1" applyAlignment="1" applyProtection="1">
      <alignment vertical="center"/>
      <protection/>
    </xf>
    <xf numFmtId="173" fontId="40" fillId="0" borderId="22" xfId="0" applyNumberFormat="1" applyFont="1" applyBorder="1" applyAlignment="1" applyProtection="1">
      <alignment vertical="center"/>
      <protection/>
    </xf>
    <xf numFmtId="173" fontId="39" fillId="24" borderId="22" xfId="0" applyNumberFormat="1" applyFont="1" applyFill="1" applyBorder="1" applyAlignment="1" applyProtection="1">
      <alignment vertical="center"/>
      <protection/>
    </xf>
    <xf numFmtId="173" fontId="40" fillId="0" borderId="81" xfId="0" applyNumberFormat="1" applyFont="1" applyBorder="1" applyAlignment="1">
      <alignment vertical="center"/>
    </xf>
    <xf numFmtId="173" fontId="39" fillId="0" borderId="82" xfId="0" applyNumberFormat="1" applyFont="1" applyFill="1" applyBorder="1" applyAlignment="1" applyProtection="1">
      <alignment vertical="center"/>
      <protection/>
    </xf>
    <xf numFmtId="173" fontId="39" fillId="0" borderId="22" xfId="0" applyNumberFormat="1" applyFont="1" applyFill="1" applyBorder="1" applyAlignment="1">
      <alignment vertical="center"/>
    </xf>
    <xf numFmtId="173" fontId="39" fillId="0" borderId="69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>
      <alignment vertical="center"/>
    </xf>
    <xf numFmtId="3" fontId="39" fillId="0" borderId="44" xfId="0" applyNumberFormat="1" applyFont="1" applyFill="1" applyBorder="1" applyAlignment="1" applyProtection="1">
      <alignment vertical="center"/>
      <protection/>
    </xf>
    <xf numFmtId="3" fontId="39" fillId="8" borderId="26" xfId="0" applyNumberFormat="1" applyFont="1" applyFill="1" applyBorder="1" applyAlignment="1">
      <alignment vertical="center"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65" xfId="53" applyFont="1" applyBorder="1" applyAlignment="1">
      <alignment vertical="center" wrapText="1"/>
      <protection/>
    </xf>
    <xf numFmtId="0" fontId="39" fillId="0" borderId="65" xfId="53" applyFont="1" applyBorder="1" applyAlignment="1">
      <alignment horizontal="left" vertical="center" wrapText="1"/>
      <protection/>
    </xf>
    <xf numFmtId="0" fontId="40" fillId="0" borderId="65" xfId="53" applyFont="1" applyBorder="1" applyAlignment="1">
      <alignment vertical="center"/>
      <protection/>
    </xf>
    <xf numFmtId="0" fontId="39" fillId="0" borderId="58" xfId="53" applyFont="1" applyBorder="1" applyAlignment="1">
      <alignment horizontal="left" vertical="center" wrapText="1"/>
      <protection/>
    </xf>
    <xf numFmtId="169" fontId="39" fillId="0" borderId="50" xfId="64" applyNumberFormat="1" applyFont="1" applyFill="1" applyBorder="1" applyAlignment="1">
      <alignment horizontal="right" vertical="center" wrapText="1"/>
      <protection/>
    </xf>
    <xf numFmtId="174" fontId="39" fillId="0" borderId="17" xfId="48" applyNumberFormat="1" applyFont="1" applyFill="1" applyBorder="1" applyAlignment="1" applyProtection="1">
      <alignment horizontal="right" vertical="center"/>
      <protection locked="0"/>
    </xf>
    <xf numFmtId="174" fontId="40" fillId="0" borderId="17" xfId="48" applyNumberFormat="1" applyFont="1" applyFill="1" applyBorder="1" applyAlignment="1" applyProtection="1">
      <alignment horizontal="right" vertical="center"/>
      <protection locked="0"/>
    </xf>
    <xf numFmtId="174" fontId="39" fillId="0" borderId="17" xfId="48" applyNumberFormat="1" applyFont="1" applyFill="1" applyBorder="1" applyAlignment="1" applyProtection="1">
      <alignment vertical="center"/>
      <protection locked="0"/>
    </xf>
    <xf numFmtId="174" fontId="39" fillId="0" borderId="17" xfId="48" applyNumberFormat="1" applyFont="1" applyFill="1" applyBorder="1" applyAlignment="1" applyProtection="1">
      <alignment horizontal="right" vertical="center"/>
      <protection/>
    </xf>
    <xf numFmtId="174" fontId="40" fillId="0" borderId="17" xfId="48" applyNumberFormat="1" applyFont="1" applyFill="1" applyBorder="1" applyAlignment="1" applyProtection="1">
      <alignment horizontal="right" vertical="center"/>
      <protection/>
    </xf>
    <xf numFmtId="174" fontId="39" fillId="0" borderId="17" xfId="48" applyNumberFormat="1" applyFont="1" applyFill="1" applyBorder="1" applyAlignment="1" applyProtection="1">
      <alignment vertical="center"/>
      <protection/>
    </xf>
    <xf numFmtId="4" fontId="39" fillId="0" borderId="17" xfId="58" applyNumberFormat="1" applyFont="1" applyFill="1" applyBorder="1" applyAlignment="1" applyProtection="1">
      <alignment horizontal="right" vertical="center"/>
      <protection/>
    </xf>
    <xf numFmtId="0" fontId="46" fillId="0" borderId="83" xfId="0" applyFont="1" applyBorder="1" applyAlignment="1" applyProtection="1">
      <alignment vertical="center" wrapText="1"/>
      <protection locked="0"/>
    </xf>
    <xf numFmtId="168" fontId="46" fillId="0" borderId="83" xfId="45" applyFont="1" applyBorder="1" applyAlignment="1" applyProtection="1">
      <alignment vertical="center" wrapText="1"/>
      <protection locked="0"/>
    </xf>
    <xf numFmtId="168" fontId="40" fillId="0" borderId="83" xfId="45" applyFont="1" applyBorder="1" applyAlignment="1" applyProtection="1">
      <alignment vertical="center" wrapText="1"/>
      <protection locked="0"/>
    </xf>
    <xf numFmtId="173" fontId="40" fillId="0" borderId="83" xfId="45" applyNumberFormat="1" applyFont="1" applyBorder="1" applyAlignment="1" applyProtection="1">
      <alignment vertical="center" wrapText="1"/>
      <protection locked="0"/>
    </xf>
    <xf numFmtId="10" fontId="45" fillId="0" borderId="83" xfId="71" applyNumberFormat="1" applyFont="1" applyBorder="1" applyAlignment="1" applyProtection="1">
      <alignment vertical="center" wrapText="1"/>
      <protection locked="0"/>
    </xf>
    <xf numFmtId="173" fontId="40" fillId="0" borderId="83" xfId="71" applyNumberFormat="1" applyFont="1" applyBorder="1" applyAlignment="1" applyProtection="1">
      <alignment vertical="center" wrapText="1"/>
      <protection locked="0"/>
    </xf>
    <xf numFmtId="173" fontId="40" fillId="0" borderId="84" xfId="0" applyNumberFormat="1" applyFont="1" applyBorder="1" applyAlignment="1" applyProtection="1">
      <alignment vertical="center" wrapText="1"/>
      <protection locked="0"/>
    </xf>
    <xf numFmtId="173" fontId="40" fillId="0" borderId="83" xfId="0" applyNumberFormat="1" applyFont="1" applyBorder="1" applyAlignment="1" applyProtection="1">
      <alignment vertical="center" wrapText="1"/>
      <protection locked="0"/>
    </xf>
    <xf numFmtId="10" fontId="40" fillId="0" borderId="83" xfId="71" applyNumberFormat="1" applyFont="1" applyBorder="1" applyAlignment="1" applyProtection="1">
      <alignment horizontal="center" vertical="center" wrapText="1"/>
      <protection locked="0"/>
    </xf>
    <xf numFmtId="173" fontId="39" fillId="0" borderId="83" xfId="0" applyNumberFormat="1" applyFont="1" applyBorder="1" applyAlignment="1" applyProtection="1">
      <alignment horizontal="left" vertical="center" wrapText="1"/>
      <protection locked="0"/>
    </xf>
    <xf numFmtId="173" fontId="39" fillId="0" borderId="83" xfId="45" applyNumberFormat="1" applyFont="1" applyBorder="1" applyAlignment="1" applyProtection="1">
      <alignment vertical="center" wrapText="1"/>
      <protection locked="0"/>
    </xf>
    <xf numFmtId="173" fontId="39" fillId="0" borderId="84" xfId="0" applyNumberFormat="1" applyFont="1" applyBorder="1" applyAlignment="1" applyProtection="1">
      <alignment horizontal="left" vertical="center" wrapText="1"/>
      <protection locked="0"/>
    </xf>
    <xf numFmtId="173" fontId="40" fillId="0" borderId="85" xfId="0" applyNumberFormat="1" applyFont="1" applyBorder="1" applyAlignment="1" applyProtection="1">
      <alignment vertical="center" wrapText="1"/>
      <protection locked="0"/>
    </xf>
    <xf numFmtId="173" fontId="40" fillId="0" borderId="85" xfId="71" applyNumberFormat="1" applyFont="1" applyBorder="1" applyAlignment="1" applyProtection="1">
      <alignment vertical="center" wrapText="1"/>
      <protection locked="0"/>
    </xf>
    <xf numFmtId="173" fontId="40" fillId="0" borderId="86" xfId="0" applyNumberFormat="1" applyFont="1" applyBorder="1" applyAlignment="1" applyProtection="1">
      <alignment vertical="center" wrapText="1"/>
      <protection locked="0"/>
    </xf>
    <xf numFmtId="173" fontId="39" fillId="0" borderId="87" xfId="0" applyNumberFormat="1" applyFont="1" applyBorder="1" applyAlignment="1" applyProtection="1">
      <alignment horizontal="left" vertical="center" wrapText="1"/>
      <protection locked="0"/>
    </xf>
    <xf numFmtId="173" fontId="39" fillId="0" borderId="87" xfId="45" applyNumberFormat="1" applyFont="1" applyBorder="1" applyAlignment="1" applyProtection="1">
      <alignment vertical="center" wrapText="1"/>
      <protection locked="0"/>
    </xf>
    <xf numFmtId="173" fontId="39" fillId="0" borderId="88" xfId="0" applyNumberFormat="1" applyFont="1" applyBorder="1" applyAlignment="1" applyProtection="1">
      <alignment horizontal="left" vertical="center" wrapText="1"/>
      <protection locked="0"/>
    </xf>
    <xf numFmtId="174" fontId="39" fillId="0" borderId="83" xfId="45" applyNumberFormat="1" applyFont="1" applyBorder="1" applyAlignment="1" applyProtection="1">
      <alignment vertical="center" wrapText="1"/>
      <protection/>
    </xf>
    <xf numFmtId="173" fontId="40" fillId="0" borderId="17" xfId="45" applyNumberFormat="1" applyFont="1" applyBorder="1" applyAlignment="1" applyProtection="1">
      <alignment vertical="center" wrapText="1"/>
      <protection locked="0"/>
    </xf>
    <xf numFmtId="0" fontId="40" fillId="0" borderId="12" xfId="53" applyFont="1" applyBorder="1" applyAlignment="1" applyProtection="1">
      <alignment horizontal="left" vertical="center" wrapText="1"/>
      <protection locked="0"/>
    </xf>
    <xf numFmtId="0" fontId="40" fillId="0" borderId="12" xfId="53" applyFont="1" applyBorder="1" applyAlignment="1" applyProtection="1">
      <alignment horizontal="center" vertical="center" wrapText="1"/>
      <protection locked="0"/>
    </xf>
    <xf numFmtId="173" fontId="39" fillId="0" borderId="12" xfId="45" applyNumberFormat="1" applyFont="1" applyBorder="1" applyAlignment="1" applyProtection="1">
      <alignment vertical="center"/>
      <protection locked="0"/>
    </xf>
    <xf numFmtId="0" fontId="40" fillId="0" borderId="17" xfId="53" applyFont="1" applyBorder="1" applyAlignment="1" applyProtection="1">
      <alignment vertical="center"/>
      <protection locked="0"/>
    </xf>
    <xf numFmtId="2" fontId="40" fillId="0" borderId="17" xfId="53" applyNumberFormat="1" applyFont="1" applyBorder="1" applyAlignment="1" applyProtection="1">
      <alignment vertical="center"/>
      <protection locked="0"/>
    </xf>
    <xf numFmtId="0" fontId="40" fillId="0" borderId="12" xfId="53" applyFont="1" applyBorder="1" applyAlignment="1" applyProtection="1">
      <alignment vertical="center"/>
      <protection locked="0"/>
    </xf>
    <xf numFmtId="0" fontId="39" fillId="0" borderId="12" xfId="53" applyFont="1" applyBorder="1" applyAlignment="1" applyProtection="1">
      <alignment vertical="center"/>
      <protection locked="0"/>
    </xf>
    <xf numFmtId="0" fontId="40" fillId="0" borderId="20" xfId="53" applyFont="1" applyBorder="1" applyAlignment="1" applyProtection="1">
      <alignment horizontal="center" vertical="center" wrapText="1"/>
      <protection locked="0"/>
    </xf>
    <xf numFmtId="173" fontId="40" fillId="0" borderId="17" xfId="45" applyNumberFormat="1" applyFont="1" applyBorder="1" applyAlignment="1" applyProtection="1">
      <alignment vertical="center" wrapText="1"/>
      <protection/>
    </xf>
    <xf numFmtId="173" fontId="39" fillId="0" borderId="17" xfId="45" applyNumberFormat="1" applyFont="1" applyBorder="1" applyAlignment="1" applyProtection="1">
      <alignment vertical="center"/>
      <protection/>
    </xf>
    <xf numFmtId="173" fontId="40" fillId="0" borderId="19" xfId="45" applyNumberFormat="1" applyFont="1" applyBorder="1" applyAlignment="1" applyProtection="1">
      <alignment vertical="center" wrapText="1"/>
      <protection/>
    </xf>
    <xf numFmtId="4" fontId="40" fillId="0" borderId="17" xfId="58" applyNumberFormat="1" applyFont="1" applyBorder="1" applyAlignment="1" applyProtection="1">
      <alignment vertical="center"/>
      <protection locked="0"/>
    </xf>
    <xf numFmtId="4" fontId="40" fillId="0" borderId="17" xfId="58" applyNumberFormat="1" applyFont="1" applyFill="1" applyBorder="1" applyAlignment="1" applyProtection="1">
      <alignment vertical="center"/>
      <protection locked="0"/>
    </xf>
    <xf numFmtId="4" fontId="40" fillId="0" borderId="17" xfId="68" applyNumberFormat="1" applyFont="1" applyBorder="1" applyAlignment="1" applyProtection="1">
      <alignment horizontal="right" vertical="center"/>
      <protection locked="0"/>
    </xf>
    <xf numFmtId="4" fontId="40" fillId="0" borderId="17" xfId="68" applyNumberFormat="1" applyFont="1" applyFill="1" applyBorder="1" applyAlignment="1" applyProtection="1">
      <alignment horizontal="right" vertical="center"/>
      <protection locked="0"/>
    </xf>
    <xf numFmtId="4" fontId="39" fillId="0" borderId="17" xfId="58" applyNumberFormat="1" applyFont="1" applyFill="1" applyBorder="1" applyAlignment="1" applyProtection="1">
      <alignment vertical="center"/>
      <protection locked="0"/>
    </xf>
    <xf numFmtId="4" fontId="39" fillId="0" borderId="17" xfId="58" applyNumberFormat="1" applyFont="1" applyBorder="1" applyAlignment="1" applyProtection="1">
      <alignment vertical="center"/>
      <protection/>
    </xf>
    <xf numFmtId="4" fontId="40" fillId="0" borderId="17" xfId="58" applyNumberFormat="1" applyFont="1" applyBorder="1" applyAlignment="1" applyProtection="1">
      <alignment vertical="center"/>
      <protection/>
    </xf>
    <xf numFmtId="4" fontId="39" fillId="0" borderId="17" xfId="58" applyNumberFormat="1" applyFont="1" applyFill="1" applyBorder="1" applyAlignment="1" applyProtection="1">
      <alignment vertical="center"/>
      <protection/>
    </xf>
    <xf numFmtId="4" fontId="39" fillId="0" borderId="17" xfId="58" applyNumberFormat="1" applyFont="1" applyBorder="1" applyAlignment="1" applyProtection="1">
      <alignment horizontal="right" vertical="center"/>
      <protection/>
    </xf>
    <xf numFmtId="4" fontId="41" fillId="0" borderId="17" xfId="68" applyNumberFormat="1" applyFont="1" applyFill="1" applyBorder="1" applyAlignment="1" applyProtection="1">
      <alignment horizontal="right" vertical="center"/>
      <protection locked="0"/>
    </xf>
    <xf numFmtId="4" fontId="39" fillId="0" borderId="17" xfId="58" applyNumberFormat="1" applyFont="1" applyFill="1" applyBorder="1" applyAlignment="1" applyProtection="1">
      <alignment horizontal="right" vertical="center"/>
      <protection locked="0"/>
    </xf>
    <xf numFmtId="4" fontId="40" fillId="0" borderId="17" xfId="58" applyNumberFormat="1" applyFont="1" applyFill="1" applyBorder="1" applyAlignment="1" applyProtection="1">
      <alignment horizontal="right" vertical="center"/>
      <protection locked="0"/>
    </xf>
    <xf numFmtId="4" fontId="40" fillId="0" borderId="17" xfId="58" applyNumberFormat="1" applyFont="1" applyFill="1" applyBorder="1" applyAlignment="1" applyProtection="1">
      <alignment horizontal="right" vertical="center"/>
      <protection/>
    </xf>
    <xf numFmtId="174" fontId="39" fillId="0" borderId="83" xfId="45" applyNumberFormat="1" applyFont="1" applyFill="1" applyBorder="1" applyAlignment="1" applyProtection="1">
      <alignment vertical="center" wrapText="1"/>
      <protection/>
    </xf>
    <xf numFmtId="174" fontId="39" fillId="0" borderId="83" xfId="45" applyNumberFormat="1" applyFont="1" applyFill="1" applyBorder="1" applyAlignment="1" applyProtection="1">
      <alignment vertical="center" wrapText="1"/>
      <protection locked="0"/>
    </xf>
    <xf numFmtId="173" fontId="39" fillId="0" borderId="83" xfId="45" applyNumberFormat="1" applyFont="1" applyFill="1" applyBorder="1" applyAlignment="1" applyProtection="1">
      <alignment vertical="center" wrapText="1"/>
      <protection/>
    </xf>
    <xf numFmtId="174" fontId="39" fillId="0" borderId="87" xfId="45" applyNumberFormat="1" applyFont="1" applyFill="1" applyBorder="1" applyAlignment="1" applyProtection="1">
      <alignment vertical="center" wrapText="1"/>
      <protection/>
    </xf>
    <xf numFmtId="174" fontId="39" fillId="0" borderId="87" xfId="45" applyNumberFormat="1" applyFont="1" applyFill="1" applyBorder="1" applyAlignment="1" applyProtection="1">
      <alignment vertical="center" wrapText="1"/>
      <protection locked="0"/>
    </xf>
    <xf numFmtId="173" fontId="39" fillId="0" borderId="87" xfId="45" applyNumberFormat="1" applyFont="1" applyFill="1" applyBorder="1" applyAlignment="1" applyProtection="1">
      <alignment vertical="center" wrapText="1"/>
      <protection/>
    </xf>
    <xf numFmtId="173" fontId="39" fillId="0" borderId="17" xfId="45" applyNumberFormat="1" applyFont="1" applyFill="1" applyBorder="1" applyAlignment="1" applyProtection="1">
      <alignment vertical="center"/>
      <protection/>
    </xf>
    <xf numFmtId="0" fontId="40" fillId="0" borderId="17" xfId="64" applyNumberFormat="1" applyFont="1" applyFill="1" applyBorder="1" applyAlignment="1">
      <alignment horizontal="right" vertical="center" wrapText="1"/>
      <protection/>
    </xf>
    <xf numFmtId="0" fontId="40" fillId="0" borderId="48" xfId="64" applyNumberFormat="1" applyFont="1" applyFill="1" applyBorder="1" applyAlignment="1">
      <alignment horizontal="right" vertical="center" wrapText="1"/>
      <protection/>
    </xf>
    <xf numFmtId="43" fontId="39" fillId="0" borderId="73" xfId="0" applyNumberFormat="1" applyFont="1" applyBorder="1" applyAlignment="1" applyProtection="1">
      <alignment horizontal="center" vertical="center" wrapText="1"/>
      <protection locked="0"/>
    </xf>
    <xf numFmtId="43" fontId="39" fillId="0" borderId="13" xfId="0" applyNumberFormat="1" applyFont="1" applyBorder="1" applyAlignment="1" applyProtection="1">
      <alignment horizontal="center" vertical="center" wrapText="1"/>
      <protection locked="0"/>
    </xf>
    <xf numFmtId="43" fontId="39" fillId="0" borderId="17" xfId="0" applyNumberFormat="1" applyFont="1" applyBorder="1" applyAlignment="1" applyProtection="1">
      <alignment horizontal="center" vertical="center" wrapText="1"/>
      <protection locked="0"/>
    </xf>
    <xf numFmtId="43" fontId="39" fillId="0" borderId="12" xfId="0" applyNumberFormat="1" applyFont="1" applyBorder="1" applyAlignment="1" applyProtection="1">
      <alignment horizontal="center" vertical="center" wrapText="1"/>
      <protection locked="0"/>
    </xf>
    <xf numFmtId="43" fontId="39" fillId="26" borderId="52" xfId="66" applyNumberFormat="1" applyFont="1" applyFill="1" applyBorder="1" applyAlignment="1" applyProtection="1">
      <alignment vertical="center"/>
      <protection locked="0"/>
    </xf>
    <xf numFmtId="43" fontId="39" fillId="26" borderId="53" xfId="66" applyNumberFormat="1" applyFont="1" applyFill="1" applyBorder="1" applyAlignment="1" applyProtection="1">
      <alignment vertical="center"/>
      <protection locked="0"/>
    </xf>
    <xf numFmtId="173" fontId="40" fillId="0" borderId="73" xfId="66" applyNumberFormat="1" applyFont="1" applyBorder="1" applyAlignment="1" applyProtection="1">
      <alignment vertical="center" wrapText="1"/>
      <protection locked="0"/>
    </xf>
    <xf numFmtId="173" fontId="40" fillId="0" borderId="13" xfId="66" applyNumberFormat="1" applyFont="1" applyBorder="1" applyAlignment="1" applyProtection="1">
      <alignment vertical="center" wrapText="1"/>
      <protection locked="0"/>
    </xf>
    <xf numFmtId="173" fontId="40" fillId="0" borderId="19" xfId="66" applyNumberFormat="1" applyFont="1" applyBorder="1" applyAlignment="1" applyProtection="1">
      <alignment vertical="center" wrapText="1"/>
      <protection locked="0"/>
    </xf>
    <xf numFmtId="173" fontId="40" fillId="0" borderId="89" xfId="66" applyNumberFormat="1" applyFont="1" applyBorder="1" applyAlignment="1" applyProtection="1">
      <alignment vertical="center" wrapText="1"/>
      <protection locked="0"/>
    </xf>
    <xf numFmtId="43" fontId="39" fillId="0" borderId="17" xfId="0" applyNumberFormat="1" applyFont="1" applyBorder="1" applyAlignment="1" applyProtection="1">
      <alignment horizontal="center" vertical="center" wrapText="1"/>
      <protection/>
    </xf>
    <xf numFmtId="43" fontId="39" fillId="16" borderId="19" xfId="0" applyNumberFormat="1" applyFont="1" applyFill="1" applyBorder="1" applyAlignment="1" applyProtection="1">
      <alignment horizontal="center" vertical="center" wrapText="1"/>
      <protection/>
    </xf>
    <xf numFmtId="43" fontId="39" fillId="16" borderId="20" xfId="0" applyNumberFormat="1" applyFont="1" applyFill="1" applyBorder="1" applyAlignment="1" applyProtection="1">
      <alignment horizontal="center" vertical="center" wrapText="1"/>
      <protection/>
    </xf>
    <xf numFmtId="43" fontId="39" fillId="0" borderId="52" xfId="0" applyNumberFormat="1" applyFont="1" applyFill="1" applyBorder="1" applyAlignment="1" applyProtection="1">
      <alignment horizontal="center" vertical="center" wrapText="1"/>
      <protection/>
    </xf>
    <xf numFmtId="43" fontId="39" fillId="0" borderId="53" xfId="0" applyNumberFormat="1" applyFont="1" applyFill="1" applyBorder="1" applyAlignment="1" applyProtection="1">
      <alignment horizontal="center" vertical="center" wrapText="1"/>
      <protection/>
    </xf>
    <xf numFmtId="43" fontId="39" fillId="0" borderId="73" xfId="0" applyNumberFormat="1" applyFont="1" applyBorder="1" applyAlignment="1" applyProtection="1">
      <alignment horizontal="center" vertical="center" wrapText="1"/>
      <protection/>
    </xf>
    <xf numFmtId="43" fontId="39" fillId="0" borderId="11" xfId="0" applyNumberFormat="1" applyFont="1" applyBorder="1" applyAlignment="1" applyProtection="1">
      <alignment horizontal="center" vertical="center" wrapText="1"/>
      <protection/>
    </xf>
    <xf numFmtId="43" fontId="39" fillId="16" borderId="48" xfId="0" applyNumberFormat="1" applyFont="1" applyFill="1" applyBorder="1" applyAlignment="1" applyProtection="1">
      <alignment horizontal="center" vertical="center" wrapText="1"/>
      <protection/>
    </xf>
    <xf numFmtId="43" fontId="39" fillId="16" borderId="25" xfId="0" applyNumberFormat="1" applyFont="1" applyFill="1" applyBorder="1" applyAlignment="1" applyProtection="1">
      <alignment horizontal="center" vertical="center" wrapText="1"/>
      <protection/>
    </xf>
    <xf numFmtId="43" fontId="39" fillId="16" borderId="80" xfId="0" applyNumberFormat="1" applyFont="1" applyFill="1" applyBorder="1" applyAlignment="1" applyProtection="1">
      <alignment horizontal="center" vertical="center" wrapText="1"/>
      <protection/>
    </xf>
    <xf numFmtId="43" fontId="39" fillId="16" borderId="49" xfId="0" applyNumberFormat="1" applyFont="1" applyFill="1" applyBorder="1" applyAlignment="1" applyProtection="1">
      <alignment horizontal="center" vertical="center" wrapText="1"/>
      <protection/>
    </xf>
    <xf numFmtId="0" fontId="40" fillId="0" borderId="77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vertical="center"/>
      <protection locked="0"/>
    </xf>
    <xf numFmtId="43" fontId="40" fillId="0" borderId="11" xfId="0" applyNumberFormat="1" applyFont="1" applyBorder="1" applyAlignment="1" applyProtection="1">
      <alignment vertical="center"/>
      <protection locked="0"/>
    </xf>
    <xf numFmtId="43" fontId="40" fillId="0" borderId="14" xfId="0" applyNumberFormat="1" applyFont="1" applyBorder="1" applyAlignment="1" applyProtection="1">
      <alignment vertical="center"/>
      <protection locked="0"/>
    </xf>
    <xf numFmtId="43" fontId="40" fillId="0" borderId="77" xfId="0" applyNumberFormat="1" applyFont="1" applyBorder="1" applyAlignment="1" applyProtection="1">
      <alignment vertical="center"/>
      <protection locked="0"/>
    </xf>
    <xf numFmtId="0" fontId="40" fillId="0" borderId="65" xfId="0" applyFont="1" applyBorder="1" applyAlignment="1" applyProtection="1">
      <alignment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43" fontId="40" fillId="0" borderId="17" xfId="0" applyNumberFormat="1" applyFont="1" applyBorder="1" applyAlignment="1" applyProtection="1">
      <alignment vertical="center"/>
      <protection locked="0"/>
    </xf>
    <xf numFmtId="43" fontId="40" fillId="0" borderId="12" xfId="0" applyNumberFormat="1" applyFont="1" applyBorder="1" applyAlignment="1" applyProtection="1">
      <alignment vertical="center"/>
      <protection locked="0"/>
    </xf>
    <xf numFmtId="43" fontId="40" fillId="0" borderId="65" xfId="0" applyNumberFormat="1" applyFont="1" applyBorder="1" applyAlignment="1" applyProtection="1">
      <alignment vertical="center"/>
      <protection locked="0"/>
    </xf>
    <xf numFmtId="0" fontId="40" fillId="0" borderId="58" xfId="0" applyFont="1" applyBorder="1" applyAlignment="1" applyProtection="1">
      <alignment vertical="center"/>
      <protection locked="0"/>
    </xf>
    <xf numFmtId="0" fontId="40" fillId="0" borderId="19" xfId="0" applyFont="1" applyBorder="1" applyAlignment="1" applyProtection="1">
      <alignment vertical="center"/>
      <protection locked="0"/>
    </xf>
    <xf numFmtId="43" fontId="40" fillId="0" borderId="19" xfId="0" applyNumberFormat="1" applyFont="1" applyBorder="1" applyAlignment="1" applyProtection="1">
      <alignment vertical="center"/>
      <protection locked="0"/>
    </xf>
    <xf numFmtId="43" fontId="40" fillId="0" borderId="20" xfId="0" applyNumberFormat="1" applyFont="1" applyBorder="1" applyAlignment="1" applyProtection="1">
      <alignment vertical="center"/>
      <protection locked="0"/>
    </xf>
    <xf numFmtId="43" fontId="40" fillId="0" borderId="58" xfId="0" applyNumberFormat="1" applyFont="1" applyBorder="1" applyAlignment="1" applyProtection="1">
      <alignment vertical="center"/>
      <protection locked="0"/>
    </xf>
    <xf numFmtId="0" fontId="39" fillId="2" borderId="51" xfId="63" applyFont="1" applyFill="1" applyBorder="1" applyAlignment="1" applyProtection="1">
      <alignment horizontal="left" vertical="center" wrapText="1"/>
      <protection/>
    </xf>
    <xf numFmtId="0" fontId="40" fillId="0" borderId="52" xfId="63" applyFont="1" applyBorder="1" applyAlignment="1" applyProtection="1">
      <alignment vertical="center"/>
      <protection/>
    </xf>
    <xf numFmtId="0" fontId="39" fillId="0" borderId="52" xfId="63" applyFont="1" applyBorder="1" applyAlignment="1" applyProtection="1">
      <alignment horizontal="center" vertical="center"/>
      <protection/>
    </xf>
    <xf numFmtId="0" fontId="39" fillId="0" borderId="47" xfId="63" applyFont="1" applyBorder="1" applyAlignment="1" applyProtection="1">
      <alignment horizontal="center" vertical="center"/>
      <protection/>
    </xf>
    <xf numFmtId="0" fontId="39" fillId="0" borderId="90" xfId="63" applyFont="1" applyBorder="1" applyAlignment="1" applyProtection="1">
      <alignment vertical="center"/>
      <protection/>
    </xf>
    <xf numFmtId="0" fontId="40" fillId="0" borderId="59" xfId="63" applyFont="1" applyBorder="1" applyAlignment="1" applyProtection="1">
      <alignment vertical="center"/>
      <protection/>
    </xf>
    <xf numFmtId="4" fontId="40" fillId="28" borderId="91" xfId="63" applyNumberFormat="1" applyFont="1" applyFill="1" applyBorder="1" applyAlignment="1" applyProtection="1">
      <alignment horizontal="center" vertical="center"/>
      <protection/>
    </xf>
    <xf numFmtId="173" fontId="48" fillId="7" borderId="92" xfId="44" applyNumberFormat="1" applyFont="1" applyBorder="1" applyAlignment="1" applyProtection="1">
      <alignment horizontal="right" vertical="center"/>
      <protection/>
    </xf>
    <xf numFmtId="173" fontId="48" fillId="7" borderId="93" xfId="44" applyNumberFormat="1" applyFont="1" applyBorder="1" applyAlignment="1" applyProtection="1">
      <alignment horizontal="right" vertical="center"/>
      <protection/>
    </xf>
    <xf numFmtId="4" fontId="40" fillId="28" borderId="54" xfId="63" applyNumberFormat="1" applyFont="1" applyFill="1" applyBorder="1" applyAlignment="1" applyProtection="1">
      <alignment horizontal="center" vertical="center"/>
      <protection/>
    </xf>
    <xf numFmtId="4" fontId="40" fillId="28" borderId="59" xfId="63" applyNumberFormat="1" applyFont="1" applyFill="1" applyBorder="1" applyAlignment="1" applyProtection="1">
      <alignment horizontal="center" vertical="center"/>
      <protection/>
    </xf>
    <xf numFmtId="4" fontId="40" fillId="28" borderId="38" xfId="63" applyNumberFormat="1" applyFont="1" applyFill="1" applyBorder="1" applyAlignment="1" applyProtection="1">
      <alignment horizontal="center" vertical="center"/>
      <protection/>
    </xf>
    <xf numFmtId="0" fontId="40" fillId="0" borderId="11" xfId="63" applyFont="1" applyBorder="1" applyAlignment="1" applyProtection="1">
      <alignment vertical="center"/>
      <protection/>
    </xf>
    <xf numFmtId="0" fontId="40" fillId="0" borderId="66" xfId="63" applyFont="1" applyBorder="1" applyAlignment="1" applyProtection="1">
      <alignment vertical="center"/>
      <protection/>
    </xf>
    <xf numFmtId="0" fontId="39" fillId="0" borderId="50" xfId="63" applyFont="1" applyBorder="1" applyAlignment="1" applyProtection="1">
      <alignment vertical="center"/>
      <protection/>
    </xf>
    <xf numFmtId="0" fontId="40" fillId="0" borderId="94" xfId="63" applyFont="1" applyBorder="1" applyAlignment="1" applyProtection="1">
      <alignment vertical="center"/>
      <protection/>
    </xf>
    <xf numFmtId="4" fontId="40" fillId="28" borderId="50" xfId="63" applyNumberFormat="1" applyFont="1" applyFill="1" applyBorder="1" applyAlignment="1" applyProtection="1">
      <alignment horizontal="center" vertical="center"/>
      <protection/>
    </xf>
    <xf numFmtId="0" fontId="40" fillId="0" borderId="77" xfId="63" applyFont="1" applyBorder="1" applyAlignment="1" applyProtection="1">
      <alignment horizontal="left" vertical="center" wrapText="1"/>
      <protection/>
    </xf>
    <xf numFmtId="0" fontId="40" fillId="0" borderId="57" xfId="63" applyFont="1" applyBorder="1" applyAlignment="1" applyProtection="1">
      <alignment vertical="center"/>
      <protection/>
    </xf>
    <xf numFmtId="0" fontId="39" fillId="0" borderId="95" xfId="63" applyFont="1" applyBorder="1" applyAlignment="1" applyProtection="1">
      <alignment vertical="center"/>
      <protection/>
    </xf>
    <xf numFmtId="0" fontId="40" fillId="0" borderId="96" xfId="63" applyFont="1" applyBorder="1" applyAlignment="1" applyProtection="1">
      <alignment vertical="center"/>
      <protection/>
    </xf>
    <xf numFmtId="0" fontId="39" fillId="0" borderId="97" xfId="63" applyFont="1" applyFill="1" applyBorder="1" applyAlignment="1" applyProtection="1">
      <alignment horizontal="center" vertical="center"/>
      <protection/>
    </xf>
    <xf numFmtId="4" fontId="40" fillId="28" borderId="52" xfId="63" applyNumberFormat="1" applyFont="1" applyFill="1" applyBorder="1" applyAlignment="1" applyProtection="1">
      <alignment horizontal="center" vertical="center"/>
      <protection/>
    </xf>
    <xf numFmtId="173" fontId="49" fillId="7" borderId="98" xfId="44" applyNumberFormat="1" applyFont="1" applyBorder="1" applyAlignment="1" applyProtection="1">
      <alignment horizontal="center" vertical="center"/>
      <protection/>
    </xf>
    <xf numFmtId="4" fontId="40" fillId="28" borderId="53" xfId="63" applyNumberFormat="1" applyFont="1" applyFill="1" applyBorder="1" applyAlignment="1" applyProtection="1">
      <alignment horizontal="center" vertical="center"/>
      <protection/>
    </xf>
    <xf numFmtId="0" fontId="39" fillId="0" borderId="50" xfId="63" applyFont="1" applyBorder="1" applyAlignment="1" applyProtection="1">
      <alignment horizontal="center" vertical="center"/>
      <protection/>
    </xf>
    <xf numFmtId="4" fontId="40" fillId="29" borderId="52" xfId="63" applyNumberFormat="1" applyFont="1" applyFill="1" applyBorder="1" applyAlignment="1" applyProtection="1">
      <alignment horizontal="center" vertical="center"/>
      <protection/>
    </xf>
    <xf numFmtId="0" fontId="39" fillId="14" borderId="51" xfId="63" applyFont="1" applyFill="1" applyBorder="1" applyAlignment="1" applyProtection="1">
      <alignment horizontal="left" vertical="center" wrapText="1"/>
      <protection/>
    </xf>
    <xf numFmtId="173" fontId="39" fillId="0" borderId="53" xfId="63" applyNumberFormat="1" applyFont="1" applyBorder="1" applyAlignment="1" applyProtection="1">
      <alignment horizontal="right" vertical="center"/>
      <protection/>
    </xf>
    <xf numFmtId="0" fontId="40" fillId="0" borderId="99" xfId="63" applyFont="1" applyBorder="1" applyAlignment="1" applyProtection="1">
      <alignment vertical="center"/>
      <protection locked="0"/>
    </xf>
    <xf numFmtId="0" fontId="40" fillId="0" borderId="11" xfId="63" applyFont="1" applyBorder="1" applyAlignment="1" applyProtection="1">
      <alignment vertical="center"/>
      <protection locked="0"/>
    </xf>
    <xf numFmtId="0" fontId="40" fillId="0" borderId="66" xfId="63" applyFont="1" applyBorder="1" applyAlignment="1" applyProtection="1">
      <alignment vertical="center"/>
      <protection locked="0"/>
    </xf>
    <xf numFmtId="0" fontId="40" fillId="0" borderId="58" xfId="63" applyFont="1" applyBorder="1" applyAlignment="1" applyProtection="1">
      <alignment vertical="center"/>
      <protection locked="0"/>
    </xf>
    <xf numFmtId="0" fontId="40" fillId="0" borderId="59" xfId="63" applyFont="1" applyBorder="1" applyAlignment="1" applyProtection="1">
      <alignment vertical="center"/>
      <protection locked="0"/>
    </xf>
    <xf numFmtId="0" fontId="40" fillId="0" borderId="57" xfId="63" applyFont="1" applyBorder="1" applyAlignment="1" applyProtection="1">
      <alignment vertical="center"/>
      <protection locked="0"/>
    </xf>
    <xf numFmtId="14" fontId="40" fillId="0" borderId="17" xfId="64" applyNumberFormat="1" applyFont="1" applyFill="1" applyBorder="1" applyAlignment="1">
      <alignment horizontal="center" vertical="center" wrapText="1"/>
      <protection/>
    </xf>
    <xf numFmtId="4" fontId="40" fillId="0" borderId="22" xfId="0" applyNumberFormat="1" applyFont="1" applyBorder="1" applyAlignment="1">
      <alignment vertical="center"/>
    </xf>
    <xf numFmtId="4" fontId="39" fillId="0" borderId="19" xfId="0" applyNumberFormat="1" applyFont="1" applyBorder="1" applyAlignment="1">
      <alignment horizontal="right" vertical="center"/>
    </xf>
    <xf numFmtId="0" fontId="40" fillId="0" borderId="79" xfId="63" applyFont="1" applyBorder="1" applyAlignment="1" applyProtection="1">
      <alignment vertical="center"/>
      <protection locked="0"/>
    </xf>
    <xf numFmtId="0" fontId="40" fillId="0" borderId="73" xfId="63" applyFont="1" applyBorder="1" applyAlignment="1" applyProtection="1">
      <alignment vertical="center"/>
      <protection locked="0"/>
    </xf>
    <xf numFmtId="4" fontId="40" fillId="26" borderId="73" xfId="63" applyNumberFormat="1" applyFont="1" applyFill="1" applyBorder="1" applyAlignment="1" applyProtection="1">
      <alignment horizontal="center" vertical="center"/>
      <protection locked="0"/>
    </xf>
    <xf numFmtId="173" fontId="40" fillId="0" borderId="73" xfId="50" applyNumberFormat="1" applyFont="1" applyBorder="1" applyAlignment="1" applyProtection="1">
      <alignment horizontal="right" vertical="center"/>
      <protection locked="0"/>
    </xf>
    <xf numFmtId="173" fontId="40" fillId="0" borderId="73" xfId="50" applyNumberFormat="1" applyFont="1" applyFill="1" applyBorder="1" applyAlignment="1" applyProtection="1">
      <alignment horizontal="right" vertical="center"/>
      <protection locked="0"/>
    </xf>
    <xf numFmtId="0" fontId="40" fillId="0" borderId="17" xfId="63" applyNumberFormat="1" applyFont="1" applyFill="1" applyBorder="1" applyAlignment="1" applyProtection="1">
      <alignment vertical="center"/>
      <protection locked="0"/>
    </xf>
    <xf numFmtId="0" fontId="40" fillId="0" borderId="12" xfId="63" applyNumberFormat="1" applyFont="1" applyFill="1" applyBorder="1" applyAlignment="1" applyProtection="1">
      <alignment vertical="center"/>
      <protection locked="0"/>
    </xf>
    <xf numFmtId="0" fontId="40" fillId="0" borderId="19" xfId="63" applyNumberFormat="1" applyFont="1" applyFill="1" applyBorder="1" applyAlignment="1" applyProtection="1">
      <alignment vertical="center"/>
      <protection locked="0"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173" fontId="40" fillId="0" borderId="11" xfId="0" applyNumberFormat="1" applyFont="1" applyBorder="1" applyAlignment="1" applyProtection="1">
      <alignment vertical="center"/>
      <protection locked="0"/>
    </xf>
    <xf numFmtId="3" fontId="40" fillId="0" borderId="0" xfId="0" applyNumberFormat="1" applyFont="1" applyAlignment="1">
      <alignment vertical="center"/>
    </xf>
    <xf numFmtId="4" fontId="40" fillId="26" borderId="17" xfId="63" applyNumberFormat="1" applyFont="1" applyFill="1" applyBorder="1" applyAlignment="1" applyProtection="1">
      <alignment horizontal="center" vertical="center"/>
      <protection locked="0"/>
    </xf>
    <xf numFmtId="173" fontId="40" fillId="0" borderId="50" xfId="0" applyNumberFormat="1" applyFont="1" applyBorder="1" applyAlignment="1">
      <alignment horizontal="center" vertical="center"/>
    </xf>
    <xf numFmtId="173" fontId="40" fillId="0" borderId="17" xfId="64" applyNumberFormat="1" applyFont="1" applyBorder="1" applyAlignment="1">
      <alignment horizontal="right" vertical="center"/>
      <protection/>
    </xf>
    <xf numFmtId="3" fontId="39" fillId="0" borderId="18" xfId="68" applyNumberFormat="1" applyFont="1" applyFill="1" applyBorder="1" applyAlignment="1">
      <alignment vertical="center" wrapText="1"/>
      <protection/>
    </xf>
    <xf numFmtId="3" fontId="40" fillId="0" borderId="18" xfId="68" applyNumberFormat="1" applyFont="1" applyFill="1" applyBorder="1" applyAlignment="1">
      <alignment vertical="center"/>
      <protection/>
    </xf>
    <xf numFmtId="173" fontId="40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173" fontId="37" fillId="0" borderId="0" xfId="49" applyNumberFormat="1" applyFont="1" applyBorder="1" applyAlignment="1" applyProtection="1">
      <alignment vertical="center"/>
      <protection/>
    </xf>
    <xf numFmtId="2" fontId="40" fillId="0" borderId="0" xfId="0" applyNumberFormat="1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3" fontId="40" fillId="0" borderId="0" xfId="0" applyNumberFormat="1" applyFont="1" applyFill="1" applyAlignment="1">
      <alignment vertical="center"/>
    </xf>
    <xf numFmtId="173" fontId="39" fillId="0" borderId="0" xfId="0" applyNumberFormat="1" applyFont="1" applyFill="1" applyBorder="1" applyAlignment="1" applyProtection="1">
      <alignment horizontal="center" vertical="center"/>
      <protection/>
    </xf>
    <xf numFmtId="173" fontId="40" fillId="0" borderId="0" xfId="0" applyNumberFormat="1" applyFont="1" applyFill="1" applyBorder="1" applyAlignment="1">
      <alignment horizontal="center" vertical="center"/>
    </xf>
    <xf numFmtId="173" fontId="39" fillId="0" borderId="0" xfId="0" applyNumberFormat="1" applyFont="1" applyFill="1" applyBorder="1" applyAlignment="1">
      <alignment vertical="center"/>
    </xf>
    <xf numFmtId="173" fontId="40" fillId="0" borderId="0" xfId="49" applyNumberFormat="1" applyFont="1" applyFill="1" applyBorder="1" applyAlignment="1" applyProtection="1">
      <alignment vertical="center"/>
      <protection/>
    </xf>
    <xf numFmtId="173" fontId="40" fillId="0" borderId="0" xfId="49" applyNumberFormat="1" applyFont="1" applyFill="1" applyBorder="1" applyAlignment="1">
      <alignment vertical="center"/>
    </xf>
    <xf numFmtId="173" fontId="39" fillId="0" borderId="0" xfId="49" applyNumberFormat="1" applyFont="1" applyFill="1" applyBorder="1" applyAlignment="1" applyProtection="1">
      <alignment vertical="center"/>
      <protection/>
    </xf>
    <xf numFmtId="173" fontId="39" fillId="0" borderId="0" xfId="0" applyNumberFormat="1" applyFont="1" applyFill="1" applyBorder="1" applyAlignment="1" applyProtection="1">
      <alignment vertical="center"/>
      <protection/>
    </xf>
    <xf numFmtId="173" fontId="40" fillId="0" borderId="0" xfId="0" applyNumberFormat="1" applyFont="1" applyFill="1" applyBorder="1" applyAlignment="1">
      <alignment vertical="center"/>
    </xf>
    <xf numFmtId="173" fontId="39" fillId="0" borderId="0" xfId="62" applyNumberFormat="1" applyFont="1" applyFill="1" applyBorder="1" applyAlignment="1" applyProtection="1">
      <alignment horizontal="center" vertical="center" wrapText="1"/>
      <protection/>
    </xf>
    <xf numFmtId="173" fontId="40" fillId="0" borderId="0" xfId="62" applyNumberFormat="1" applyFont="1" applyFill="1" applyBorder="1" applyAlignment="1">
      <alignment horizontal="center" vertical="center" wrapText="1"/>
      <protection/>
    </xf>
    <xf numFmtId="0" fontId="40" fillId="0" borderId="66" xfId="63" applyFont="1" applyFill="1" applyBorder="1" applyAlignment="1" applyProtection="1">
      <alignment vertical="center"/>
      <protection locked="0"/>
    </xf>
    <xf numFmtId="0" fontId="40" fillId="0" borderId="11" xfId="63" applyFont="1" applyFill="1" applyBorder="1" applyAlignment="1" applyProtection="1">
      <alignment vertical="center"/>
      <protection locked="0"/>
    </xf>
    <xf numFmtId="4" fontId="40" fillId="0" borderId="11" xfId="63" applyNumberFormat="1" applyFont="1" applyFill="1" applyBorder="1" applyAlignment="1" applyProtection="1">
      <alignment horizontal="center" vertical="center"/>
      <protection locked="0"/>
    </xf>
    <xf numFmtId="173" fontId="40" fillId="0" borderId="17" xfId="50" applyNumberFormat="1" applyFont="1" applyFill="1" applyBorder="1" applyAlignment="1" applyProtection="1">
      <alignment horizontal="right" vertical="center"/>
      <protection locked="0"/>
    </xf>
    <xf numFmtId="2" fontId="40" fillId="0" borderId="0" xfId="63" applyNumberFormat="1" applyFont="1" applyAlignment="1">
      <alignment vertical="center"/>
      <protection/>
    </xf>
    <xf numFmtId="0" fontId="40" fillId="0" borderId="70" xfId="53" applyFont="1" applyFill="1" applyBorder="1" applyAlignment="1">
      <alignment horizontal="left" vertical="center" wrapText="1"/>
      <protection/>
    </xf>
    <xf numFmtId="173" fontId="40" fillId="0" borderId="100" xfId="0" applyNumberFormat="1" applyFont="1" applyFill="1" applyBorder="1" applyAlignment="1">
      <alignment vertical="center"/>
    </xf>
    <xf numFmtId="0" fontId="40" fillId="0" borderId="101" xfId="53" applyFont="1" applyFill="1" applyBorder="1" applyAlignment="1">
      <alignment horizontal="left" vertical="center" wrapText="1"/>
      <protection/>
    </xf>
    <xf numFmtId="173" fontId="40" fillId="0" borderId="63" xfId="0" applyNumberFormat="1" applyFont="1" applyFill="1" applyBorder="1" applyAlignment="1">
      <alignment vertical="center"/>
    </xf>
    <xf numFmtId="0" fontId="40" fillId="0" borderId="71" xfId="53" applyFont="1" applyFill="1" applyBorder="1" applyAlignment="1">
      <alignment horizontal="left" vertical="center" wrapText="1"/>
      <protection/>
    </xf>
    <xf numFmtId="173" fontId="40" fillId="0" borderId="89" xfId="0" applyNumberFormat="1" applyFont="1" applyFill="1" applyBorder="1" applyAlignment="1">
      <alignment vertical="center"/>
    </xf>
    <xf numFmtId="0" fontId="40" fillId="0" borderId="68" xfId="0" applyFont="1" applyFill="1" applyBorder="1" applyAlignment="1">
      <alignment vertical="center"/>
    </xf>
    <xf numFmtId="173" fontId="40" fillId="0" borderId="68" xfId="0" applyNumberFormat="1" applyFont="1" applyFill="1" applyBorder="1" applyAlignment="1">
      <alignment vertical="center"/>
    </xf>
    <xf numFmtId="0" fontId="40" fillId="0" borderId="50" xfId="0" applyFont="1" applyFill="1" applyBorder="1" applyAlignment="1">
      <alignment vertical="center" wrapText="1"/>
    </xf>
    <xf numFmtId="173" fontId="40" fillId="0" borderId="50" xfId="0" applyNumberFormat="1" applyFont="1" applyFill="1" applyBorder="1" applyAlignment="1">
      <alignment vertical="center"/>
    </xf>
    <xf numFmtId="173" fontId="40" fillId="0" borderId="17" xfId="45" applyNumberFormat="1" applyFont="1" applyFill="1" applyBorder="1" applyAlignment="1" applyProtection="1">
      <alignment vertical="center" wrapText="1"/>
      <protection locked="0"/>
    </xf>
    <xf numFmtId="173" fontId="40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39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0" fillId="0" borderId="61" xfId="63" applyNumberFormat="1" applyFont="1" applyFill="1" applyBorder="1" applyAlignment="1" applyProtection="1">
      <alignment horizontal="center" vertical="center"/>
      <protection locked="0"/>
    </xf>
    <xf numFmtId="0" fontId="40" fillId="0" borderId="25" xfId="63" applyNumberFormat="1" applyFont="1" applyFill="1" applyBorder="1" applyAlignment="1" applyProtection="1">
      <alignment horizontal="center" vertical="center"/>
      <protection locked="0"/>
    </xf>
    <xf numFmtId="173" fontId="39" fillId="0" borderId="102" xfId="63" applyNumberFormat="1" applyFont="1" applyFill="1" applyBorder="1" applyAlignment="1" applyProtection="1">
      <alignment horizontal="right" vertical="center"/>
      <protection/>
    </xf>
    <xf numFmtId="173" fontId="39" fillId="0" borderId="53" xfId="63" applyNumberFormat="1" applyFont="1" applyFill="1" applyBorder="1" applyAlignment="1" applyProtection="1">
      <alignment horizontal="right" vertical="center"/>
      <protection/>
    </xf>
    <xf numFmtId="173" fontId="39" fillId="0" borderId="96" xfId="63" applyNumberFormat="1" applyFont="1" applyFill="1" applyBorder="1" applyAlignment="1" applyProtection="1">
      <alignment vertical="center"/>
      <protection/>
    </xf>
    <xf numFmtId="173" fontId="39" fillId="0" borderId="59" xfId="63" applyNumberFormat="1" applyFont="1" applyFill="1" applyBorder="1" applyAlignment="1" applyProtection="1">
      <alignment horizontal="right" vertical="center"/>
      <protection/>
    </xf>
    <xf numFmtId="173" fontId="39" fillId="0" borderId="52" xfId="63" applyNumberFormat="1" applyFont="1" applyFill="1" applyBorder="1" applyAlignment="1" applyProtection="1">
      <alignment horizontal="right" vertical="center"/>
      <protection/>
    </xf>
    <xf numFmtId="0" fontId="40" fillId="0" borderId="65" xfId="0" applyFont="1" applyFill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0" fillId="0" borderId="12" xfId="0" applyNumberFormat="1" applyFont="1" applyFill="1" applyBorder="1" applyAlignment="1" applyProtection="1">
      <alignment horizontal="right" vertical="center"/>
      <protection locked="0"/>
    </xf>
    <xf numFmtId="0" fontId="39" fillId="0" borderId="65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40" fillId="0" borderId="65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>
      <alignment horizontal="center" vertical="center"/>
    </xf>
    <xf numFmtId="43" fontId="39" fillId="0" borderId="12" xfId="0" applyNumberFormat="1" applyFont="1" applyBorder="1" applyAlignment="1" applyProtection="1">
      <alignment horizontal="center" vertical="center" wrapText="1"/>
      <protection/>
    </xf>
    <xf numFmtId="43" fontId="39" fillId="0" borderId="14" xfId="0" applyNumberFormat="1" applyFont="1" applyBorder="1" applyAlignment="1" applyProtection="1">
      <alignment horizontal="center" vertical="center" wrapText="1"/>
      <protection/>
    </xf>
    <xf numFmtId="4" fontId="40" fillId="0" borderId="64" xfId="0" applyNumberFormat="1" applyFont="1" applyBorder="1" applyAlignment="1" applyProtection="1">
      <alignment horizontal="right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  <protection locked="0"/>
    </xf>
    <xf numFmtId="4" fontId="42" fillId="22" borderId="0" xfId="58" applyNumberFormat="1" applyFont="1" applyFill="1" applyBorder="1" applyAlignment="1">
      <alignment horizontal="left" vertical="center"/>
      <protection/>
    </xf>
    <xf numFmtId="0" fontId="40" fillId="22" borderId="0" xfId="58" applyFont="1" applyFill="1" applyAlignment="1">
      <alignment vertical="center"/>
      <protection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4" xfId="0" applyFont="1" applyFill="1" applyBorder="1" applyAlignment="1" applyProtection="1">
      <alignment horizontal="center" vertical="center"/>
      <protection locked="0"/>
    </xf>
    <xf numFmtId="0" fontId="59" fillId="0" borderId="73" xfId="0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0" fillId="0" borderId="0" xfId="0" applyFont="1" applyBorder="1" applyAlignment="1">
      <alignment vertical="center" wrapText="1"/>
    </xf>
    <xf numFmtId="0" fontId="6" fillId="8" borderId="13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39" fillId="0" borderId="50" xfId="64" applyNumberFormat="1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2" fontId="55" fillId="0" borderId="15" xfId="61" applyNumberFormat="1" applyFont="1" applyFill="1" applyBorder="1" applyAlignment="1">
      <alignment horizontal="left" vertical="center"/>
      <protection/>
    </xf>
    <xf numFmtId="2" fontId="55" fillId="0" borderId="0" xfId="61" applyNumberFormat="1" applyFont="1" applyFill="1" applyBorder="1" applyAlignment="1">
      <alignment horizontal="left" vertical="center"/>
      <protection/>
    </xf>
    <xf numFmtId="167" fontId="64" fillId="0" borderId="15" xfId="61" applyNumberFormat="1" applyFont="1" applyFill="1" applyBorder="1" applyAlignment="1">
      <alignment horizontal="left" vertical="center"/>
      <protection/>
    </xf>
    <xf numFmtId="0" fontId="65" fillId="0" borderId="15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2" fontId="65" fillId="0" borderId="0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4" fontId="65" fillId="0" borderId="0" xfId="0" applyNumberFormat="1" applyFont="1" applyBorder="1" applyAlignment="1">
      <alignment horizontal="center" vertical="center"/>
    </xf>
    <xf numFmtId="14" fontId="65" fillId="0" borderId="0" xfId="0" applyNumberFormat="1" applyFont="1" applyFill="1" applyBorder="1" applyAlignment="1">
      <alignment horizontal="center" vertical="center"/>
    </xf>
    <xf numFmtId="0" fontId="40" fillId="0" borderId="0" xfId="54" applyFont="1" applyAlignment="1">
      <alignment vertical="center"/>
      <protection/>
    </xf>
    <xf numFmtId="1" fontId="66" fillId="8" borderId="13" xfId="57" applyNumberFormat="1" applyFont="1" applyFill="1" applyBorder="1" applyAlignment="1">
      <alignment horizontal="center" vertical="center"/>
      <protection/>
    </xf>
    <xf numFmtId="0" fontId="39" fillId="0" borderId="58" xfId="54" applyFont="1" applyBorder="1" applyAlignment="1">
      <alignment horizontal="center" vertical="center" wrapText="1"/>
      <protection/>
    </xf>
    <xf numFmtId="0" fontId="39" fillId="0" borderId="19" xfId="54" applyFont="1" applyBorder="1" applyAlignment="1">
      <alignment horizontal="center" vertical="center" wrapText="1"/>
      <protection/>
    </xf>
    <xf numFmtId="0" fontId="39" fillId="0" borderId="20" xfId="54" applyFont="1" applyBorder="1" applyAlignment="1">
      <alignment horizontal="center" vertical="center" wrapText="1"/>
      <protection/>
    </xf>
    <xf numFmtId="0" fontId="39" fillId="0" borderId="15" xfId="54" applyFont="1" applyBorder="1" applyAlignment="1">
      <alignment horizontal="left" vertical="center"/>
      <protection/>
    </xf>
    <xf numFmtId="0" fontId="39" fillId="0" borderId="55" xfId="54" applyFont="1" applyBorder="1" applyAlignment="1">
      <alignment horizontal="left" vertical="center"/>
      <protection/>
    </xf>
    <xf numFmtId="0" fontId="39" fillId="0" borderId="44" xfId="54" applyFont="1" applyBorder="1" applyAlignment="1">
      <alignment horizontal="center" vertical="center" wrapText="1"/>
      <protection/>
    </xf>
    <xf numFmtId="0" fontId="39" fillId="0" borderId="27" xfId="54" applyFont="1" applyBorder="1" applyAlignment="1">
      <alignment horizontal="center" vertical="center" wrapText="1"/>
      <protection/>
    </xf>
    <xf numFmtId="0" fontId="39" fillId="0" borderId="15" xfId="54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40" fillId="0" borderId="26" xfId="54" applyFont="1" applyBorder="1" applyAlignment="1">
      <alignment horizontal="left" vertical="center" wrapText="1"/>
      <protection/>
    </xf>
    <xf numFmtId="0" fontId="39" fillId="0" borderId="26" xfId="54" applyFont="1" applyBorder="1" applyAlignment="1">
      <alignment horizontal="center" vertical="center" wrapText="1"/>
      <protection/>
    </xf>
    <xf numFmtId="0" fontId="40" fillId="0" borderId="0" xfId="54" applyFont="1" applyBorder="1" applyAlignment="1">
      <alignment horizontal="center" vertical="center" wrapText="1"/>
      <protection/>
    </xf>
    <xf numFmtId="0" fontId="40" fillId="0" borderId="0" xfId="54" applyFont="1" applyBorder="1" applyAlignment="1">
      <alignment horizontal="left" vertical="center" wrapText="1"/>
      <protection/>
    </xf>
    <xf numFmtId="173" fontId="39" fillId="0" borderId="20" xfId="50" applyNumberFormat="1" applyFont="1" applyBorder="1" applyAlignment="1">
      <alignment vertical="center"/>
    </xf>
    <xf numFmtId="0" fontId="39" fillId="0" borderId="0" xfId="54" applyFont="1" applyAlignment="1">
      <alignment vertical="center"/>
      <protection/>
    </xf>
    <xf numFmtId="173" fontId="39" fillId="22" borderId="0" xfId="54" applyNumberFormat="1" applyFont="1" applyFill="1" applyBorder="1" applyAlignment="1">
      <alignment vertical="center"/>
      <protection/>
    </xf>
    <xf numFmtId="0" fontId="40" fillId="0" borderId="0" xfId="54" applyFont="1" applyBorder="1" applyAlignment="1" applyProtection="1">
      <alignment vertical="center"/>
      <protection locked="0"/>
    </xf>
    <xf numFmtId="0" fontId="37" fillId="0" borderId="0" xfId="54" applyFont="1" applyAlignment="1">
      <alignment horizontal="center" vertical="center"/>
      <protection/>
    </xf>
    <xf numFmtId="0" fontId="69" fillId="0" borderId="0" xfId="54" applyFont="1" applyAlignment="1">
      <alignment vertical="center"/>
      <protection/>
    </xf>
    <xf numFmtId="0" fontId="45" fillId="0" borderId="0" xfId="54" applyFont="1" applyAlignment="1">
      <alignment vertical="center"/>
      <protection/>
    </xf>
    <xf numFmtId="0" fontId="40" fillId="0" borderId="56" xfId="54" applyFont="1" applyBorder="1" applyAlignment="1">
      <alignment vertical="center" wrapText="1"/>
      <protection/>
    </xf>
    <xf numFmtId="3" fontId="40" fillId="27" borderId="0" xfId="68" applyNumberFormat="1" applyFont="1" applyFill="1" applyBorder="1" applyAlignment="1">
      <alignment vertical="center"/>
      <protection/>
    </xf>
    <xf numFmtId="3" fontId="40" fillId="15" borderId="0" xfId="68" applyNumberFormat="1" applyFont="1" applyFill="1" applyBorder="1" applyAlignment="1">
      <alignment vertical="center"/>
      <protection/>
    </xf>
    <xf numFmtId="3" fontId="40" fillId="7" borderId="0" xfId="68" applyNumberFormat="1" applyFont="1" applyFill="1" applyBorder="1" applyAlignment="1">
      <alignment vertical="center"/>
      <protection/>
    </xf>
    <xf numFmtId="3" fontId="40" fillId="22" borderId="0" xfId="68" applyNumberFormat="1" applyFont="1" applyFill="1" applyBorder="1" applyAlignment="1">
      <alignment vertical="center"/>
      <protection/>
    </xf>
    <xf numFmtId="3" fontId="51" fillId="15" borderId="0" xfId="68" applyNumberFormat="1" applyFont="1" applyFill="1" applyBorder="1" applyAlignment="1">
      <alignment vertical="center"/>
      <protection/>
    </xf>
    <xf numFmtId="173" fontId="39" fillId="26" borderId="18" xfId="50" applyNumberFormat="1" applyFont="1" applyFill="1" applyBorder="1" applyAlignment="1">
      <alignment vertical="center"/>
    </xf>
    <xf numFmtId="173" fontId="40" fillId="0" borderId="61" xfId="50" applyNumberFormat="1" applyFont="1" applyBorder="1" applyAlignment="1" applyProtection="1">
      <alignment vertical="center"/>
      <protection locked="0"/>
    </xf>
    <xf numFmtId="173" fontId="40" fillId="0" borderId="60" xfId="50" applyNumberFormat="1" applyFont="1" applyBorder="1" applyAlignment="1" applyProtection="1">
      <alignment vertical="center"/>
      <protection locked="0"/>
    </xf>
    <xf numFmtId="173" fontId="40" fillId="0" borderId="103" xfId="50" applyNumberFormat="1" applyFont="1" applyBorder="1" applyAlignment="1" applyProtection="1">
      <alignment vertical="center"/>
      <protection locked="0"/>
    </xf>
    <xf numFmtId="173" fontId="40" fillId="0" borderId="104" xfId="50" applyNumberFormat="1" applyFont="1" applyBorder="1" applyAlignment="1" applyProtection="1">
      <alignment vertical="center"/>
      <protection locked="0"/>
    </xf>
    <xf numFmtId="0" fontId="40" fillId="0" borderId="61" xfId="54" applyFont="1" applyBorder="1" applyAlignment="1">
      <alignment vertical="center"/>
      <protection/>
    </xf>
    <xf numFmtId="0" fontId="40" fillId="0" borderId="103" xfId="54" applyFont="1" applyBorder="1" applyAlignment="1">
      <alignment vertical="center"/>
      <protection/>
    </xf>
    <xf numFmtId="4" fontId="39" fillId="26" borderId="18" xfId="50" applyNumberFormat="1" applyFont="1" applyFill="1" applyBorder="1" applyAlignment="1">
      <alignment vertical="center"/>
    </xf>
    <xf numFmtId="0" fontId="39" fillId="0" borderId="62" xfId="54" applyFont="1" applyBorder="1" applyAlignment="1">
      <alignment horizontal="center" vertical="center" wrapText="1"/>
      <protection/>
    </xf>
    <xf numFmtId="173" fontId="40" fillId="0" borderId="105" xfId="50" applyNumberFormat="1" applyFont="1" applyBorder="1" applyAlignment="1" applyProtection="1">
      <alignment vertical="center"/>
      <protection locked="0"/>
    </xf>
    <xf numFmtId="173" fontId="40" fillId="0" borderId="0" xfId="50" applyNumberFormat="1" applyFont="1" applyBorder="1" applyAlignment="1" applyProtection="1">
      <alignment vertical="center"/>
      <protection locked="0"/>
    </xf>
    <xf numFmtId="173" fontId="40" fillId="0" borderId="56" xfId="50" applyNumberFormat="1" applyFont="1" applyBorder="1" applyAlignment="1" applyProtection="1">
      <alignment vertical="center"/>
      <protection locked="0"/>
    </xf>
    <xf numFmtId="3" fontId="40" fillId="11" borderId="0" xfId="68" applyNumberFormat="1" applyFont="1" applyFill="1" applyBorder="1" applyAlignment="1">
      <alignment vertical="center"/>
      <protection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17" fontId="40" fillId="0" borderId="51" xfId="0" applyNumberFormat="1" applyFont="1" applyBorder="1" applyAlignment="1">
      <alignment horizontal="center" vertical="center"/>
    </xf>
    <xf numFmtId="17" fontId="40" fillId="0" borderId="52" xfId="0" applyNumberFormat="1" applyFont="1" applyBorder="1" applyAlignment="1">
      <alignment horizontal="center" vertical="center"/>
    </xf>
    <xf numFmtId="17" fontId="40" fillId="0" borderId="53" xfId="0" applyNumberFormat="1" applyFont="1" applyBorder="1" applyAlignment="1">
      <alignment horizontal="center" vertical="center"/>
    </xf>
    <xf numFmtId="0" fontId="40" fillId="16" borderId="15" xfId="0" applyFont="1" applyFill="1" applyBorder="1" applyAlignment="1">
      <alignment vertical="center"/>
    </xf>
    <xf numFmtId="0" fontId="40" fillId="16" borderId="0" xfId="0" applyFont="1" applyFill="1" applyBorder="1" applyAlignment="1">
      <alignment vertical="center"/>
    </xf>
    <xf numFmtId="0" fontId="40" fillId="16" borderId="22" xfId="0" applyFont="1" applyFill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45" xfId="0" applyFont="1" applyBorder="1" applyAlignment="1">
      <alignment vertical="center"/>
    </xf>
    <xf numFmtId="0" fontId="39" fillId="0" borderId="53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1" fillId="0" borderId="79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1" fillId="0" borderId="80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71" fillId="0" borderId="17" xfId="0" applyFont="1" applyBorder="1" applyAlignment="1">
      <alignment horizontal="center"/>
    </xf>
    <xf numFmtId="0" fontId="75" fillId="0" borderId="0" xfId="0" applyFont="1" applyAlignment="1">
      <alignment/>
    </xf>
    <xf numFmtId="0" fontId="71" fillId="0" borderId="80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65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5" fillId="0" borderId="12" xfId="0" applyFont="1" applyBorder="1" applyAlignment="1">
      <alignment/>
    </xf>
    <xf numFmtId="0" fontId="75" fillId="0" borderId="58" xfId="0" applyFont="1" applyBorder="1" applyAlignment="1">
      <alignment/>
    </xf>
    <xf numFmtId="0" fontId="75" fillId="0" borderId="19" xfId="0" applyFont="1" applyBorder="1" applyAlignment="1">
      <alignment/>
    </xf>
    <xf numFmtId="0" fontId="75" fillId="0" borderId="20" xfId="0" applyFont="1" applyBorder="1" applyAlignment="1">
      <alignment/>
    </xf>
    <xf numFmtId="0" fontId="71" fillId="0" borderId="106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76" fillId="0" borderId="17" xfId="0" applyFont="1" applyBorder="1" applyAlignment="1">
      <alignment wrapText="1"/>
    </xf>
    <xf numFmtId="0" fontId="25" fillId="0" borderId="17" xfId="0" applyFont="1" applyBorder="1" applyAlignment="1">
      <alignment horizontal="right"/>
    </xf>
    <xf numFmtId="4" fontId="25" fillId="0" borderId="17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" fontId="25" fillId="0" borderId="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25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72" xfId="0" applyFont="1" applyBorder="1" applyAlignment="1">
      <alignment/>
    </xf>
    <xf numFmtId="0" fontId="25" fillId="0" borderId="73" xfId="0" applyFont="1" applyBorder="1" applyAlignment="1">
      <alignment/>
    </xf>
    <xf numFmtId="0" fontId="0" fillId="0" borderId="14" xfId="0" applyBorder="1" applyAlignment="1">
      <alignment/>
    </xf>
    <xf numFmtId="0" fontId="25" fillId="0" borderId="65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66" xfId="0" applyFont="1" applyBorder="1" applyAlignment="1">
      <alignment/>
    </xf>
    <xf numFmtId="0" fontId="25" fillId="0" borderId="48" xfId="0" applyFont="1" applyBorder="1" applyAlignment="1">
      <alignment/>
    </xf>
    <xf numFmtId="0" fontId="0" fillId="0" borderId="25" xfId="0" applyBorder="1" applyAlignment="1">
      <alignment/>
    </xf>
    <xf numFmtId="0" fontId="25" fillId="0" borderId="58" xfId="0" applyFont="1" applyBorder="1" applyAlignment="1">
      <alignment/>
    </xf>
    <xf numFmtId="0" fontId="0" fillId="0" borderId="20" xfId="0" applyBorder="1" applyAlignment="1">
      <alignment/>
    </xf>
    <xf numFmtId="0" fontId="25" fillId="0" borderId="51" xfId="0" applyFont="1" applyBorder="1" applyAlignment="1">
      <alignment/>
    </xf>
    <xf numFmtId="4" fontId="40" fillId="0" borderId="0" xfId="0" applyNumberFormat="1" applyFont="1" applyFill="1" applyAlignment="1">
      <alignment vertical="center"/>
    </xf>
    <xf numFmtId="0" fontId="40" fillId="0" borderId="66" xfId="0" applyFont="1" applyBorder="1" applyAlignment="1" applyProtection="1">
      <alignment horizontal="left" vertical="center" wrapText="1"/>
      <protection locked="0"/>
    </xf>
    <xf numFmtId="4" fontId="40" fillId="0" borderId="48" xfId="0" applyNumberFormat="1" applyFont="1" applyBorder="1" applyAlignment="1" applyProtection="1">
      <alignment horizontal="right" vertical="center"/>
      <protection locked="0"/>
    </xf>
    <xf numFmtId="4" fontId="40" fillId="0" borderId="25" xfId="0" applyNumberFormat="1" applyFont="1" applyBorder="1" applyAlignment="1" applyProtection="1">
      <alignment horizontal="right" vertical="center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0" fontId="40" fillId="0" borderId="65" xfId="0" applyFont="1" applyFill="1" applyBorder="1" applyAlignment="1" applyProtection="1">
      <alignment horizontal="left" vertical="center" wrapText="1"/>
      <protection locked="0"/>
    </xf>
    <xf numFmtId="0" fontId="40" fillId="0" borderId="64" xfId="0" applyFont="1" applyBorder="1" applyAlignment="1" applyProtection="1">
      <alignment horizontal="left" vertical="center"/>
      <protection locked="0"/>
    </xf>
    <xf numFmtId="0" fontId="40" fillId="0" borderId="64" xfId="0" applyFont="1" applyBorder="1" applyAlignment="1" applyProtection="1">
      <alignment horizontal="left" vertical="center" wrapText="1"/>
      <protection locked="0"/>
    </xf>
    <xf numFmtId="0" fontId="40" fillId="0" borderId="64" xfId="0" applyFont="1" applyFill="1" applyBorder="1" applyAlignment="1" applyProtection="1">
      <alignment horizontal="left" vertical="center"/>
      <protection locked="0"/>
    </xf>
    <xf numFmtId="0" fontId="39" fillId="0" borderId="51" xfId="0" applyFont="1" applyBorder="1" applyAlignment="1">
      <alignment horizontal="center" vertical="center"/>
    </xf>
    <xf numFmtId="4" fontId="39" fillId="0" borderId="52" xfId="0" applyNumberFormat="1" applyFont="1" applyBorder="1" applyAlignment="1" applyProtection="1">
      <alignment horizontal="right" vertical="center"/>
      <protection/>
    </xf>
    <xf numFmtId="0" fontId="39" fillId="0" borderId="52" xfId="0" applyFont="1" applyBorder="1" applyAlignment="1">
      <alignment horizontal="center" vertical="center"/>
    </xf>
    <xf numFmtId="4" fontId="39" fillId="0" borderId="53" xfId="0" applyNumberFormat="1" applyFont="1" applyBorder="1" applyAlignment="1" applyProtection="1">
      <alignment horizontal="right" vertical="center"/>
      <protection/>
    </xf>
    <xf numFmtId="4" fontId="40" fillId="0" borderId="17" xfId="64" applyNumberFormat="1" applyFont="1" applyFill="1" applyBorder="1" applyAlignment="1">
      <alignment horizontal="center" vertical="center" wrapText="1"/>
      <protection/>
    </xf>
    <xf numFmtId="4" fontId="39" fillId="0" borderId="26" xfId="54" applyNumberFormat="1" applyFont="1" applyBorder="1" applyAlignment="1">
      <alignment horizontal="right" vertical="center" wrapText="1"/>
      <protection/>
    </xf>
    <xf numFmtId="4" fontId="39" fillId="0" borderId="26" xfId="54" applyNumberFormat="1" applyFont="1" applyBorder="1" applyAlignment="1">
      <alignment horizontal="center" vertical="center" wrapText="1"/>
      <protection/>
    </xf>
    <xf numFmtId="4" fontId="40" fillId="0" borderId="26" xfId="54" applyNumberFormat="1" applyFont="1" applyBorder="1" applyAlignment="1">
      <alignment horizontal="right" vertical="center" wrapText="1"/>
      <protection/>
    </xf>
    <xf numFmtId="4" fontId="39" fillId="0" borderId="19" xfId="54" applyNumberFormat="1" applyFont="1" applyBorder="1" applyAlignment="1">
      <alignment horizontal="right" vertical="center" wrapText="1"/>
      <protection/>
    </xf>
    <xf numFmtId="4" fontId="0" fillId="0" borderId="0" xfId="65" applyNumberFormat="1">
      <alignment/>
      <protection/>
    </xf>
    <xf numFmtId="4" fontId="0" fillId="0" borderId="57" xfId="65" applyNumberFormat="1" applyBorder="1">
      <alignment/>
      <protection/>
    </xf>
    <xf numFmtId="43" fontId="40" fillId="0" borderId="12" xfId="0" applyNumberFormat="1" applyFont="1" applyBorder="1" applyAlignment="1" applyProtection="1">
      <alignment horizontal="center" vertical="center" wrapText="1"/>
      <protection locked="0"/>
    </xf>
    <xf numFmtId="173" fontId="40" fillId="0" borderId="17" xfId="63" applyNumberFormat="1" applyFont="1" applyFill="1" applyBorder="1" applyAlignment="1" applyProtection="1">
      <alignment horizontal="right" vertical="center"/>
      <protection locked="0"/>
    </xf>
    <xf numFmtId="173" fontId="40" fillId="0" borderId="15" xfId="50" applyNumberFormat="1" applyFont="1" applyBorder="1" applyAlignment="1" applyProtection="1">
      <alignment horizontal="right" vertical="center"/>
      <protection locked="0"/>
    </xf>
    <xf numFmtId="169" fontId="40" fillId="0" borderId="17" xfId="64" applyNumberFormat="1" applyFont="1" applyBorder="1" applyAlignment="1">
      <alignment horizontal="center" vertical="center"/>
      <protection/>
    </xf>
    <xf numFmtId="173" fontId="40" fillId="0" borderId="48" xfId="64" applyNumberFormat="1" applyFont="1" applyBorder="1" applyAlignment="1">
      <alignment horizontal="right" vertical="center"/>
      <protection/>
    </xf>
    <xf numFmtId="4" fontId="40" fillId="0" borderId="80" xfId="0" applyNumberFormat="1" applyFont="1" applyBorder="1" applyAlignment="1">
      <alignment vertical="center"/>
    </xf>
    <xf numFmtId="4" fontId="40" fillId="0" borderId="49" xfId="0" applyNumberFormat="1" applyFont="1" applyBorder="1" applyAlignment="1">
      <alignment vertical="center"/>
    </xf>
    <xf numFmtId="4" fontId="40" fillId="0" borderId="57" xfId="0" applyNumberFormat="1" applyFont="1" applyBorder="1" applyAlignment="1">
      <alignment vertical="center"/>
    </xf>
    <xf numFmtId="4" fontId="40" fillId="0" borderId="27" xfId="0" applyNumberFormat="1" applyFont="1" applyBorder="1" applyAlignment="1">
      <alignment vertical="center"/>
    </xf>
    <xf numFmtId="4" fontId="40" fillId="0" borderId="59" xfId="0" applyNumberFormat="1" applyFont="1" applyBorder="1" applyAlignment="1">
      <alignment vertical="center"/>
    </xf>
    <xf numFmtId="4" fontId="40" fillId="0" borderId="38" xfId="0" applyNumberFormat="1" applyFont="1" applyBorder="1" applyAlignment="1">
      <alignment vertical="center"/>
    </xf>
    <xf numFmtId="4" fontId="39" fillId="0" borderId="52" xfId="0" applyNumberFormat="1" applyFont="1" applyBorder="1" applyAlignment="1">
      <alignment vertical="center"/>
    </xf>
    <xf numFmtId="4" fontId="39" fillId="0" borderId="53" xfId="0" applyNumberFormat="1" applyFont="1" applyBorder="1" applyAlignment="1">
      <alignment vertical="center"/>
    </xf>
    <xf numFmtId="4" fontId="39" fillId="0" borderId="12" xfId="0" applyNumberFormat="1" applyFont="1" applyFill="1" applyBorder="1" applyAlignment="1">
      <alignment vertical="center"/>
    </xf>
    <xf numFmtId="3" fontId="40" fillId="0" borderId="17" xfId="0" applyNumberFormat="1" applyFont="1" applyBorder="1" applyAlignment="1">
      <alignment horizontal="right" vertical="center" wrapText="1"/>
    </xf>
    <xf numFmtId="4" fontId="39" fillId="0" borderId="0" xfId="53" applyNumberFormat="1" applyFont="1" applyAlignment="1">
      <alignment vertical="center"/>
      <protection/>
    </xf>
    <xf numFmtId="173" fontId="40" fillId="0" borderId="0" xfId="53" applyNumberFormat="1" applyFont="1" applyAlignment="1">
      <alignment vertical="center"/>
      <protection/>
    </xf>
    <xf numFmtId="0" fontId="71" fillId="0" borderId="41" xfId="0" applyFont="1" applyBorder="1" applyAlignment="1">
      <alignment horizontal="center" vertical="center"/>
    </xf>
    <xf numFmtId="1" fontId="71" fillId="0" borderId="17" xfId="0" applyNumberFormat="1" applyFont="1" applyBorder="1" applyAlignment="1">
      <alignment horizontal="center"/>
    </xf>
    <xf numFmtId="3" fontId="71" fillId="0" borderId="17" xfId="0" applyNumberFormat="1" applyFont="1" applyBorder="1" applyAlignment="1">
      <alignment horizontal="center"/>
    </xf>
    <xf numFmtId="0" fontId="71" fillId="0" borderId="63" xfId="0" applyFont="1" applyBorder="1" applyAlignment="1">
      <alignment horizontal="center"/>
    </xf>
    <xf numFmtId="0" fontId="75" fillId="0" borderId="63" xfId="0" applyFont="1" applyBorder="1" applyAlignment="1">
      <alignment/>
    </xf>
    <xf numFmtId="0" fontId="71" fillId="0" borderId="57" xfId="0" applyFont="1" applyBorder="1" applyAlignment="1">
      <alignment horizontal="center" vertical="center" wrapText="1"/>
    </xf>
    <xf numFmtId="4" fontId="25" fillId="0" borderId="52" xfId="0" applyNumberFormat="1" applyFont="1" applyBorder="1" applyAlignment="1">
      <alignment horizontal="center"/>
    </xf>
    <xf numFmtId="4" fontId="25" fillId="0" borderId="53" xfId="0" applyNumberFormat="1" applyFont="1" applyBorder="1" applyAlignment="1">
      <alignment horizontal="center"/>
    </xf>
    <xf numFmtId="3" fontId="65" fillId="0" borderId="0" xfId="0" applyNumberFormat="1" applyFont="1" applyBorder="1" applyAlignment="1">
      <alignment horizontal="center" vertical="center"/>
    </xf>
    <xf numFmtId="10" fontId="65" fillId="0" borderId="0" xfId="0" applyNumberFormat="1" applyFont="1" applyBorder="1" applyAlignment="1">
      <alignment horizontal="center" vertical="center" wrapText="1"/>
    </xf>
    <xf numFmtId="4" fontId="40" fillId="16" borderId="15" xfId="0" applyNumberFormat="1" applyFont="1" applyFill="1" applyBorder="1" applyAlignment="1">
      <alignment vertical="center"/>
    </xf>
    <xf numFmtId="4" fontId="40" fillId="16" borderId="0" xfId="0" applyNumberFormat="1" applyFont="1" applyFill="1" applyBorder="1" applyAlignment="1">
      <alignment vertical="center"/>
    </xf>
    <xf numFmtId="4" fontId="40" fillId="16" borderId="22" xfId="0" applyNumberFormat="1" applyFont="1" applyFill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77" fillId="0" borderId="15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173" fontId="40" fillId="0" borderId="48" xfId="63" applyNumberFormat="1" applyFont="1" applyFill="1" applyBorder="1" applyAlignment="1" applyProtection="1">
      <alignment horizontal="right" vertical="center"/>
      <protection locked="0"/>
    </xf>
    <xf numFmtId="3" fontId="40" fillId="0" borderId="11" xfId="0" applyNumberFormat="1" applyFont="1" applyBorder="1" applyAlignment="1">
      <alignment horizontal="right" vertical="center" wrapText="1"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40" fillId="26" borderId="48" xfId="63" applyNumberFormat="1" applyFont="1" applyFill="1" applyBorder="1" applyAlignment="1" applyProtection="1">
      <alignment horizontal="center" vertical="center"/>
      <protection locked="0"/>
    </xf>
    <xf numFmtId="173" fontId="40" fillId="0" borderId="19" xfId="63" applyNumberFormat="1" applyFont="1" applyFill="1" applyBorder="1" applyAlignment="1" applyProtection="1">
      <alignment horizontal="right" vertical="center"/>
      <protection locked="0"/>
    </xf>
    <xf numFmtId="0" fontId="40" fillId="0" borderId="83" xfId="0" applyFont="1" applyBorder="1" applyAlignment="1" applyProtection="1">
      <alignment vertical="center" wrapText="1"/>
      <protection locked="0"/>
    </xf>
    <xf numFmtId="168" fontId="39" fillId="0" borderId="83" xfId="45" applyFont="1" applyBorder="1" applyAlignment="1" applyProtection="1">
      <alignment vertical="center" wrapText="1"/>
      <protection locked="0"/>
    </xf>
    <xf numFmtId="10" fontId="45" fillId="0" borderId="17" xfId="71" applyNumberFormat="1" applyFont="1" applyBorder="1" applyAlignment="1" applyProtection="1">
      <alignment vertical="center" wrapText="1"/>
      <protection locked="0"/>
    </xf>
    <xf numFmtId="173" fontId="40" fillId="0" borderId="0" xfId="0" applyNumberFormat="1" applyFont="1" applyFill="1" applyBorder="1" applyAlignment="1">
      <alignment vertical="top" wrapText="1"/>
    </xf>
    <xf numFmtId="0" fontId="40" fillId="0" borderId="0" xfId="0" applyNumberFormat="1" applyFont="1" applyBorder="1" applyAlignment="1" applyProtection="1">
      <alignment vertical="center" wrapText="1"/>
      <protection locked="0"/>
    </xf>
    <xf numFmtId="168" fontId="40" fillId="0" borderId="0" xfId="45" applyFont="1" applyBorder="1" applyAlignment="1" applyProtection="1">
      <alignment vertical="center" wrapText="1"/>
      <protection locked="0"/>
    </xf>
    <xf numFmtId="173" fontId="40" fillId="0" borderId="0" xfId="0" applyNumberFormat="1" applyFont="1" applyBorder="1" applyAlignment="1" applyProtection="1">
      <alignment vertical="center" wrapText="1"/>
      <protection locked="0"/>
    </xf>
    <xf numFmtId="173" fontId="40" fillId="0" borderId="0" xfId="45" applyNumberFormat="1" applyFont="1" applyBorder="1" applyAlignment="1" applyProtection="1">
      <alignment vertical="center" wrapText="1"/>
      <protection locked="0"/>
    </xf>
    <xf numFmtId="174" fontId="39" fillId="0" borderId="0" xfId="45" applyNumberFormat="1" applyFont="1" applyBorder="1" applyAlignment="1" applyProtection="1">
      <alignment vertical="center" wrapText="1"/>
      <protection/>
    </xf>
    <xf numFmtId="173" fontId="40" fillId="0" borderId="0" xfId="71" applyNumberFormat="1" applyFont="1" applyBorder="1" applyAlignment="1">
      <alignment vertical="top" wrapText="1"/>
    </xf>
    <xf numFmtId="173" fontId="40" fillId="0" borderId="0" xfId="0" applyNumberFormat="1" applyFont="1" applyBorder="1" applyAlignment="1">
      <alignment vertical="top" wrapText="1"/>
    </xf>
    <xf numFmtId="0" fontId="40" fillId="0" borderId="83" xfId="0" applyFont="1" applyBorder="1" applyAlignment="1" applyProtection="1">
      <alignment horizontal="right" vertical="center" wrapText="1"/>
      <protection locked="0"/>
    </xf>
    <xf numFmtId="43" fontId="0" fillId="0" borderId="11" xfId="48" applyNumberFormat="1" applyFont="1" applyBorder="1" applyAlignment="1">
      <alignment/>
    </xf>
    <xf numFmtId="43" fontId="0" fillId="0" borderId="17" xfId="48" applyNumberFormat="1" applyFont="1" applyBorder="1" applyAlignment="1">
      <alignment/>
    </xf>
    <xf numFmtId="43" fontId="0" fillId="0" borderId="48" xfId="48" applyNumberFormat="1" applyFont="1" applyBorder="1" applyAlignment="1">
      <alignment/>
    </xf>
    <xf numFmtId="43" fontId="40" fillId="0" borderId="63" xfId="0" applyNumberFormat="1" applyFont="1" applyBorder="1" applyAlignment="1" applyProtection="1">
      <alignment horizontal="center" vertical="center" wrapText="1"/>
      <protection locked="0"/>
    </xf>
    <xf numFmtId="43" fontId="39" fillId="0" borderId="63" xfId="0" applyNumberFormat="1" applyFont="1" applyBorder="1" applyAlignment="1" applyProtection="1">
      <alignment horizontal="center" vertical="center" wrapText="1"/>
      <protection locked="0"/>
    </xf>
    <xf numFmtId="43" fontId="39" fillId="0" borderId="63" xfId="0" applyNumberFormat="1" applyFont="1" applyBorder="1" applyAlignment="1" applyProtection="1">
      <alignment horizontal="center" vertical="center" wrapText="1"/>
      <protection/>
    </xf>
    <xf numFmtId="43" fontId="40" fillId="0" borderId="17" xfId="0" applyNumberFormat="1" applyFont="1" applyBorder="1" applyAlignment="1" applyProtection="1">
      <alignment horizontal="center" vertical="center" wrapText="1"/>
      <protection locked="0"/>
    </xf>
    <xf numFmtId="43" fontId="39" fillId="0" borderId="100" xfId="0" applyNumberFormat="1" applyFont="1" applyBorder="1" applyAlignment="1" applyProtection="1">
      <alignment horizontal="center" vertical="center" wrapText="1"/>
      <protection/>
    </xf>
    <xf numFmtId="4" fontId="39" fillId="0" borderId="0" xfId="54" applyNumberFormat="1" applyFont="1" applyAlignment="1">
      <alignment vertical="center"/>
      <protection/>
    </xf>
    <xf numFmtId="4" fontId="0" fillId="0" borderId="12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4" fontId="40" fillId="16" borderId="43" xfId="0" applyNumberFormat="1" applyFont="1" applyFill="1" applyBorder="1" applyAlignment="1">
      <alignment vertical="center"/>
    </xf>
    <xf numFmtId="4" fontId="40" fillId="0" borderId="15" xfId="0" applyNumberFormat="1" applyFont="1" applyBorder="1" applyAlignment="1">
      <alignment vertical="center"/>
    </xf>
    <xf numFmtId="4" fontId="39" fillId="0" borderId="80" xfId="0" applyNumberFormat="1" applyFont="1" applyBorder="1" applyAlignment="1">
      <alignment vertical="center"/>
    </xf>
    <xf numFmtId="4" fontId="39" fillId="0" borderId="57" xfId="0" applyNumberFormat="1" applyFont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4" fontId="40" fillId="0" borderId="19" xfId="0" applyNumberFormat="1" applyFont="1" applyBorder="1" applyAlignment="1">
      <alignment vertical="center"/>
    </xf>
    <xf numFmtId="43" fontId="40" fillId="0" borderId="0" xfId="0" applyNumberFormat="1" applyFont="1" applyAlignment="1">
      <alignment vertical="center"/>
    </xf>
    <xf numFmtId="0" fontId="0" fillId="0" borderId="45" xfId="0" applyFont="1" applyBorder="1" applyAlignment="1">
      <alignment/>
    </xf>
    <xf numFmtId="10" fontId="0" fillId="0" borderId="50" xfId="0" applyNumberFormat="1" applyBorder="1" applyAlignment="1">
      <alignment/>
    </xf>
    <xf numFmtId="0" fontId="0" fillId="0" borderId="0" xfId="0" applyFont="1" applyAlignment="1">
      <alignment/>
    </xf>
    <xf numFmtId="0" fontId="28" fillId="0" borderId="17" xfId="63" applyNumberFormat="1" applyFont="1" applyFill="1" applyBorder="1" applyAlignment="1" applyProtection="1">
      <alignment horizontal="center" vertical="center"/>
      <protection locked="0"/>
    </xf>
    <xf numFmtId="0" fontId="28" fillId="0" borderId="12" xfId="63" applyNumberFormat="1" applyFont="1" applyFill="1" applyBorder="1" applyAlignment="1" applyProtection="1">
      <alignment horizontal="center" vertical="center"/>
      <protection locked="0"/>
    </xf>
    <xf numFmtId="4" fontId="40" fillId="30" borderId="107" xfId="0" applyNumberFormat="1" applyFont="1" applyFill="1" applyBorder="1" applyAlignment="1" applyProtection="1">
      <alignment horizontal="right" vertical="center"/>
      <protection locked="0"/>
    </xf>
    <xf numFmtId="0" fontId="40" fillId="30" borderId="64" xfId="0" applyFont="1" applyFill="1" applyBorder="1" applyAlignment="1" applyProtection="1">
      <alignment horizontal="left" vertical="center"/>
      <protection locked="0"/>
    </xf>
    <xf numFmtId="4" fontId="40" fillId="30" borderId="12" xfId="0" applyNumberFormat="1" applyFont="1" applyFill="1" applyBorder="1" applyAlignment="1" applyProtection="1">
      <alignment horizontal="right" vertical="center"/>
      <protection locked="0"/>
    </xf>
    <xf numFmtId="4" fontId="40" fillId="30" borderId="17" xfId="0" applyNumberFormat="1" applyFont="1" applyFill="1" applyBorder="1" applyAlignment="1" applyProtection="1">
      <alignment horizontal="right" vertical="center"/>
      <protection locked="0"/>
    </xf>
    <xf numFmtId="0" fontId="40" fillId="30" borderId="64" xfId="0" applyFont="1" applyFill="1" applyBorder="1" applyAlignment="1" applyProtection="1">
      <alignment horizontal="left" vertical="center" wrapText="1"/>
      <protection locked="0"/>
    </xf>
    <xf numFmtId="4" fontId="52" fillId="30" borderId="17" xfId="0" applyNumberFormat="1" applyFont="1" applyFill="1" applyBorder="1" applyAlignment="1" applyProtection="1">
      <alignment horizontal="right" vertical="center"/>
      <protection locked="0"/>
    </xf>
    <xf numFmtId="4" fontId="52" fillId="30" borderId="12" xfId="0" applyNumberFormat="1" applyFont="1" applyFill="1" applyBorder="1" applyAlignment="1" applyProtection="1">
      <alignment horizontal="right" vertical="center"/>
      <protection locked="0"/>
    </xf>
    <xf numFmtId="3" fontId="75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108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3" fontId="3" fillId="0" borderId="109" xfId="0" applyNumberFormat="1" applyFont="1" applyFill="1" applyBorder="1" applyAlignment="1">
      <alignment vertical="center"/>
    </xf>
    <xf numFmtId="173" fontId="0" fillId="0" borderId="110" xfId="0" applyNumberFormat="1" applyFont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2" fontId="26" fillId="0" borderId="0" xfId="57" applyNumberFormat="1" applyFont="1" applyFill="1" applyBorder="1" applyAlignment="1">
      <alignment horizontal="left" vertical="center" wrapText="1"/>
      <protection/>
    </xf>
    <xf numFmtId="3" fontId="3" fillId="8" borderId="43" xfId="0" applyNumberFormat="1" applyFont="1" applyFill="1" applyBorder="1" applyAlignment="1" applyProtection="1">
      <alignment horizontal="center" vertical="center"/>
      <protection/>
    </xf>
    <xf numFmtId="3" fontId="3" fillId="8" borderId="44" xfId="0" applyNumberFormat="1" applyFont="1" applyFill="1" applyBorder="1" applyAlignment="1" applyProtection="1">
      <alignment horizontal="center" vertical="center"/>
      <protection/>
    </xf>
    <xf numFmtId="3" fontId="3" fillId="8" borderId="15" xfId="0" applyNumberFormat="1" applyFont="1" applyFill="1" applyBorder="1" applyAlignment="1" applyProtection="1">
      <alignment horizontal="center" vertical="center"/>
      <protection/>
    </xf>
    <xf numFmtId="3" fontId="3" fillId="8" borderId="26" xfId="0" applyNumberFormat="1" applyFont="1" applyFill="1" applyBorder="1" applyAlignment="1" applyProtection="1">
      <alignment horizontal="center" vertical="center"/>
      <protection/>
    </xf>
    <xf numFmtId="3" fontId="3" fillId="8" borderId="28" xfId="0" applyNumberFormat="1" applyFont="1" applyFill="1" applyBorder="1" applyAlignment="1" applyProtection="1">
      <alignment horizontal="center" vertical="center"/>
      <protection/>
    </xf>
    <xf numFmtId="3" fontId="3" fillId="8" borderId="29" xfId="0" applyNumberFormat="1" applyFont="1" applyFill="1" applyBorder="1" applyAlignment="1" applyProtection="1">
      <alignment horizontal="center" vertical="center"/>
      <protection/>
    </xf>
    <xf numFmtId="173" fontId="3" fillId="8" borderId="49" xfId="62" applyNumberFormat="1" applyFont="1" applyFill="1" applyBorder="1" applyAlignment="1" applyProtection="1">
      <alignment horizontal="center" vertical="center" wrapText="1"/>
      <protection/>
    </xf>
    <xf numFmtId="173" fontId="0" fillId="8" borderId="27" xfId="62" applyNumberFormat="1" applyFont="1" applyFill="1" applyBorder="1" applyAlignment="1">
      <alignment horizontal="center" vertical="center" wrapText="1"/>
      <protection/>
    </xf>
    <xf numFmtId="173" fontId="0" fillId="8" borderId="14" xfId="62" applyNumberFormat="1" applyFont="1" applyFill="1" applyBorder="1" applyAlignment="1">
      <alignment horizontal="center" vertical="center" wrapText="1"/>
      <protection/>
    </xf>
    <xf numFmtId="173" fontId="3" fillId="8" borderId="111" xfId="0" applyNumberFormat="1" applyFont="1" applyFill="1" applyBorder="1" applyAlignment="1" applyProtection="1">
      <alignment horizontal="center" vertical="center"/>
      <protection/>
    </xf>
    <xf numFmtId="173" fontId="0" fillId="8" borderId="112" xfId="0" applyNumberFormat="1" applyFont="1" applyFill="1" applyBorder="1" applyAlignment="1">
      <alignment horizontal="center" vertical="center"/>
    </xf>
    <xf numFmtId="173" fontId="0" fillId="8" borderId="113" xfId="0" applyNumberFormat="1" applyFont="1" applyFill="1" applyBorder="1" applyAlignment="1">
      <alignment horizontal="center" vertical="center"/>
    </xf>
    <xf numFmtId="173" fontId="3" fillId="0" borderId="37" xfId="0" applyNumberFormat="1" applyFont="1" applyBorder="1" applyAlignment="1">
      <alignment vertical="center"/>
    </xf>
    <xf numFmtId="173" fontId="3" fillId="0" borderId="35" xfId="0" applyNumberFormat="1" applyFont="1" applyBorder="1" applyAlignment="1">
      <alignment vertical="center"/>
    </xf>
    <xf numFmtId="0" fontId="5" fillId="25" borderId="72" xfId="60" applyFont="1" applyFill="1" applyBorder="1" applyAlignment="1">
      <alignment horizontal="center" vertical="center" wrapText="1"/>
      <protection/>
    </xf>
    <xf numFmtId="0" fontId="5" fillId="25" borderId="73" xfId="60" applyFont="1" applyFill="1" applyBorder="1" applyAlignment="1">
      <alignment horizontal="center" vertical="center" wrapText="1"/>
      <protection/>
    </xf>
    <xf numFmtId="2" fontId="61" fillId="8" borderId="65" xfId="60" applyNumberFormat="1" applyFont="1" applyFill="1" applyBorder="1" applyAlignment="1">
      <alignment horizontal="left" vertical="center"/>
      <protection/>
    </xf>
    <xf numFmtId="2" fontId="61" fillId="8" borderId="17" xfId="60" applyNumberFormat="1" applyFont="1" applyFill="1" applyBorder="1" applyAlignment="1">
      <alignment horizontal="left" vertical="center"/>
      <protection/>
    </xf>
    <xf numFmtId="2" fontId="61" fillId="8" borderId="12" xfId="60" applyNumberFormat="1" applyFont="1" applyFill="1" applyBorder="1" applyAlignment="1">
      <alignment horizontal="left" vertical="center"/>
      <protection/>
    </xf>
    <xf numFmtId="0" fontId="29" fillId="0" borderId="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9" fillId="8" borderId="43" xfId="0" applyFont="1" applyFill="1" applyBorder="1" applyAlignment="1">
      <alignment horizontal="center" vertical="center"/>
    </xf>
    <xf numFmtId="0" fontId="39" fillId="8" borderId="55" xfId="0" applyFont="1" applyFill="1" applyBorder="1" applyAlignment="1">
      <alignment horizontal="center" vertical="center"/>
    </xf>
    <xf numFmtId="0" fontId="39" fillId="8" borderId="44" xfId="0" applyFont="1" applyFill="1" applyBorder="1" applyAlignment="1">
      <alignment horizontal="center" vertical="center"/>
    </xf>
    <xf numFmtId="0" fontId="39" fillId="8" borderId="49" xfId="0" applyFont="1" applyFill="1" applyBorder="1" applyAlignment="1">
      <alignment horizontal="center" vertical="center"/>
    </xf>
    <xf numFmtId="0" fontId="39" fillId="8" borderId="38" xfId="0" applyFont="1" applyFill="1" applyBorder="1" applyAlignment="1">
      <alignment horizontal="center" vertical="center"/>
    </xf>
    <xf numFmtId="0" fontId="39" fillId="8" borderId="41" xfId="0" applyFont="1" applyFill="1" applyBorder="1" applyAlignment="1">
      <alignment horizontal="center" vertical="center"/>
    </xf>
    <xf numFmtId="0" fontId="39" fillId="8" borderId="42" xfId="0" applyFont="1" applyFill="1" applyBorder="1" applyAlignment="1">
      <alignment horizontal="center" vertical="center"/>
    </xf>
    <xf numFmtId="0" fontId="39" fillId="8" borderId="54" xfId="0" applyFont="1" applyFill="1" applyBorder="1" applyAlignment="1">
      <alignment horizontal="center" vertical="center"/>
    </xf>
    <xf numFmtId="2" fontId="57" fillId="8" borderId="15" xfId="61" applyNumberFormat="1" applyFont="1" applyFill="1" applyBorder="1" applyAlignment="1">
      <alignment horizontal="left" vertical="center"/>
      <protection/>
    </xf>
    <xf numFmtId="2" fontId="57" fillId="8" borderId="0" xfId="61" applyNumberFormat="1" applyFont="1" applyFill="1" applyBorder="1" applyAlignment="1">
      <alignment horizontal="left" vertical="center"/>
      <protection/>
    </xf>
    <xf numFmtId="2" fontId="57" fillId="8" borderId="22" xfId="61" applyNumberFormat="1" applyFont="1" applyFill="1" applyBorder="1" applyAlignment="1">
      <alignment horizontal="left" vertical="center"/>
      <protection/>
    </xf>
    <xf numFmtId="173" fontId="39" fillId="8" borderId="111" xfId="0" applyNumberFormat="1" applyFont="1" applyFill="1" applyBorder="1" applyAlignment="1" applyProtection="1">
      <alignment horizontal="center" vertical="center"/>
      <protection/>
    </xf>
    <xf numFmtId="173" fontId="40" fillId="8" borderId="114" xfId="0" applyNumberFormat="1" applyFont="1" applyFill="1" applyBorder="1" applyAlignment="1">
      <alignment horizontal="center" vertical="center"/>
    </xf>
    <xf numFmtId="173" fontId="39" fillId="8" borderId="49" xfId="62" applyNumberFormat="1" applyFont="1" applyFill="1" applyBorder="1" applyAlignment="1" applyProtection="1">
      <alignment horizontal="center" vertical="center" wrapText="1"/>
      <protection/>
    </xf>
    <xf numFmtId="173" fontId="40" fillId="8" borderId="38" xfId="62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2" fontId="41" fillId="0" borderId="45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3" fontId="39" fillId="8" borderId="43" xfId="0" applyNumberFormat="1" applyFont="1" applyFill="1" applyBorder="1" applyAlignment="1" applyProtection="1">
      <alignment horizontal="center" vertical="center"/>
      <protection/>
    </xf>
    <xf numFmtId="3" fontId="39" fillId="8" borderId="44" xfId="0" applyNumberFormat="1" applyFont="1" applyFill="1" applyBorder="1" applyAlignment="1" applyProtection="1">
      <alignment horizontal="center" vertical="center"/>
      <protection/>
    </xf>
    <xf numFmtId="3" fontId="39" fillId="8" borderId="41" xfId="0" applyNumberFormat="1" applyFont="1" applyFill="1" applyBorder="1" applyAlignment="1" applyProtection="1">
      <alignment horizontal="center" vertical="center"/>
      <protection/>
    </xf>
    <xf numFmtId="3" fontId="39" fillId="8" borderId="54" xfId="0" applyNumberFormat="1" applyFont="1" applyFill="1" applyBorder="1" applyAlignment="1" applyProtection="1">
      <alignment horizontal="center" vertical="center"/>
      <protection/>
    </xf>
    <xf numFmtId="2" fontId="57" fillId="0" borderId="48" xfId="58" applyNumberFormat="1" applyFont="1" applyFill="1" applyBorder="1" applyAlignment="1">
      <alignment horizontal="center" vertical="center"/>
      <protection/>
    </xf>
    <xf numFmtId="2" fontId="57" fillId="0" borderId="17" xfId="58" applyNumberFormat="1" applyFont="1" applyFill="1" applyBorder="1" applyAlignment="1">
      <alignment horizontal="center" vertical="center"/>
      <protection/>
    </xf>
    <xf numFmtId="2" fontId="56" fillId="8" borderId="18" xfId="58" applyNumberFormat="1" applyFont="1" applyFill="1" applyBorder="1" applyAlignment="1" applyProtection="1">
      <alignment horizontal="center" vertical="center"/>
      <protection locked="0"/>
    </xf>
    <xf numFmtId="2" fontId="56" fillId="8" borderId="104" xfId="58" applyNumberFormat="1" applyFont="1" applyFill="1" applyBorder="1" applyAlignment="1" applyProtection="1">
      <alignment horizontal="center" vertical="center"/>
      <protection locked="0"/>
    </xf>
    <xf numFmtId="2" fontId="56" fillId="8" borderId="64" xfId="58" applyNumberFormat="1" applyFont="1" applyFill="1" applyBorder="1" applyAlignment="1" applyProtection="1">
      <alignment horizontal="center" vertical="center"/>
      <protection locked="0"/>
    </xf>
    <xf numFmtId="0" fontId="55" fillId="25" borderId="18" xfId="58" applyFont="1" applyFill="1" applyBorder="1" applyAlignment="1">
      <alignment horizontal="center" vertical="center" wrapText="1"/>
      <protection/>
    </xf>
    <xf numFmtId="0" fontId="55" fillId="25" borderId="104" xfId="58" applyFont="1" applyFill="1" applyBorder="1" applyAlignment="1">
      <alignment horizontal="center" vertical="center" wrapText="1"/>
      <protection/>
    </xf>
    <xf numFmtId="0" fontId="55" fillId="25" borderId="64" xfId="58" applyFont="1" applyFill="1" applyBorder="1" applyAlignment="1">
      <alignment horizontal="center" vertical="center" wrapText="1"/>
      <protection/>
    </xf>
    <xf numFmtId="0" fontId="55" fillId="25" borderId="17" xfId="58" applyFont="1" applyFill="1" applyBorder="1" applyAlignment="1">
      <alignment horizontal="center" vertical="center" wrapText="1"/>
      <protection/>
    </xf>
    <xf numFmtId="2" fontId="57" fillId="8" borderId="18" xfId="57" applyNumberFormat="1" applyFont="1" applyFill="1" applyBorder="1" applyAlignment="1">
      <alignment horizontal="center" vertical="center" wrapText="1"/>
      <protection/>
    </xf>
    <xf numFmtId="2" fontId="57" fillId="8" borderId="104" xfId="57" applyNumberFormat="1" applyFont="1" applyFill="1" applyBorder="1" applyAlignment="1">
      <alignment horizontal="center" vertical="center" wrapText="1"/>
      <protection/>
    </xf>
    <xf numFmtId="2" fontId="57" fillId="8" borderId="64" xfId="57" applyNumberFormat="1" applyFont="1" applyFill="1" applyBorder="1" applyAlignment="1">
      <alignment horizontal="center" vertical="center" wrapText="1"/>
      <protection/>
    </xf>
    <xf numFmtId="167" fontId="57" fillId="0" borderId="17" xfId="58" applyNumberFormat="1" applyFont="1" applyFill="1" applyBorder="1" applyAlignment="1">
      <alignment horizontal="center" vertical="center" wrapText="1"/>
      <protection/>
    </xf>
    <xf numFmtId="2" fontId="55" fillId="8" borderId="18" xfId="58" applyNumberFormat="1" applyFont="1" applyFill="1" applyBorder="1" applyAlignment="1">
      <alignment horizontal="center" vertical="center"/>
      <protection/>
    </xf>
    <xf numFmtId="2" fontId="55" fillId="8" borderId="104" xfId="58" applyNumberFormat="1" applyFont="1" applyFill="1" applyBorder="1" applyAlignment="1">
      <alignment horizontal="center" vertical="center"/>
      <protection/>
    </xf>
    <xf numFmtId="3" fontId="39" fillId="16" borderId="23" xfId="69" applyNumberFormat="1" applyFont="1" applyFill="1" applyBorder="1" applyAlignment="1">
      <alignment horizontal="left" vertical="center" wrapText="1"/>
      <protection/>
    </xf>
    <xf numFmtId="3" fontId="39" fillId="16" borderId="24" xfId="69" applyNumberFormat="1" applyFont="1" applyFill="1" applyBorder="1" applyAlignment="1">
      <alignment horizontal="left" vertical="center" wrapText="1"/>
      <protection/>
    </xf>
    <xf numFmtId="0" fontId="39" fillId="25" borderId="72" xfId="59" applyFont="1" applyFill="1" applyBorder="1" applyAlignment="1">
      <alignment horizontal="center" vertical="center" wrapText="1"/>
      <protection/>
    </xf>
    <xf numFmtId="0" fontId="39" fillId="25" borderId="73" xfId="59" applyFont="1" applyFill="1" applyBorder="1" applyAlignment="1">
      <alignment horizontal="center" vertical="center" wrapText="1"/>
      <protection/>
    </xf>
    <xf numFmtId="0" fontId="39" fillId="25" borderId="115" xfId="59" applyFont="1" applyFill="1" applyBorder="1" applyAlignment="1">
      <alignment horizontal="center" vertical="center" wrapText="1"/>
      <protection/>
    </xf>
    <xf numFmtId="2" fontId="44" fillId="8" borderId="16" xfId="59" applyNumberFormat="1" applyFont="1" applyFill="1" applyBorder="1" applyAlignment="1">
      <alignment horizontal="left" vertical="center" wrapText="1"/>
      <protection/>
    </xf>
    <xf numFmtId="2" fontId="44" fillId="8" borderId="67" xfId="59" applyNumberFormat="1" applyFont="1" applyFill="1" applyBorder="1" applyAlignment="1">
      <alignment horizontal="left" vertical="center" wrapText="1"/>
      <protection/>
    </xf>
    <xf numFmtId="2" fontId="44" fillId="0" borderId="116" xfId="59" applyNumberFormat="1" applyFont="1" applyFill="1" applyBorder="1" applyAlignment="1">
      <alignment horizontal="center" vertical="center" wrapText="1"/>
      <protection/>
    </xf>
    <xf numFmtId="2" fontId="44" fillId="0" borderId="117" xfId="59" applyNumberFormat="1" applyFont="1" applyFill="1" applyBorder="1" applyAlignment="1">
      <alignment horizontal="center" vertical="center" wrapText="1"/>
      <protection/>
    </xf>
    <xf numFmtId="2" fontId="44" fillId="0" borderId="100" xfId="59" applyNumberFormat="1" applyFont="1" applyFill="1" applyBorder="1" applyAlignment="1">
      <alignment horizontal="center" vertical="center" wrapText="1"/>
      <protection/>
    </xf>
    <xf numFmtId="3" fontId="39" fillId="16" borderId="16" xfId="69" applyNumberFormat="1" applyFont="1" applyFill="1" applyBorder="1" applyAlignment="1">
      <alignment horizontal="left" vertical="center" wrapText="1"/>
      <protection/>
    </xf>
    <xf numFmtId="3" fontId="39" fillId="16" borderId="67" xfId="69" applyNumberFormat="1" applyFont="1" applyFill="1" applyBorder="1" applyAlignment="1">
      <alignment horizontal="left" vertical="center" wrapText="1"/>
      <protection/>
    </xf>
    <xf numFmtId="0" fontId="40" fillId="0" borderId="61" xfId="54" applyFont="1" applyBorder="1" applyAlignment="1" applyProtection="1">
      <alignment horizontal="center" vertical="center"/>
      <protection locked="0"/>
    </xf>
    <xf numFmtId="0" fontId="40" fillId="0" borderId="105" xfId="54" applyFont="1" applyBorder="1" applyAlignment="1" applyProtection="1">
      <alignment horizontal="center" vertical="center"/>
      <protection locked="0"/>
    </xf>
    <xf numFmtId="0" fontId="40" fillId="0" borderId="24" xfId="54" applyFont="1" applyBorder="1" applyAlignment="1" applyProtection="1">
      <alignment horizontal="center" vertical="center"/>
      <protection locked="0"/>
    </xf>
    <xf numFmtId="0" fontId="40" fillId="0" borderId="60" xfId="54" applyFont="1" applyBorder="1" applyAlignment="1" applyProtection="1">
      <alignment horizontal="center" vertical="center"/>
      <protection locked="0"/>
    </xf>
    <xf numFmtId="0" fontId="40" fillId="0" borderId="0" xfId="54" applyFont="1" applyBorder="1" applyAlignment="1" applyProtection="1">
      <alignment horizontal="center" vertical="center"/>
      <protection locked="0"/>
    </xf>
    <xf numFmtId="0" fontId="40" fillId="0" borderId="26" xfId="54" applyFont="1" applyBorder="1" applyAlignment="1" applyProtection="1">
      <alignment horizontal="center" vertical="center"/>
      <protection locked="0"/>
    </xf>
    <xf numFmtId="0" fontId="40" fillId="0" borderId="103" xfId="54" applyFont="1" applyBorder="1" applyAlignment="1" applyProtection="1">
      <alignment horizontal="center" vertical="center"/>
      <protection locked="0"/>
    </xf>
    <xf numFmtId="0" fontId="40" fillId="0" borderId="56" xfId="54" applyFont="1" applyBorder="1" applyAlignment="1" applyProtection="1">
      <alignment horizontal="center" vertical="center"/>
      <protection locked="0"/>
    </xf>
    <xf numFmtId="0" fontId="40" fillId="0" borderId="29" xfId="54" applyFont="1" applyBorder="1" applyAlignment="1" applyProtection="1">
      <alignment horizontal="center" vertical="center"/>
      <protection locked="0"/>
    </xf>
    <xf numFmtId="0" fontId="40" fillId="0" borderId="18" xfId="54" applyFont="1" applyFill="1" applyBorder="1" applyAlignment="1">
      <alignment horizontal="center" vertical="center"/>
      <protection/>
    </xf>
    <xf numFmtId="0" fontId="40" fillId="0" borderId="104" xfId="54" applyFont="1" applyFill="1" applyBorder="1" applyAlignment="1">
      <alignment horizontal="center" vertical="center"/>
      <protection/>
    </xf>
    <xf numFmtId="0" fontId="40" fillId="0" borderId="64" xfId="54" applyFont="1" applyFill="1" applyBorder="1" applyAlignment="1">
      <alignment horizontal="center" vertical="center"/>
      <protection/>
    </xf>
    <xf numFmtId="0" fontId="40" fillId="0" borderId="60" xfId="54" applyFont="1" applyBorder="1" applyAlignment="1">
      <alignment horizontal="center" vertical="center" wrapText="1"/>
      <protection/>
    </xf>
    <xf numFmtId="0" fontId="40" fillId="0" borderId="0" xfId="54" applyFont="1" applyBorder="1" applyAlignment="1">
      <alignment horizontal="center" vertical="center" wrapText="1"/>
      <protection/>
    </xf>
    <xf numFmtId="0" fontId="40" fillId="0" borderId="26" xfId="54" applyFont="1" applyBorder="1" applyAlignment="1">
      <alignment horizontal="center" vertical="center" wrapText="1"/>
      <protection/>
    </xf>
    <xf numFmtId="0" fontId="40" fillId="0" borderId="61" xfId="54" applyFont="1" applyBorder="1" applyAlignment="1">
      <alignment horizontal="center" vertical="center" wrapText="1"/>
      <protection/>
    </xf>
    <xf numFmtId="0" fontId="40" fillId="0" borderId="105" xfId="54" applyFont="1" applyBorder="1" applyAlignment="1">
      <alignment horizontal="center" vertical="center" wrapText="1"/>
      <protection/>
    </xf>
    <xf numFmtId="0" fontId="40" fillId="0" borderId="24" xfId="54" applyFont="1" applyBorder="1" applyAlignment="1">
      <alignment horizontal="center" vertical="center" wrapText="1"/>
      <protection/>
    </xf>
    <xf numFmtId="0" fontId="40" fillId="0" borderId="103" xfId="54" applyFont="1" applyBorder="1" applyAlignment="1">
      <alignment horizontal="center" vertical="center" wrapText="1"/>
      <protection/>
    </xf>
    <xf numFmtId="0" fontId="40" fillId="0" borderId="56" xfId="54" applyFont="1" applyBorder="1" applyAlignment="1">
      <alignment horizontal="center" vertical="center" wrapText="1"/>
      <protection/>
    </xf>
    <xf numFmtId="0" fontId="40" fillId="0" borderId="29" xfId="54" applyFont="1" applyBorder="1" applyAlignment="1">
      <alignment horizontal="center" vertical="center" wrapText="1"/>
      <protection/>
    </xf>
    <xf numFmtId="0" fontId="39" fillId="0" borderId="60" xfId="54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39" fillId="0" borderId="26" xfId="54" applyFont="1" applyBorder="1" applyAlignment="1">
      <alignment horizontal="center" vertical="center" wrapText="1"/>
      <protection/>
    </xf>
    <xf numFmtId="0" fontId="29" fillId="25" borderId="116" xfId="57" applyFont="1" applyFill="1" applyBorder="1" applyAlignment="1">
      <alignment horizontal="center" vertical="center" wrapText="1"/>
      <protection/>
    </xf>
    <xf numFmtId="0" fontId="29" fillId="25" borderId="117" xfId="57" applyFont="1" applyFill="1" applyBorder="1" applyAlignment="1">
      <alignment horizontal="center" vertical="center" wrapText="1"/>
      <protection/>
    </xf>
    <xf numFmtId="0" fontId="29" fillId="25" borderId="75" xfId="57" applyFont="1" applyFill="1" applyBorder="1" applyAlignment="1">
      <alignment horizontal="center" vertical="center" wrapText="1"/>
      <protection/>
    </xf>
    <xf numFmtId="2" fontId="44" fillId="0" borderId="16" xfId="57" applyNumberFormat="1" applyFont="1" applyFill="1" applyBorder="1" applyAlignment="1">
      <alignment horizontal="center" vertical="center"/>
      <protection/>
    </xf>
    <xf numFmtId="2" fontId="44" fillId="0" borderId="67" xfId="57" applyNumberFormat="1" applyFont="1" applyFill="1" applyBorder="1" applyAlignment="1">
      <alignment horizontal="center" vertical="center"/>
      <protection/>
    </xf>
    <xf numFmtId="0" fontId="40" fillId="0" borderId="67" xfId="0" applyFont="1" applyBorder="1" applyAlignment="1">
      <alignment vertical="center"/>
    </xf>
    <xf numFmtId="0" fontId="40" fillId="0" borderId="89" xfId="0" applyFont="1" applyBorder="1" applyAlignment="1">
      <alignment vertical="center"/>
    </xf>
    <xf numFmtId="2" fontId="44" fillId="8" borderId="10" xfId="57" applyNumberFormat="1" applyFont="1" applyFill="1" applyBorder="1" applyAlignment="1">
      <alignment horizontal="left" vertical="center"/>
      <protection/>
    </xf>
    <xf numFmtId="2" fontId="44" fillId="8" borderId="104" xfId="57" applyNumberFormat="1" applyFont="1" applyFill="1" applyBorder="1" applyAlignment="1">
      <alignment horizontal="left" vertical="center"/>
      <protection/>
    </xf>
    <xf numFmtId="2" fontId="44" fillId="8" borderId="64" xfId="57" applyNumberFormat="1" applyFont="1" applyFill="1" applyBorder="1" applyAlignment="1">
      <alignment horizontal="left" vertical="center"/>
      <protection/>
    </xf>
    <xf numFmtId="0" fontId="39" fillId="0" borderId="72" xfId="54" applyFont="1" applyBorder="1" applyAlignment="1">
      <alignment horizontal="center" vertical="center" wrapText="1"/>
      <protection/>
    </xf>
    <xf numFmtId="0" fontId="39" fillId="0" borderId="73" xfId="54" applyFont="1" applyBorder="1" applyAlignment="1">
      <alignment horizontal="center" vertical="center" wrapText="1"/>
      <protection/>
    </xf>
    <xf numFmtId="0" fontId="39" fillId="0" borderId="58" xfId="54" applyFont="1" applyBorder="1" applyAlignment="1">
      <alignment horizontal="center" vertical="center" wrapText="1"/>
      <protection/>
    </xf>
    <xf numFmtId="0" fontId="39" fillId="0" borderId="19" xfId="54" applyFont="1" applyBorder="1" applyAlignment="1">
      <alignment horizontal="center" vertical="center" wrapText="1"/>
      <protection/>
    </xf>
    <xf numFmtId="0" fontId="39" fillId="0" borderId="13" xfId="54" applyFont="1" applyBorder="1" applyAlignment="1">
      <alignment horizontal="center" vertical="center" wrapText="1"/>
      <protection/>
    </xf>
    <xf numFmtId="173" fontId="39" fillId="0" borderId="61" xfId="50" applyNumberFormat="1" applyFont="1" applyBorder="1" applyAlignment="1" applyProtection="1">
      <alignment horizontal="center" vertical="center"/>
      <protection locked="0"/>
    </xf>
    <xf numFmtId="173" fontId="39" fillId="0" borderId="105" xfId="50" applyNumberFormat="1" applyFont="1" applyBorder="1" applyAlignment="1" applyProtection="1">
      <alignment horizontal="center" vertical="center"/>
      <protection locked="0"/>
    </xf>
    <xf numFmtId="173" fontId="39" fillId="0" borderId="24" xfId="50" applyNumberFormat="1" applyFont="1" applyBorder="1" applyAlignment="1" applyProtection="1">
      <alignment horizontal="center" vertical="center"/>
      <protection locked="0"/>
    </xf>
    <xf numFmtId="0" fontId="40" fillId="0" borderId="0" xfId="54" applyFont="1" applyBorder="1" applyAlignment="1">
      <alignment vertical="center" wrapText="1"/>
      <protection/>
    </xf>
    <xf numFmtId="0" fontId="39" fillId="0" borderId="16" xfId="54" applyFont="1" applyBorder="1" applyAlignment="1">
      <alignment horizontal="center" vertical="center" wrapText="1"/>
      <protection/>
    </xf>
    <xf numFmtId="0" fontId="39" fillId="0" borderId="67" xfId="54" applyFont="1" applyBorder="1" applyAlignment="1">
      <alignment horizontal="center" vertical="center" wrapText="1"/>
      <protection/>
    </xf>
    <xf numFmtId="0" fontId="39" fillId="0" borderId="18" xfId="54" applyFont="1" applyBorder="1" applyAlignment="1">
      <alignment horizontal="center" vertical="center" wrapText="1"/>
      <protection/>
    </xf>
    <xf numFmtId="0" fontId="39" fillId="0" borderId="104" xfId="54" applyFont="1" applyBorder="1" applyAlignment="1">
      <alignment horizontal="center" vertical="center" wrapText="1"/>
      <protection/>
    </xf>
    <xf numFmtId="0" fontId="39" fillId="0" borderId="64" xfId="54" applyFont="1" applyBorder="1" applyAlignment="1">
      <alignment horizontal="center" vertical="center" wrapText="1"/>
      <protection/>
    </xf>
    <xf numFmtId="0" fontId="39" fillId="0" borderId="61" xfId="54" applyFont="1" applyBorder="1" applyAlignment="1">
      <alignment horizontal="center" vertical="center" wrapText="1"/>
      <protection/>
    </xf>
    <xf numFmtId="0" fontId="39" fillId="0" borderId="105" xfId="54" applyFont="1" applyBorder="1" applyAlignment="1">
      <alignment horizontal="center" vertical="center" wrapText="1"/>
      <protection/>
    </xf>
    <xf numFmtId="0" fontId="39" fillId="0" borderId="24" xfId="54" applyFont="1" applyBorder="1" applyAlignment="1">
      <alignment horizontal="center" vertical="center" wrapText="1"/>
      <protection/>
    </xf>
    <xf numFmtId="0" fontId="70" fillId="0" borderId="0" xfId="54" applyFont="1" applyAlignment="1">
      <alignment horizontal="left" vertical="center" wrapText="1"/>
      <protection/>
    </xf>
    <xf numFmtId="0" fontId="39" fillId="0" borderId="61" xfId="54" applyFont="1" applyBorder="1" applyAlignment="1">
      <alignment horizontal="center" vertical="center"/>
      <protection/>
    </xf>
    <xf numFmtId="0" fontId="39" fillId="0" borderId="105" xfId="54" applyFont="1" applyBorder="1" applyAlignment="1">
      <alignment horizontal="center" vertical="center"/>
      <protection/>
    </xf>
    <xf numFmtId="0" fontId="39" fillId="0" borderId="24" xfId="54" applyFont="1" applyBorder="1" applyAlignment="1">
      <alignment horizontal="center" vertical="center"/>
      <protection/>
    </xf>
    <xf numFmtId="0" fontId="39" fillId="0" borderId="18" xfId="54" applyFont="1" applyBorder="1" applyAlignment="1">
      <alignment horizontal="center" vertical="center"/>
      <protection/>
    </xf>
    <xf numFmtId="0" fontId="39" fillId="0" borderId="104" xfId="54" applyFont="1" applyBorder="1" applyAlignment="1">
      <alignment horizontal="center" vertical="center"/>
      <protection/>
    </xf>
    <xf numFmtId="0" fontId="39" fillId="0" borderId="64" xfId="54" applyFont="1" applyBorder="1" applyAlignment="1">
      <alignment horizontal="center" vertical="center"/>
      <protection/>
    </xf>
    <xf numFmtId="0" fontId="40" fillId="0" borderId="61" xfId="54" applyFont="1" applyBorder="1" applyAlignment="1">
      <alignment horizontal="center" vertical="center"/>
      <protection/>
    </xf>
    <xf numFmtId="0" fontId="40" fillId="0" borderId="105" xfId="54" applyFont="1" applyBorder="1" applyAlignment="1">
      <alignment horizontal="center" vertical="center"/>
      <protection/>
    </xf>
    <xf numFmtId="0" fontId="40" fillId="0" borderId="24" xfId="54" applyFont="1" applyBorder="1" applyAlignment="1">
      <alignment horizontal="center" vertical="center"/>
      <protection/>
    </xf>
    <xf numFmtId="0" fontId="40" fillId="0" borderId="103" xfId="54" applyFont="1" applyBorder="1" applyAlignment="1">
      <alignment horizontal="center" vertical="center"/>
      <protection/>
    </xf>
    <xf numFmtId="0" fontId="40" fillId="0" borderId="56" xfId="54" applyFont="1" applyBorder="1" applyAlignment="1">
      <alignment horizontal="center" vertical="center"/>
      <protection/>
    </xf>
    <xf numFmtId="0" fontId="40" fillId="0" borderId="29" xfId="54" applyFont="1" applyBorder="1" applyAlignment="1">
      <alignment horizontal="center" vertical="center"/>
      <protection/>
    </xf>
    <xf numFmtId="0" fontId="39" fillId="0" borderId="103" xfId="54" applyFont="1" applyBorder="1" applyAlignment="1">
      <alignment horizontal="center" vertical="center"/>
      <protection/>
    </xf>
    <xf numFmtId="0" fontId="39" fillId="0" borderId="56" xfId="54" applyFont="1" applyBorder="1" applyAlignment="1">
      <alignment horizontal="center" vertical="center"/>
      <protection/>
    </xf>
    <xf numFmtId="0" fontId="39" fillId="0" borderId="29" xfId="54" applyFont="1" applyBorder="1" applyAlignment="1">
      <alignment horizontal="center" vertical="center"/>
      <protection/>
    </xf>
    <xf numFmtId="0" fontId="40" fillId="0" borderId="0" xfId="0" applyFont="1" applyAlignment="1">
      <alignment horizontal="left" vertical="center"/>
    </xf>
    <xf numFmtId="0" fontId="39" fillId="8" borderId="28" xfId="0" applyFont="1" applyFill="1" applyBorder="1" applyAlignment="1">
      <alignment horizontal="center" vertical="center"/>
    </xf>
    <xf numFmtId="0" fontId="39" fillId="8" borderId="56" xfId="0" applyFont="1" applyFill="1" applyBorder="1" applyAlignment="1">
      <alignment horizontal="center" vertical="center"/>
    </xf>
    <xf numFmtId="2" fontId="39" fillId="8" borderId="16" xfId="0" applyNumberFormat="1" applyFont="1" applyFill="1" applyBorder="1" applyAlignment="1">
      <alignment horizontal="left" vertical="center"/>
    </xf>
    <xf numFmtId="0" fontId="39" fillId="8" borderId="67" xfId="0" applyFont="1" applyFill="1" applyBorder="1" applyAlignment="1">
      <alignment horizontal="left" vertical="center"/>
    </xf>
    <xf numFmtId="0" fontId="39" fillId="8" borderId="16" xfId="0" applyFont="1" applyFill="1" applyBorder="1" applyAlignment="1">
      <alignment horizontal="center" vertical="center"/>
    </xf>
    <xf numFmtId="0" fontId="39" fillId="8" borderId="67" xfId="0" applyFont="1" applyFill="1" applyBorder="1" applyAlignment="1">
      <alignment horizontal="center" vertical="center"/>
    </xf>
    <xf numFmtId="0" fontId="39" fillId="8" borderId="89" xfId="0" applyFont="1" applyFill="1" applyBorder="1" applyAlignment="1">
      <alignment horizontal="center" vertical="center"/>
    </xf>
    <xf numFmtId="0" fontId="39" fillId="8" borderId="82" xfId="0" applyFont="1" applyFill="1" applyBorder="1" applyAlignment="1">
      <alignment horizontal="center" vertical="center"/>
    </xf>
    <xf numFmtId="0" fontId="39" fillId="8" borderId="81" xfId="0" applyFont="1" applyFill="1" applyBorder="1" applyAlignment="1">
      <alignment horizontal="center" vertical="center"/>
    </xf>
    <xf numFmtId="0" fontId="39" fillId="0" borderId="7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7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25" borderId="72" xfId="57" applyFont="1" applyFill="1" applyBorder="1" applyAlignment="1">
      <alignment horizontal="center" vertical="center" wrapText="1"/>
      <protection/>
    </xf>
    <xf numFmtId="0" fontId="39" fillId="25" borderId="73" xfId="57" applyFont="1" applyFill="1" applyBorder="1" applyAlignment="1">
      <alignment horizontal="center" vertical="center" wrapText="1"/>
      <protection/>
    </xf>
    <xf numFmtId="1" fontId="39" fillId="25" borderId="73" xfId="57" applyNumberFormat="1" applyFont="1" applyFill="1" applyBorder="1" applyAlignment="1">
      <alignment horizontal="center" vertical="center" wrapText="1"/>
      <protection/>
    </xf>
    <xf numFmtId="1" fontId="39" fillId="25" borderId="13" xfId="57" applyNumberFormat="1" applyFont="1" applyFill="1" applyBorder="1" applyAlignment="1">
      <alignment horizontal="center" vertical="center" wrapText="1"/>
      <protection/>
    </xf>
    <xf numFmtId="2" fontId="44" fillId="0" borderId="65" xfId="57" applyNumberFormat="1" applyFont="1" applyFill="1" applyBorder="1" applyAlignment="1">
      <alignment horizontal="center" vertical="center" wrapText="1"/>
      <protection/>
    </xf>
    <xf numFmtId="2" fontId="44" fillId="0" borderId="17" xfId="57" applyNumberFormat="1" applyFont="1" applyFill="1" applyBorder="1" applyAlignment="1">
      <alignment horizontal="center" vertical="center" wrapText="1"/>
      <protection/>
    </xf>
    <xf numFmtId="2" fontId="44" fillId="0" borderId="12" xfId="57" applyNumberFormat="1" applyFont="1" applyFill="1" applyBorder="1" applyAlignment="1">
      <alignment horizontal="center" vertical="center" wrapText="1"/>
      <protection/>
    </xf>
    <xf numFmtId="0" fontId="40" fillId="8" borderId="65" xfId="53" applyFont="1" applyFill="1" applyBorder="1" applyAlignment="1">
      <alignment vertical="center" wrapText="1"/>
      <protection/>
    </xf>
    <xf numFmtId="0" fontId="40" fillId="8" borderId="17" xfId="53" applyFont="1" applyFill="1" applyBorder="1" applyAlignment="1">
      <alignment vertical="center" wrapText="1"/>
      <protection/>
    </xf>
    <xf numFmtId="0" fontId="40" fillId="8" borderId="12" xfId="53" applyFont="1" applyFill="1" applyBorder="1" applyAlignment="1">
      <alignment vertical="center" wrapText="1"/>
      <protection/>
    </xf>
    <xf numFmtId="0" fontId="39" fillId="0" borderId="65" xfId="53" applyFont="1" applyBorder="1" applyAlignment="1">
      <alignment horizontal="center" vertical="center" wrapText="1"/>
      <protection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12" xfId="53" applyFont="1" applyBorder="1" applyAlignment="1">
      <alignment horizontal="center" vertical="center" wrapText="1"/>
      <protection/>
    </xf>
    <xf numFmtId="2" fontId="44" fillId="8" borderId="65" xfId="57" applyNumberFormat="1" applyFont="1" applyFill="1" applyBorder="1" applyAlignment="1">
      <alignment horizontal="center" vertical="center" wrapText="1"/>
      <protection/>
    </xf>
    <xf numFmtId="2" fontId="44" fillId="8" borderId="17" xfId="57" applyNumberFormat="1" applyFont="1" applyFill="1" applyBorder="1" applyAlignment="1">
      <alignment horizontal="center" vertical="center" wrapText="1"/>
      <protection/>
    </xf>
    <xf numFmtId="2" fontId="29" fillId="8" borderId="17" xfId="58" applyNumberFormat="1" applyFont="1" applyFill="1" applyBorder="1" applyAlignment="1">
      <alignment horizontal="center" vertical="center" wrapText="1"/>
      <protection/>
    </xf>
    <xf numFmtId="2" fontId="29" fillId="8" borderId="12" xfId="58" applyNumberFormat="1" applyFont="1" applyFill="1" applyBorder="1" applyAlignment="1">
      <alignment horizontal="center" vertical="center" wrapText="1"/>
      <protection/>
    </xf>
    <xf numFmtId="0" fontId="45" fillId="0" borderId="0" xfId="53" applyFont="1" applyAlignment="1">
      <alignment horizontal="left" vertical="center" wrapText="1"/>
      <protection/>
    </xf>
    <xf numFmtId="0" fontId="40" fillId="0" borderId="118" xfId="0" applyFont="1" applyBorder="1" applyAlignment="1" applyProtection="1">
      <alignment horizontal="center" vertical="center" wrapText="1"/>
      <protection locked="0"/>
    </xf>
    <xf numFmtId="0" fontId="40" fillId="0" borderId="119" xfId="0" applyFont="1" applyBorder="1" applyAlignment="1" applyProtection="1">
      <alignment horizontal="center" vertical="center" wrapText="1"/>
      <protection locked="0"/>
    </xf>
    <xf numFmtId="173" fontId="39" fillId="0" borderId="120" xfId="0" applyNumberFormat="1" applyFont="1" applyBorder="1" applyAlignment="1" applyProtection="1">
      <alignment horizontal="center" vertical="center" wrapText="1"/>
      <protection locked="0"/>
    </xf>
    <xf numFmtId="173" fontId="39" fillId="0" borderId="121" xfId="0" applyNumberFormat="1" applyFont="1" applyBorder="1" applyAlignment="1" applyProtection="1">
      <alignment horizontal="center" vertical="center" wrapText="1"/>
      <protection locked="0"/>
    </xf>
    <xf numFmtId="173" fontId="46" fillId="0" borderId="122" xfId="0" applyNumberFormat="1" applyFont="1" applyBorder="1" applyAlignment="1" applyProtection="1">
      <alignment horizontal="center" vertical="center" wrapText="1"/>
      <protection locked="0"/>
    </xf>
    <xf numFmtId="173" fontId="46" fillId="0" borderId="83" xfId="0" applyNumberFormat="1" applyFont="1" applyBorder="1" applyAlignment="1" applyProtection="1">
      <alignment horizontal="center" vertical="center" wrapText="1"/>
      <protection locked="0"/>
    </xf>
    <xf numFmtId="173" fontId="46" fillId="0" borderId="84" xfId="0" applyNumberFormat="1" applyFont="1" applyBorder="1" applyAlignment="1" applyProtection="1">
      <alignment horizontal="center" vertical="center" wrapText="1"/>
      <protection locked="0"/>
    </xf>
    <xf numFmtId="2" fontId="44" fillId="0" borderId="10" xfId="57" applyNumberFormat="1" applyFont="1" applyFill="1" applyBorder="1" applyAlignment="1">
      <alignment horizontal="center" vertical="center" wrapText="1"/>
      <protection/>
    </xf>
    <xf numFmtId="2" fontId="44" fillId="0" borderId="104" xfId="57" applyNumberFormat="1" applyFont="1" applyFill="1" applyBorder="1" applyAlignment="1">
      <alignment horizontal="center" vertical="center" wrapText="1"/>
      <protection/>
    </xf>
    <xf numFmtId="2" fontId="44" fillId="0" borderId="63" xfId="57" applyNumberFormat="1" applyFont="1" applyFill="1" applyBorder="1" applyAlignment="1">
      <alignment horizontal="center" vertical="center" wrapText="1"/>
      <protection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23" xfId="0" applyFont="1" applyBorder="1" applyAlignment="1">
      <alignment horizontal="center" vertical="center" wrapText="1"/>
    </xf>
    <xf numFmtId="0" fontId="39" fillId="0" borderId="124" xfId="0" applyFont="1" applyBorder="1" applyAlignment="1">
      <alignment horizontal="center" vertical="center" wrapText="1"/>
    </xf>
    <xf numFmtId="0" fontId="46" fillId="0" borderId="122" xfId="0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46" fillId="0" borderId="84" xfId="0" applyFont="1" applyBorder="1" applyAlignment="1">
      <alignment horizontal="center" vertical="center" wrapText="1"/>
    </xf>
    <xf numFmtId="173" fontId="39" fillId="0" borderId="118" xfId="0" applyNumberFormat="1" applyFont="1" applyBorder="1" applyAlignment="1" applyProtection="1">
      <alignment horizontal="center" vertical="center" wrapText="1"/>
      <protection locked="0"/>
    </xf>
    <xf numFmtId="173" fontId="39" fillId="0" borderId="119" xfId="0" applyNumberFormat="1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>
      <alignment horizontal="center" vertical="center" wrapText="1"/>
    </xf>
    <xf numFmtId="0" fontId="47" fillId="0" borderId="118" xfId="0" applyFont="1" applyBorder="1" applyAlignment="1" applyProtection="1">
      <alignment horizontal="center" vertical="center" wrapText="1"/>
      <protection locked="0"/>
    </xf>
    <xf numFmtId="0" fontId="47" fillId="0" borderId="119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>
      <alignment horizontal="center" vertical="center" wrapText="1"/>
    </xf>
    <xf numFmtId="0" fontId="39" fillId="25" borderId="45" xfId="57" applyFont="1" applyFill="1" applyBorder="1" applyAlignment="1">
      <alignment horizontal="center" vertical="center" wrapText="1"/>
      <protection/>
    </xf>
    <xf numFmtId="0" fontId="39" fillId="25" borderId="46" xfId="57" applyFont="1" applyFill="1" applyBorder="1" applyAlignment="1">
      <alignment horizontal="center" vertical="center" wrapText="1"/>
      <protection/>
    </xf>
    <xf numFmtId="0" fontId="39" fillId="25" borderId="47" xfId="57" applyFont="1" applyFill="1" applyBorder="1" applyAlignment="1">
      <alignment horizontal="center" vertical="center" wrapText="1"/>
      <protection/>
    </xf>
    <xf numFmtId="2" fontId="44" fillId="8" borderId="45" xfId="57" applyNumberFormat="1" applyFont="1" applyFill="1" applyBorder="1" applyAlignment="1">
      <alignment horizontal="center" vertical="center" wrapText="1"/>
      <protection/>
    </xf>
    <xf numFmtId="2" fontId="44" fillId="8" borderId="46" xfId="57" applyNumberFormat="1" applyFont="1" applyFill="1" applyBorder="1" applyAlignment="1">
      <alignment horizontal="center" vertical="center" wrapText="1"/>
      <protection/>
    </xf>
    <xf numFmtId="2" fontId="44" fillId="8" borderId="47" xfId="57" applyNumberFormat="1" applyFont="1" applyFill="1" applyBorder="1" applyAlignment="1">
      <alignment horizontal="center" vertical="center" wrapText="1"/>
      <protection/>
    </xf>
    <xf numFmtId="0" fontId="39" fillId="0" borderId="17" xfId="0" applyFont="1" applyFill="1" applyBorder="1" applyAlignment="1">
      <alignment horizontal="center" vertical="center" wrapText="1"/>
    </xf>
    <xf numFmtId="173" fontId="40" fillId="0" borderId="118" xfId="0" applyNumberFormat="1" applyFont="1" applyBorder="1" applyAlignment="1" applyProtection="1">
      <alignment horizontal="center" vertical="center" wrapText="1"/>
      <protection locked="0"/>
    </xf>
    <xf numFmtId="173" fontId="40" fillId="0" borderId="119" xfId="0" applyNumberFormat="1" applyFont="1" applyBorder="1" applyAlignment="1" applyProtection="1">
      <alignment horizontal="center" vertical="center" wrapText="1"/>
      <protection locked="0"/>
    </xf>
    <xf numFmtId="2" fontId="29" fillId="8" borderId="45" xfId="58" applyNumberFormat="1" applyFont="1" applyFill="1" applyBorder="1" applyAlignment="1">
      <alignment horizontal="center" vertical="center" wrapText="1"/>
      <protection/>
    </xf>
    <xf numFmtId="2" fontId="29" fillId="8" borderId="47" xfId="58" applyNumberFormat="1" applyFont="1" applyFill="1" applyBorder="1" applyAlignment="1">
      <alignment horizontal="center" vertical="center" wrapText="1"/>
      <protection/>
    </xf>
    <xf numFmtId="1" fontId="39" fillId="25" borderId="45" xfId="57" applyNumberFormat="1" applyFont="1" applyFill="1" applyBorder="1" applyAlignment="1">
      <alignment horizontal="center" vertical="center" wrapText="1"/>
      <protection/>
    </xf>
    <xf numFmtId="1" fontId="39" fillId="25" borderId="47" xfId="57" applyNumberFormat="1" applyFont="1" applyFill="1" applyBorder="1" applyAlignment="1">
      <alignment horizontal="center" vertical="center" wrapText="1"/>
      <protection/>
    </xf>
    <xf numFmtId="2" fontId="44" fillId="0" borderId="28" xfId="57" applyNumberFormat="1" applyFont="1" applyFill="1" applyBorder="1" applyAlignment="1">
      <alignment horizontal="center" vertical="center" wrapText="1"/>
      <protection/>
    </xf>
    <xf numFmtId="2" fontId="44" fillId="0" borderId="56" xfId="57" applyNumberFormat="1" applyFont="1" applyFill="1" applyBorder="1" applyAlignment="1">
      <alignment horizontal="center" vertical="center" wrapText="1"/>
      <protection/>
    </xf>
    <xf numFmtId="2" fontId="44" fillId="0" borderId="81" xfId="57" applyNumberFormat="1" applyFont="1" applyFill="1" applyBorder="1" applyAlignment="1">
      <alignment horizontal="center" vertical="center" wrapText="1"/>
      <protection/>
    </xf>
    <xf numFmtId="173" fontId="40" fillId="0" borderId="118" xfId="0" applyNumberFormat="1" applyFont="1" applyBorder="1" applyAlignment="1" applyProtection="1">
      <alignment horizontal="left" vertical="center" wrapText="1"/>
      <protection locked="0"/>
    </xf>
    <xf numFmtId="173" fontId="40" fillId="0" borderId="119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3" fillId="25" borderId="116" xfId="57" applyFont="1" applyFill="1" applyBorder="1" applyAlignment="1">
      <alignment horizontal="center" vertical="center" wrapText="1"/>
      <protection/>
    </xf>
    <xf numFmtId="0" fontId="3" fillId="25" borderId="117" xfId="57" applyFont="1" applyFill="1" applyBorder="1" applyAlignment="1">
      <alignment horizontal="center" vertical="center" wrapText="1"/>
      <protection/>
    </xf>
    <xf numFmtId="0" fontId="3" fillId="25" borderId="75" xfId="57" applyFont="1" applyFill="1" applyBorder="1" applyAlignment="1">
      <alignment horizontal="center" vertical="center" wrapText="1"/>
      <protection/>
    </xf>
    <xf numFmtId="2" fontId="26" fillId="8" borderId="10" xfId="57" applyNumberFormat="1" applyFont="1" applyFill="1" applyBorder="1" applyAlignment="1">
      <alignment horizontal="left" vertical="center" wrapText="1"/>
      <protection/>
    </xf>
    <xf numFmtId="2" fontId="26" fillId="8" borderId="104" xfId="57" applyNumberFormat="1" applyFont="1" applyFill="1" applyBorder="1" applyAlignment="1">
      <alignment horizontal="left" vertical="center" wrapText="1"/>
      <protection/>
    </xf>
    <xf numFmtId="2" fontId="26" fillId="8" borderId="64" xfId="57" applyNumberFormat="1" applyFont="1" applyFill="1" applyBorder="1" applyAlignment="1">
      <alignment horizontal="left" vertical="center" wrapText="1"/>
      <protection/>
    </xf>
    <xf numFmtId="2" fontId="26" fillId="0" borderId="10" xfId="57" applyNumberFormat="1" applyFont="1" applyFill="1" applyBorder="1" applyAlignment="1">
      <alignment horizontal="center" vertical="center"/>
      <protection/>
    </xf>
    <xf numFmtId="2" fontId="26" fillId="0" borderId="104" xfId="57" applyNumberFormat="1" applyFont="1" applyFill="1" applyBorder="1" applyAlignment="1">
      <alignment horizontal="center" vertical="center"/>
      <protection/>
    </xf>
    <xf numFmtId="2" fontId="26" fillId="0" borderId="63" xfId="57" applyNumberFormat="1" applyFont="1" applyFill="1" applyBorder="1" applyAlignment="1">
      <alignment horizontal="center" vertical="center"/>
      <protection/>
    </xf>
    <xf numFmtId="0" fontId="40" fillId="0" borderId="0" xfId="0" applyFont="1" applyAlignment="1" quotePrefix="1">
      <alignment horizontal="left" vertical="center"/>
    </xf>
    <xf numFmtId="0" fontId="39" fillId="0" borderId="15" xfId="63" applyFont="1" applyFill="1" applyBorder="1" applyAlignment="1" applyProtection="1">
      <alignment horizontal="center" vertical="center"/>
      <protection/>
    </xf>
    <xf numFmtId="0" fontId="39" fillId="0" borderId="0" xfId="63" applyFont="1" applyFill="1" applyBorder="1" applyAlignment="1" applyProtection="1">
      <alignment horizontal="center" vertical="center"/>
      <protection/>
    </xf>
    <xf numFmtId="0" fontId="39" fillId="0" borderId="22" xfId="63" applyFont="1" applyFill="1" applyBorder="1" applyAlignment="1" applyProtection="1">
      <alignment horizontal="center" vertical="center"/>
      <protection/>
    </xf>
    <xf numFmtId="0" fontId="40" fillId="0" borderId="0" xfId="0" applyFont="1" applyAlignment="1" quotePrefix="1">
      <alignment horizontal="left" vertical="center" wrapText="1"/>
    </xf>
    <xf numFmtId="1" fontId="44" fillId="8" borderId="73" xfId="58" applyNumberFormat="1" applyFont="1" applyFill="1" applyBorder="1" applyAlignment="1" applyProtection="1">
      <alignment horizontal="center" vertical="center"/>
      <protection/>
    </xf>
    <xf numFmtId="1" fontId="44" fillId="8" borderId="13" xfId="58" applyNumberFormat="1" applyFont="1" applyFill="1" applyBorder="1" applyAlignment="1" applyProtection="1">
      <alignment horizontal="center" vertical="center"/>
      <protection/>
    </xf>
    <xf numFmtId="2" fontId="44" fillId="8" borderId="62" xfId="58" applyNumberFormat="1" applyFont="1" applyFill="1" applyBorder="1" applyAlignment="1" applyProtection="1">
      <alignment horizontal="center" vertical="center" wrapText="1"/>
      <protection/>
    </xf>
    <xf numFmtId="2" fontId="44" fillId="8" borderId="67" xfId="58" applyNumberFormat="1" applyFont="1" applyFill="1" applyBorder="1" applyAlignment="1" applyProtection="1">
      <alignment horizontal="center" vertical="center" wrapText="1"/>
      <protection/>
    </xf>
    <xf numFmtId="2" fontId="44" fillId="8" borderId="89" xfId="58" applyNumberFormat="1" applyFont="1" applyFill="1" applyBorder="1" applyAlignment="1" applyProtection="1">
      <alignment horizontal="center" vertical="center" wrapText="1"/>
      <protection/>
    </xf>
    <xf numFmtId="2" fontId="44" fillId="8" borderId="16" xfId="58" applyNumberFormat="1" applyFont="1" applyFill="1" applyBorder="1" applyAlignment="1" applyProtection="1">
      <alignment horizontal="center" vertical="center"/>
      <protection/>
    </xf>
    <xf numFmtId="2" fontId="44" fillId="8" borderId="67" xfId="58" applyNumberFormat="1" applyFont="1" applyFill="1" applyBorder="1" applyAlignment="1" applyProtection="1">
      <alignment horizontal="center" vertical="center"/>
      <protection/>
    </xf>
    <xf numFmtId="0" fontId="39" fillId="25" borderId="116" xfId="58" applyFont="1" applyFill="1" applyBorder="1" applyAlignment="1" applyProtection="1">
      <alignment horizontal="center" vertical="center" wrapText="1"/>
      <protection/>
    </xf>
    <xf numFmtId="0" fontId="39" fillId="25" borderId="117" xfId="58" applyFont="1" applyFill="1" applyBorder="1" applyAlignment="1" applyProtection="1">
      <alignment horizontal="center" vertical="center" wrapText="1"/>
      <protection/>
    </xf>
    <xf numFmtId="0" fontId="39" fillId="8" borderId="125" xfId="0" applyFont="1" applyFill="1" applyBorder="1" applyAlignment="1">
      <alignment horizontal="center" vertical="center"/>
    </xf>
    <xf numFmtId="0" fontId="39" fillId="8" borderId="68" xfId="0" applyFont="1" applyFill="1" applyBorder="1" applyAlignment="1">
      <alignment horizontal="center" vertical="center"/>
    </xf>
    <xf numFmtId="2" fontId="39" fillId="8" borderId="45" xfId="0" applyNumberFormat="1" applyFont="1" applyFill="1" applyBorder="1" applyAlignment="1">
      <alignment horizontal="left" vertical="center"/>
    </xf>
    <xf numFmtId="0" fontId="39" fillId="8" borderId="46" xfId="0" applyFont="1" applyFill="1" applyBorder="1" applyAlignment="1">
      <alignment horizontal="left" vertical="center"/>
    </xf>
    <xf numFmtId="0" fontId="39" fillId="8" borderId="47" xfId="0" applyFont="1" applyFill="1" applyBorder="1" applyAlignment="1">
      <alignment horizontal="left" vertical="center"/>
    </xf>
    <xf numFmtId="0" fontId="39" fillId="16" borderId="15" xfId="0" applyFont="1" applyFill="1" applyBorder="1" applyAlignment="1">
      <alignment horizontal="left" vertical="center"/>
    </xf>
    <xf numFmtId="0" fontId="39" fillId="16" borderId="0" xfId="0" applyFont="1" applyFill="1" applyBorder="1" applyAlignment="1">
      <alignment horizontal="left" vertical="center"/>
    </xf>
    <xf numFmtId="0" fontId="39" fillId="16" borderId="22" xfId="0" applyFont="1" applyFill="1" applyBorder="1" applyAlignment="1">
      <alignment horizontal="left" vertical="center"/>
    </xf>
    <xf numFmtId="0" fontId="39" fillId="8" borderId="69" xfId="0" applyFont="1" applyFill="1" applyBorder="1" applyAlignment="1">
      <alignment horizontal="center" vertical="center"/>
    </xf>
    <xf numFmtId="0" fontId="39" fillId="0" borderId="125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39" fillId="8" borderId="42" xfId="0" applyFont="1" applyFill="1" applyBorder="1" applyAlignment="1">
      <alignment horizontal="center" vertical="center" wrapText="1"/>
    </xf>
    <xf numFmtId="0" fontId="39" fillId="8" borderId="69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left" vertical="center"/>
    </xf>
    <xf numFmtId="0" fontId="40" fillId="0" borderId="69" xfId="0" applyFont="1" applyBorder="1" applyAlignment="1">
      <alignment horizontal="left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39" fillId="0" borderId="43" xfId="0" applyFont="1" applyBorder="1" applyAlignment="1">
      <alignment horizontal="center" vertical="center" wrapText="1"/>
    </xf>
    <xf numFmtId="0" fontId="39" fillId="0" borderId="115" xfId="0" applyFont="1" applyBorder="1" applyAlignment="1">
      <alignment horizontal="center" vertical="center"/>
    </xf>
    <xf numFmtId="0" fontId="39" fillId="0" borderId="117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4" fontId="40" fillId="0" borderId="10" xfId="64" applyNumberFormat="1" applyFont="1" applyBorder="1" applyAlignment="1">
      <alignment horizontal="center" vertical="center"/>
      <protection/>
    </xf>
    <xf numFmtId="4" fontId="40" fillId="0" borderId="104" xfId="64" applyNumberFormat="1" applyFont="1" applyBorder="1" applyAlignment="1">
      <alignment horizontal="center" vertical="center"/>
      <protection/>
    </xf>
    <xf numFmtId="4" fontId="40" fillId="0" borderId="64" xfId="64" applyNumberFormat="1" applyFont="1" applyBorder="1" applyAlignment="1">
      <alignment horizontal="center" vertical="center"/>
      <protection/>
    </xf>
    <xf numFmtId="1" fontId="44" fillId="8" borderId="45" xfId="58" applyNumberFormat="1" applyFont="1" applyFill="1" applyBorder="1" applyAlignment="1">
      <alignment horizontal="center" vertical="center"/>
      <protection/>
    </xf>
    <xf numFmtId="1" fontId="44" fillId="8" borderId="47" xfId="58" applyNumberFormat="1" applyFont="1" applyFill="1" applyBorder="1" applyAlignment="1">
      <alignment horizontal="center" vertical="center"/>
      <protection/>
    </xf>
    <xf numFmtId="0" fontId="41" fillId="0" borderId="28" xfId="64" applyFont="1" applyFill="1" applyBorder="1" applyAlignment="1">
      <alignment horizontal="center" vertical="center" wrapText="1"/>
      <protection/>
    </xf>
    <xf numFmtId="0" fontId="41" fillId="0" borderId="56" xfId="64" applyFont="1" applyFill="1" applyBorder="1" applyAlignment="1">
      <alignment horizontal="center" vertical="center" wrapText="1"/>
      <protection/>
    </xf>
    <xf numFmtId="0" fontId="41" fillId="0" borderId="81" xfId="64" applyFont="1" applyFill="1" applyBorder="1" applyAlignment="1">
      <alignment horizontal="center" vertical="center" wrapText="1"/>
      <protection/>
    </xf>
    <xf numFmtId="0" fontId="39" fillId="0" borderId="17" xfId="64" applyFont="1" applyFill="1" applyBorder="1" applyAlignment="1">
      <alignment horizontal="center" vertical="center" wrapText="1"/>
      <protection/>
    </xf>
    <xf numFmtId="0" fontId="39" fillId="0" borderId="18" xfId="64" applyFont="1" applyFill="1" applyBorder="1" applyAlignment="1">
      <alignment horizontal="center" vertical="center" wrapText="1"/>
      <protection/>
    </xf>
    <xf numFmtId="0" fontId="39" fillId="0" borderId="63" xfId="64" applyFont="1" applyFill="1" applyBorder="1" applyAlignment="1">
      <alignment horizontal="center" vertical="center" wrapText="1"/>
      <protection/>
    </xf>
    <xf numFmtId="0" fontId="39" fillId="0" borderId="64" xfId="64" applyFont="1" applyFill="1" applyBorder="1" applyAlignment="1">
      <alignment horizontal="center" vertical="center" wrapText="1"/>
      <protection/>
    </xf>
    <xf numFmtId="2" fontId="44" fillId="8" borderId="45" xfId="58" applyNumberFormat="1" applyFont="1" applyFill="1" applyBorder="1" applyAlignment="1">
      <alignment horizontal="center" vertical="center"/>
      <protection/>
    </xf>
    <xf numFmtId="2" fontId="44" fillId="8" borderId="46" xfId="58" applyNumberFormat="1" applyFont="1" applyFill="1" applyBorder="1" applyAlignment="1">
      <alignment horizontal="center" vertical="center"/>
      <protection/>
    </xf>
    <xf numFmtId="2" fontId="44" fillId="8" borderId="47" xfId="58" applyNumberFormat="1" applyFont="1" applyFill="1" applyBorder="1" applyAlignment="1">
      <alignment horizontal="center" vertical="center"/>
      <protection/>
    </xf>
    <xf numFmtId="0" fontId="39" fillId="0" borderId="10" xfId="64" applyFont="1" applyFill="1" applyBorder="1" applyAlignment="1">
      <alignment horizontal="center" vertical="center" wrapText="1"/>
      <protection/>
    </xf>
    <xf numFmtId="0" fontId="39" fillId="0" borderId="104" xfId="64" applyFont="1" applyFill="1" applyBorder="1" applyAlignment="1">
      <alignment horizontal="center" vertical="center" wrapText="1"/>
      <protection/>
    </xf>
    <xf numFmtId="0" fontId="39" fillId="25" borderId="45" xfId="58" applyFont="1" applyFill="1" applyBorder="1" applyAlignment="1">
      <alignment horizontal="center" vertical="center" wrapText="1"/>
      <protection/>
    </xf>
    <xf numFmtId="0" fontId="39" fillId="25" borderId="46" xfId="58" applyFont="1" applyFill="1" applyBorder="1" applyAlignment="1">
      <alignment horizontal="center" vertical="center" wrapText="1"/>
      <protection/>
    </xf>
    <xf numFmtId="0" fontId="39" fillId="25" borderId="47" xfId="58" applyFont="1" applyFill="1" applyBorder="1" applyAlignment="1">
      <alignment horizontal="center" vertical="center" wrapText="1"/>
      <protection/>
    </xf>
    <xf numFmtId="4" fontId="40" fillId="0" borderId="18" xfId="64" applyNumberFormat="1" applyFont="1" applyFill="1" applyBorder="1" applyAlignment="1">
      <alignment horizontal="center" vertical="center" wrapText="1"/>
      <protection/>
    </xf>
    <xf numFmtId="4" fontId="40" fillId="0" borderId="104" xfId="64" applyNumberFormat="1" applyFont="1" applyFill="1" applyBorder="1" applyAlignment="1">
      <alignment horizontal="center" vertical="center" wrapText="1"/>
      <protection/>
    </xf>
    <xf numFmtId="4" fontId="40" fillId="0" borderId="64" xfId="64" applyNumberFormat="1" applyFont="1" applyFill="1" applyBorder="1" applyAlignment="1">
      <alignment horizontal="center" vertical="center" wrapText="1"/>
      <protection/>
    </xf>
    <xf numFmtId="0" fontId="39" fillId="0" borderId="48" xfId="64" applyFont="1" applyFill="1" applyBorder="1" applyAlignment="1">
      <alignment horizontal="center" vertical="center" wrapText="1"/>
      <protection/>
    </xf>
    <xf numFmtId="0" fontId="39" fillId="0" borderId="11" xfId="64" applyFont="1" applyFill="1" applyBorder="1" applyAlignment="1">
      <alignment horizontal="center" vertical="center" wrapText="1"/>
      <protection/>
    </xf>
    <xf numFmtId="0" fontId="41" fillId="0" borderId="65" xfId="64" applyFont="1" applyFill="1" applyBorder="1" applyAlignment="1">
      <alignment horizontal="center" vertical="center" wrapText="1"/>
      <protection/>
    </xf>
    <xf numFmtId="0" fontId="41" fillId="0" borderId="17" xfId="64" applyFont="1" applyFill="1" applyBorder="1" applyAlignment="1">
      <alignment horizontal="center" vertical="center" wrapText="1"/>
      <protection/>
    </xf>
    <xf numFmtId="0" fontId="41" fillId="0" borderId="12" xfId="64" applyFont="1" applyFill="1" applyBorder="1" applyAlignment="1">
      <alignment horizontal="center" vertical="center" wrapText="1"/>
      <protection/>
    </xf>
    <xf numFmtId="0" fontId="39" fillId="0" borderId="65" xfId="64" applyFont="1" applyFill="1" applyBorder="1" applyAlignment="1">
      <alignment horizontal="center" vertical="center" wrapText="1"/>
      <protection/>
    </xf>
    <xf numFmtId="0" fontId="40" fillId="0" borderId="18" xfId="64" applyNumberFormat="1" applyFont="1" applyBorder="1" applyAlignment="1" applyProtection="1">
      <alignment horizontal="center" vertical="center"/>
      <protection locked="0"/>
    </xf>
    <xf numFmtId="0" fontId="40" fillId="0" borderId="63" xfId="64" applyNumberFormat="1" applyFont="1" applyBorder="1" applyAlignment="1" applyProtection="1">
      <alignment horizontal="center" vertical="center"/>
      <protection locked="0"/>
    </xf>
    <xf numFmtId="4" fontId="40" fillId="0" borderId="17" xfId="64" applyNumberFormat="1" applyFont="1" applyFill="1" applyBorder="1" applyAlignment="1">
      <alignment horizontal="center" vertical="center" wrapText="1"/>
      <protection/>
    </xf>
    <xf numFmtId="0" fontId="40" fillId="0" borderId="104" xfId="64" applyNumberFormat="1" applyFont="1" applyBorder="1" applyAlignment="1" applyProtection="1">
      <alignment horizontal="center" vertical="center"/>
      <protection locked="0"/>
    </xf>
    <xf numFmtId="0" fontId="40" fillId="0" borderId="64" xfId="64" applyNumberFormat="1" applyFont="1" applyBorder="1" applyAlignment="1" applyProtection="1">
      <alignment horizontal="center" vertical="center"/>
      <protection locked="0"/>
    </xf>
    <xf numFmtId="0" fontId="40" fillId="0" borderId="18" xfId="64" applyNumberFormat="1" applyFont="1" applyFill="1" applyBorder="1" applyAlignment="1">
      <alignment horizontal="center" vertical="center" wrapText="1"/>
      <protection/>
    </xf>
    <xf numFmtId="0" fontId="40" fillId="0" borderId="64" xfId="64" applyNumberFormat="1" applyFont="1" applyFill="1" applyBorder="1" applyAlignment="1">
      <alignment horizontal="center" vertical="center" wrapText="1"/>
      <protection/>
    </xf>
    <xf numFmtId="0" fontId="39" fillId="0" borderId="61" xfId="64" applyFont="1" applyFill="1" applyBorder="1" applyAlignment="1">
      <alignment horizontal="center" vertical="center" wrapText="1"/>
      <protection/>
    </xf>
    <xf numFmtId="0" fontId="39" fillId="0" borderId="24" xfId="64" applyFont="1" applyFill="1" applyBorder="1" applyAlignment="1">
      <alignment horizontal="center" vertical="center" wrapText="1"/>
      <protection/>
    </xf>
    <xf numFmtId="0" fontId="39" fillId="0" borderId="103" xfId="64" applyFont="1" applyFill="1" applyBorder="1" applyAlignment="1">
      <alignment horizontal="center" vertical="center" wrapText="1"/>
      <protection/>
    </xf>
    <xf numFmtId="0" fontId="39" fillId="0" borderId="29" xfId="64" applyFont="1" applyFill="1" applyBorder="1" applyAlignment="1">
      <alignment horizontal="center" vertical="center" wrapText="1"/>
      <protection/>
    </xf>
    <xf numFmtId="0" fontId="39" fillId="0" borderId="12" xfId="64" applyFont="1" applyFill="1" applyBorder="1" applyAlignment="1">
      <alignment horizontal="center" vertical="center" wrapText="1"/>
      <protection/>
    </xf>
    <xf numFmtId="0" fontId="40" fillId="0" borderId="45" xfId="64" applyNumberFormat="1" applyFont="1" applyBorder="1" applyAlignment="1" applyProtection="1">
      <alignment horizontal="center" vertical="center"/>
      <protection locked="0"/>
    </xf>
    <xf numFmtId="0" fontId="40" fillId="0" borderId="47" xfId="64" applyNumberFormat="1" applyFont="1" applyBorder="1" applyAlignment="1" applyProtection="1">
      <alignment horizontal="center" vertical="center"/>
      <protection locked="0"/>
    </xf>
    <xf numFmtId="0" fontId="40" fillId="0" borderId="61" xfId="64" applyNumberFormat="1" applyFont="1" applyFill="1" applyBorder="1" applyAlignment="1">
      <alignment horizontal="center" vertical="center" wrapText="1"/>
      <protection/>
    </xf>
    <xf numFmtId="0" fontId="40" fillId="0" borderId="24" xfId="64" applyNumberFormat="1" applyFont="1" applyFill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/>
      <protection/>
    </xf>
    <xf numFmtId="0" fontId="10" fillId="0" borderId="62" xfId="55" applyFont="1" applyBorder="1" applyAlignment="1">
      <alignment horizontal="center"/>
      <protection/>
    </xf>
    <xf numFmtId="0" fontId="10" fillId="0" borderId="76" xfId="55" applyFont="1" applyBorder="1" applyAlignment="1">
      <alignment horizontal="center"/>
      <protection/>
    </xf>
    <xf numFmtId="0" fontId="5" fillId="25" borderId="116" xfId="58" applyFont="1" applyFill="1" applyBorder="1" applyAlignment="1">
      <alignment horizontal="center" vertical="center" wrapText="1"/>
      <protection/>
    </xf>
    <xf numFmtId="0" fontId="5" fillId="25" borderId="117" xfId="58" applyFont="1" applyFill="1" applyBorder="1" applyAlignment="1">
      <alignment horizontal="center" vertical="center" wrapText="1"/>
      <protection/>
    </xf>
    <xf numFmtId="0" fontId="5" fillId="25" borderId="75" xfId="58" applyFont="1" applyFill="1" applyBorder="1" applyAlignment="1">
      <alignment horizontal="center" vertical="center" wrapText="1"/>
      <protection/>
    </xf>
    <xf numFmtId="2" fontId="6" fillId="8" borderId="23" xfId="58" applyNumberFormat="1" applyFont="1" applyFill="1" applyBorder="1" applyAlignment="1">
      <alignment horizontal="left" vertical="center" wrapText="1"/>
      <protection/>
    </xf>
    <xf numFmtId="2" fontId="6" fillId="8" borderId="105" xfId="58" applyNumberFormat="1" applyFont="1" applyFill="1" applyBorder="1" applyAlignment="1">
      <alignment horizontal="left" vertical="center" wrapText="1"/>
      <protection/>
    </xf>
    <xf numFmtId="2" fontId="6" fillId="8" borderId="24" xfId="58" applyNumberFormat="1" applyFont="1" applyFill="1" applyBorder="1" applyAlignment="1">
      <alignment horizontal="left" vertical="center" wrapText="1"/>
      <protection/>
    </xf>
    <xf numFmtId="0" fontId="3" fillId="0" borderId="45" xfId="55" applyFont="1" applyBorder="1" applyAlignment="1">
      <alignment horizontal="center"/>
      <protection/>
    </xf>
    <xf numFmtId="0" fontId="3" fillId="0" borderId="46" xfId="55" applyFont="1" applyBorder="1" applyAlignment="1">
      <alignment horizontal="center"/>
      <protection/>
    </xf>
    <xf numFmtId="0" fontId="3" fillId="0" borderId="47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9" fillId="0" borderId="77" xfId="64" applyFont="1" applyFill="1" applyBorder="1" applyAlignment="1">
      <alignment horizontal="center" vertical="center" wrapText="1"/>
      <protection/>
    </xf>
    <xf numFmtId="0" fontId="39" fillId="0" borderId="14" xfId="64" applyFont="1" applyFill="1" applyBorder="1" applyAlignment="1">
      <alignment horizontal="center" vertical="center" wrapText="1"/>
      <protection/>
    </xf>
    <xf numFmtId="0" fontId="39" fillId="0" borderId="66" xfId="64" applyFont="1" applyFill="1" applyBorder="1" applyAlignment="1">
      <alignment horizontal="center" vertical="center" wrapText="1"/>
      <protection/>
    </xf>
    <xf numFmtId="0" fontId="40" fillId="0" borderId="23" xfId="0" applyFont="1" applyBorder="1" applyAlignment="1">
      <alignment vertical="center" wrapText="1"/>
    </xf>
    <xf numFmtId="0" fontId="40" fillId="0" borderId="105" xfId="0" applyFont="1" applyBorder="1" applyAlignment="1">
      <alignment vertical="center" wrapText="1"/>
    </xf>
    <xf numFmtId="0" fontId="40" fillId="0" borderId="126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56" xfId="0" applyFont="1" applyBorder="1" applyAlignment="1">
      <alignment vertical="center" wrapText="1"/>
    </xf>
    <xf numFmtId="0" fontId="40" fillId="0" borderId="81" xfId="0" applyFont="1" applyBorder="1" applyAlignment="1">
      <alignment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left" vertical="center" wrapText="1"/>
    </xf>
    <xf numFmtId="0" fontId="39" fillId="0" borderId="5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39" fillId="0" borderId="45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29" fillId="8" borderId="125" xfId="0" applyFont="1" applyFill="1" applyBorder="1" applyAlignment="1">
      <alignment horizontal="center" vertical="center"/>
    </xf>
    <xf numFmtId="0" fontId="29" fillId="8" borderId="68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2" fontId="29" fillId="8" borderId="45" xfId="0" applyNumberFormat="1" applyFont="1" applyFill="1" applyBorder="1" applyAlignment="1">
      <alignment horizontal="left" vertical="center"/>
    </xf>
    <xf numFmtId="0" fontId="29" fillId="8" borderId="46" xfId="0" applyFont="1" applyFill="1" applyBorder="1" applyAlignment="1">
      <alignment horizontal="left" vertical="center"/>
    </xf>
    <xf numFmtId="0" fontId="29" fillId="8" borderId="47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4" xfId="0" applyFont="1" applyBorder="1" applyAlignment="1">
      <alignment horizontal="left" vertical="center"/>
    </xf>
    <xf numFmtId="0" fontId="40" fillId="0" borderId="64" xfId="0" applyFont="1" applyBorder="1" applyAlignment="1">
      <alignment horizontal="left" vertical="center"/>
    </xf>
    <xf numFmtId="0" fontId="71" fillId="0" borderId="0" xfId="0" applyFont="1" applyBorder="1" applyAlignment="1">
      <alignment horizontal="left"/>
    </xf>
    <xf numFmtId="0" fontId="71" fillId="0" borderId="51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2" fontId="44" fillId="0" borderId="45" xfId="57" applyNumberFormat="1" applyFont="1" applyFill="1" applyBorder="1" applyAlignment="1">
      <alignment horizontal="center" vertical="center"/>
      <protection/>
    </xf>
    <xf numFmtId="2" fontId="44" fillId="0" borderId="46" xfId="57" applyNumberFormat="1" applyFont="1" applyFill="1" applyBorder="1" applyAlignment="1">
      <alignment horizontal="center" vertical="center"/>
      <protection/>
    </xf>
    <xf numFmtId="2" fontId="44" fillId="0" borderId="47" xfId="57" applyNumberFormat="1" applyFont="1" applyFill="1" applyBorder="1" applyAlignment="1">
      <alignment horizontal="center" vertical="center"/>
      <protection/>
    </xf>
    <xf numFmtId="0" fontId="39" fillId="0" borderId="28" xfId="0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103" xfId="0" applyFont="1" applyFill="1" applyBorder="1" applyAlignment="1" applyProtection="1">
      <alignment horizontal="center" vertical="center"/>
      <protection locked="0"/>
    </xf>
    <xf numFmtId="0" fontId="39" fillId="0" borderId="81" xfId="0" applyFont="1" applyFill="1" applyBorder="1" applyAlignment="1" applyProtection="1">
      <alignment horizontal="center" vertical="center"/>
      <protection locked="0"/>
    </xf>
    <xf numFmtId="0" fontId="39" fillId="25" borderId="116" xfId="57" applyFont="1" applyFill="1" applyBorder="1" applyAlignment="1">
      <alignment horizontal="center" vertical="center" wrapText="1"/>
      <protection/>
    </xf>
    <xf numFmtId="0" fontId="39" fillId="25" borderId="117" xfId="57" applyFont="1" applyFill="1" applyBorder="1" applyAlignment="1">
      <alignment horizontal="center" vertical="center" wrapText="1"/>
      <protection/>
    </xf>
    <xf numFmtId="0" fontId="39" fillId="25" borderId="75" xfId="57" applyFont="1" applyFill="1" applyBorder="1" applyAlignment="1">
      <alignment horizontal="center" vertical="center" wrapText="1"/>
      <protection/>
    </xf>
    <xf numFmtId="2" fontId="44" fillId="8" borderId="10" xfId="57" applyNumberFormat="1" applyFont="1" applyFill="1" applyBorder="1" applyAlignment="1">
      <alignment horizontal="center" vertical="center" wrapText="1"/>
      <protection/>
    </xf>
    <xf numFmtId="0" fontId="40" fillId="0" borderId="104" xfId="0" applyFont="1" applyBorder="1" applyAlignment="1">
      <alignment/>
    </xf>
    <xf numFmtId="0" fontId="40" fillId="0" borderId="64" xfId="0" applyFont="1" applyBorder="1" applyAlignment="1">
      <alignment/>
    </xf>
    <xf numFmtId="2" fontId="44" fillId="0" borderId="10" xfId="57" applyNumberFormat="1" applyFont="1" applyFill="1" applyBorder="1" applyAlignment="1">
      <alignment horizontal="center" vertical="center"/>
      <protection/>
    </xf>
    <xf numFmtId="2" fontId="44" fillId="0" borderId="104" xfId="57" applyNumberFormat="1" applyFont="1" applyFill="1" applyBorder="1" applyAlignment="1">
      <alignment horizontal="center" vertical="center"/>
      <protection/>
    </xf>
    <xf numFmtId="2" fontId="44" fillId="0" borderId="63" xfId="57" applyNumberFormat="1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64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63" xfId="0" applyFont="1" applyFill="1" applyBorder="1" applyAlignment="1" applyProtection="1">
      <alignment horizontal="center" vertical="center"/>
      <protection locked="0"/>
    </xf>
    <xf numFmtId="2" fontId="44" fillId="8" borderId="104" xfId="57" applyNumberFormat="1" applyFont="1" applyFill="1" applyBorder="1" applyAlignment="1">
      <alignment horizontal="center" vertical="center" wrapText="1"/>
      <protection/>
    </xf>
    <xf numFmtId="2" fontId="44" fillId="8" borderId="64" xfId="57" applyNumberFormat="1" applyFont="1" applyFill="1" applyBorder="1" applyAlignment="1">
      <alignment horizontal="center" vertical="center" wrapText="1"/>
      <protection/>
    </xf>
    <xf numFmtId="0" fontId="40" fillId="0" borderId="104" xfId="0" applyFont="1" applyBorder="1" applyAlignment="1">
      <alignment vertical="center"/>
    </xf>
    <xf numFmtId="0" fontId="40" fillId="0" borderId="63" xfId="0" applyFont="1" applyBorder="1" applyAlignment="1">
      <alignment vertical="center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left" vertical="center"/>
    </xf>
    <xf numFmtId="0" fontId="39" fillId="0" borderId="52" xfId="0" applyFont="1" applyBorder="1" applyAlignment="1">
      <alignment horizontal="left" vertical="center"/>
    </xf>
    <xf numFmtId="0" fontId="39" fillId="0" borderId="59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2" fontId="6" fillId="8" borderId="65" xfId="60" applyNumberFormat="1" applyFont="1" applyFill="1" applyBorder="1" applyAlignment="1">
      <alignment horizontal="left" vertical="center"/>
      <protection/>
    </xf>
    <xf numFmtId="2" fontId="6" fillId="8" borderId="17" xfId="60" applyNumberFormat="1" applyFont="1" applyFill="1" applyBorder="1" applyAlignment="1">
      <alignment horizontal="left" vertical="center"/>
      <protection/>
    </xf>
    <xf numFmtId="2" fontId="6" fillId="8" borderId="12" xfId="60" applyNumberFormat="1" applyFont="1" applyFill="1" applyBorder="1" applyAlignment="1">
      <alignment horizontal="left" vertical="center"/>
      <protection/>
    </xf>
    <xf numFmtId="173" fontId="40" fillId="8" borderId="112" xfId="0" applyNumberFormat="1" applyFont="1" applyFill="1" applyBorder="1" applyAlignment="1">
      <alignment horizontal="center" vertical="center"/>
    </xf>
    <xf numFmtId="173" fontId="39" fillId="8" borderId="13" xfId="62" applyNumberFormat="1" applyFont="1" applyFill="1" applyBorder="1" applyAlignment="1" applyProtection="1">
      <alignment horizontal="center" vertical="center" wrapText="1"/>
      <protection/>
    </xf>
    <xf numFmtId="173" fontId="40" fillId="8" borderId="20" xfId="62" applyNumberFormat="1" applyFont="1" applyFill="1" applyBorder="1" applyAlignment="1">
      <alignment horizontal="center" vertical="center" wrapText="1"/>
      <protection/>
    </xf>
    <xf numFmtId="3" fontId="39" fillId="8" borderId="55" xfId="0" applyNumberFormat="1" applyFont="1" applyFill="1" applyBorder="1" applyAlignment="1" applyProtection="1">
      <alignment horizontal="center" vertical="center"/>
      <protection/>
    </xf>
    <xf numFmtId="3" fontId="39" fillId="8" borderId="42" xfId="0" applyNumberFormat="1" applyFont="1" applyFill="1" applyBorder="1" applyAlignment="1" applyProtection="1">
      <alignment horizontal="center" vertical="center"/>
      <protection/>
    </xf>
    <xf numFmtId="3" fontId="39" fillId="8" borderId="15" xfId="0" applyNumberFormat="1" applyFont="1" applyFill="1" applyBorder="1" applyAlignment="1" applyProtection="1">
      <alignment horizontal="center" vertical="center"/>
      <protection/>
    </xf>
    <xf numFmtId="3" fontId="39" fillId="8" borderId="26" xfId="0" applyNumberFormat="1" applyFont="1" applyFill="1" applyBorder="1" applyAlignment="1" applyProtection="1">
      <alignment horizontal="center" vertical="center"/>
      <protection/>
    </xf>
    <xf numFmtId="173" fontId="39" fillId="8" borderId="127" xfId="0" applyNumberFormat="1" applyFont="1" applyFill="1" applyBorder="1" applyAlignment="1" applyProtection="1">
      <alignment horizontal="center" vertical="center"/>
      <protection/>
    </xf>
    <xf numFmtId="173" fontId="40" fillId="8" borderId="128" xfId="0" applyNumberFormat="1" applyFont="1" applyFill="1" applyBorder="1" applyAlignment="1">
      <alignment horizontal="center" vertical="center"/>
    </xf>
    <xf numFmtId="173" fontId="39" fillId="8" borderId="82" xfId="62" applyNumberFormat="1" applyFont="1" applyFill="1" applyBorder="1" applyAlignment="1" applyProtection="1">
      <alignment horizontal="center" vertical="center" wrapText="1"/>
      <protection/>
    </xf>
    <xf numFmtId="173" fontId="40" fillId="8" borderId="69" xfId="62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PAIF 2017. Modelo Ordinario (Normal)" xfId="54"/>
    <cellStyle name="Normal 3" xfId="55"/>
    <cellStyle name="Normal_1CF-94 (2)" xfId="56"/>
    <cellStyle name="Normal_AGBOD-94" xfId="57"/>
    <cellStyle name="Normal_AGBOD-94 2" xfId="58"/>
    <cellStyle name="Normal_AGBOD-94_Modelos PIAF 2014 (flujo+inversiones+deuda)" xfId="59"/>
    <cellStyle name="Normal_AGBOD-94_PLANTILLAS EPEL+INTEGRA+MAYORITARIA" xfId="60"/>
    <cellStyle name="Normal_AGBOD-94_PLANTILLAS EPEL+INTEGRA+MAYORITARIA_PAIF 2017. Modelo Ordinario (Normal)" xfId="61"/>
    <cellStyle name="Normal_CONSOLIDADO-2002" xfId="62"/>
    <cellStyle name="Normal_CS-96" xfId="63"/>
    <cellStyle name="Normal_CS-96_PAIF EMPRESAS PARA ENVIAR" xfId="64"/>
    <cellStyle name="Normal_INF. ADIC. CPYG " xfId="65"/>
    <cellStyle name="Normal_PF1-INV" xfId="66"/>
    <cellStyle name="Normal_PF1-INV_1. CASINO TAORO PAIF 2009" xfId="67"/>
    <cellStyle name="Normal_PYG96" xfId="68"/>
    <cellStyle name="Normal_PYG96_Modelos PIAF 2014 (flujo+inversiones+deuda)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  <cellStyle name="Währung" xfId="8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85725</xdr:colOff>
      <xdr:row>36</xdr:row>
      <xdr:rowOff>66675</xdr:rowOff>
    </xdr:from>
    <xdr:to>
      <xdr:col>11</xdr:col>
      <xdr:colOff>190500</xdr:colOff>
      <xdr:row>37</xdr:row>
      <xdr:rowOff>47625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9477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36</xdr:row>
      <xdr:rowOff>66675</xdr:rowOff>
    </xdr:from>
    <xdr:to>
      <xdr:col>11</xdr:col>
      <xdr:colOff>190500</xdr:colOff>
      <xdr:row>37</xdr:row>
      <xdr:rowOff>47625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9477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37</xdr:row>
      <xdr:rowOff>66675</xdr:rowOff>
    </xdr:from>
    <xdr:to>
      <xdr:col>11</xdr:col>
      <xdr:colOff>190500</xdr:colOff>
      <xdr:row>38</xdr:row>
      <xdr:rowOff>47625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97250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37</xdr:row>
      <xdr:rowOff>66675</xdr:rowOff>
    </xdr:from>
    <xdr:to>
      <xdr:col>11</xdr:col>
      <xdr:colOff>190500</xdr:colOff>
      <xdr:row>38</xdr:row>
      <xdr:rowOff>47625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97250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rdisson\AppData\Local\Microsoft\Windows\Temporary%20Internet%20Files\Content.Outlook\11Z12BBY\ITER-PAIF%202017%20DATOS%20PERSONAL%20-%20Modelo%20oficial-Borrador%20(john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D 2017 (Personal)"/>
      <sheetName val="LF 2017 (Personal)"/>
      <sheetName val="LT 2017 (Personal)"/>
      <sheetName val="PRESTACIONES Y GASTOS SOCIALES"/>
      <sheetName val="COMPARATIVA 2016-2017"/>
      <sheetName val="Grupos ITER"/>
      <sheetName val="Salarios Actuales"/>
      <sheetName val="2016 estimación"/>
      <sheetName val="Anabel previsión 2017"/>
      <sheetName val="Retos"/>
      <sheetName val="FECYT"/>
      <sheetName val="CDTI-Feder"/>
      <sheetName val="MAC"/>
      <sheetName val="Antiguedad y  conceptos 2016"/>
    </sheetNames>
    <sheetDataSet>
      <sheetData sheetId="0">
        <row r="43">
          <cell r="I43">
            <v>1091047.77239876</v>
          </cell>
        </row>
      </sheetData>
      <sheetData sheetId="2">
        <row r="1">
          <cell r="G1">
            <v>32589.072</v>
          </cell>
        </row>
      </sheetData>
      <sheetData sheetId="3">
        <row r="1">
          <cell r="G1">
            <v>15824.155139999999</v>
          </cell>
        </row>
      </sheetData>
      <sheetData sheetId="14">
        <row r="2539">
          <cell r="I2539">
            <v>48526.62000000006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733</v>
      </c>
      <c r="C1" s="15"/>
    </row>
    <row r="2" spans="1:3" s="4" customFormat="1" ht="12.75">
      <c r="A2" s="4" t="s">
        <v>732</v>
      </c>
      <c r="C2" s="15"/>
    </row>
    <row r="3" ht="12.75"/>
    <row r="4" ht="12.75"/>
    <row r="5" spans="1:4" ht="12.75">
      <c r="A5" s="1005">
        <f>CPYG!A2</f>
        <v>0</v>
      </c>
      <c r="B5" s="1005"/>
      <c r="C5" s="1005"/>
      <c r="D5" s="1005"/>
    </row>
    <row r="6" ht="12.75"/>
    <row r="7" ht="13.5" thickBot="1"/>
    <row r="8" spans="1:3" ht="12.75">
      <c r="A8" s="1006" t="s">
        <v>695</v>
      </c>
      <c r="B8" s="1007"/>
      <c r="C8" s="1015" t="s">
        <v>696</v>
      </c>
    </row>
    <row r="9" spans="1:3" ht="12.75">
      <c r="A9" s="1008"/>
      <c r="B9" s="1009"/>
      <c r="C9" s="1016"/>
    </row>
    <row r="10" spans="1:3" ht="12.75">
      <c r="A10" s="1008"/>
      <c r="B10" s="1009"/>
      <c r="C10" s="1016"/>
    </row>
    <row r="11" spans="1:3" ht="12.75">
      <c r="A11" s="1010"/>
      <c r="B11" s="1011"/>
      <c r="C11" s="1017"/>
    </row>
    <row r="12" spans="1:3" ht="12.75">
      <c r="A12" s="50"/>
      <c r="B12" s="51"/>
      <c r="C12" s="52"/>
    </row>
    <row r="13" spans="1:3" ht="12.75">
      <c r="A13" s="53" t="s">
        <v>697</v>
      </c>
      <c r="B13" s="54" t="s">
        <v>783</v>
      </c>
      <c r="C13" s="55">
        <v>0</v>
      </c>
    </row>
    <row r="14" spans="1:10" ht="12.75" customHeight="1">
      <c r="A14" s="53" t="s">
        <v>698</v>
      </c>
      <c r="B14" s="54" t="s">
        <v>784</v>
      </c>
      <c r="C14" s="55">
        <v>0</v>
      </c>
      <c r="F14" s="1004" t="s">
        <v>735</v>
      </c>
      <c r="G14" s="1004"/>
      <c r="H14" s="1004"/>
      <c r="I14" s="1004"/>
      <c r="J14" s="107"/>
    </row>
    <row r="15" spans="1:10" ht="12.75">
      <c r="A15" s="53" t="s">
        <v>699</v>
      </c>
      <c r="B15" s="54" t="s">
        <v>785</v>
      </c>
      <c r="C15" s="55">
        <f>CPYG!E7</f>
        <v>8143583.81</v>
      </c>
      <c r="F15" s="1004"/>
      <c r="G15" s="1004"/>
      <c r="H15" s="1004"/>
      <c r="I15" s="1004"/>
      <c r="J15" s="107"/>
    </row>
    <row r="16" spans="1:10" ht="12.75">
      <c r="A16" s="53" t="s">
        <v>700</v>
      </c>
      <c r="B16" s="54" t="s">
        <v>786</v>
      </c>
      <c r="C16" s="55" t="e">
        <f>'No rellenar EP-5 '!E29+#REF!</f>
        <v>#REF!</v>
      </c>
      <c r="F16" s="1004"/>
      <c r="G16" s="1004"/>
      <c r="H16" s="1004"/>
      <c r="I16" s="1004"/>
      <c r="J16" s="107"/>
    </row>
    <row r="17" spans="1:9" ht="12.75">
      <c r="A17" s="53" t="s">
        <v>701</v>
      </c>
      <c r="B17" s="54" t="s">
        <v>787</v>
      </c>
      <c r="C17" s="55">
        <f>CPYG!E17+CPYG!E66+CPYG!E62</f>
        <v>3537336.23</v>
      </c>
      <c r="F17" s="1004"/>
      <c r="G17" s="1004"/>
      <c r="H17" s="1004"/>
      <c r="I17" s="1004"/>
    </row>
    <row r="18" spans="1:9" ht="12.75">
      <c r="A18" s="56"/>
      <c r="B18" s="57"/>
      <c r="C18" s="58"/>
      <c r="F18" s="1004"/>
      <c r="G18" s="1004"/>
      <c r="H18" s="1004"/>
      <c r="I18" s="1004"/>
    </row>
    <row r="19" spans="1:9" ht="12.75">
      <c r="A19" s="92" t="s">
        <v>702</v>
      </c>
      <c r="B19" s="93"/>
      <c r="C19" s="94" t="e">
        <f>SUM(C13:C17)</f>
        <v>#REF!</v>
      </c>
      <c r="F19" s="1004"/>
      <c r="G19" s="1004"/>
      <c r="H19" s="1004"/>
      <c r="I19" s="1004"/>
    </row>
    <row r="20" spans="1:9" ht="12.75">
      <c r="A20" s="59"/>
      <c r="B20" s="60"/>
      <c r="C20" s="61"/>
      <c r="F20" s="1004"/>
      <c r="G20" s="1004"/>
      <c r="H20" s="1004"/>
      <c r="I20" s="1004"/>
    </row>
    <row r="21" spans="1:9" ht="12.75">
      <c r="A21" s="56"/>
      <c r="B21" s="57"/>
      <c r="C21" s="58"/>
      <c r="F21" s="1004"/>
      <c r="G21" s="1004"/>
      <c r="H21" s="1004"/>
      <c r="I21" s="1004"/>
    </row>
    <row r="22" spans="1:9" ht="12.75">
      <c r="A22" s="53" t="s">
        <v>703</v>
      </c>
      <c r="B22" s="54" t="s">
        <v>788</v>
      </c>
      <c r="C22" s="58">
        <f>'Inv. NO FIN'!I17+'Inv. NO FIN'!I18+'Inv. NO FIN'!I19+'Inv. NO FIN'!I20</f>
        <v>0</v>
      </c>
      <c r="F22" s="1004"/>
      <c r="G22" s="1004"/>
      <c r="H22" s="1004"/>
      <c r="I22" s="1004"/>
    </row>
    <row r="23" spans="1:9" ht="12.75">
      <c r="A23" s="53" t="s">
        <v>704</v>
      </c>
      <c r="B23" s="54" t="s">
        <v>789</v>
      </c>
      <c r="C23" s="58" t="e">
        <f>'Transf. y subv.'!F18+'Transf. y subv.'!#REF!</f>
        <v>#REF!</v>
      </c>
      <c r="F23" s="1004"/>
      <c r="G23" s="1004"/>
      <c r="H23" s="1004"/>
      <c r="I23" s="1004"/>
    </row>
    <row r="24" spans="1:3" ht="12.75">
      <c r="A24" s="56"/>
      <c r="B24" s="57"/>
      <c r="C24" s="58"/>
    </row>
    <row r="25" spans="1:3" ht="12.75">
      <c r="A25" s="92" t="s">
        <v>705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706</v>
      </c>
      <c r="B28" s="54" t="s">
        <v>790</v>
      </c>
      <c r="C28" s="55">
        <f>'Inv. FIN'!F46</f>
        <v>7719.94</v>
      </c>
    </row>
    <row r="29" spans="1:3" ht="12.75">
      <c r="A29" s="53" t="s">
        <v>707</v>
      </c>
      <c r="B29" s="54" t="s">
        <v>791</v>
      </c>
      <c r="C29" s="55">
        <f>'Deuda L.P.'!J20</f>
        <v>19300000</v>
      </c>
    </row>
    <row r="30" spans="1:3" ht="12.75">
      <c r="A30" s="56"/>
      <c r="B30" s="57"/>
      <c r="C30" s="58"/>
    </row>
    <row r="31" spans="1:3" ht="12.75">
      <c r="A31" s="92" t="s">
        <v>708</v>
      </c>
      <c r="B31" s="93"/>
      <c r="C31" s="95">
        <f>SUM(C28:C29)</f>
        <v>19307719.94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709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1000" t="s">
        <v>710</v>
      </c>
      <c r="C38" s="1018">
        <f>CPYG!E81</f>
        <v>0</v>
      </c>
    </row>
    <row r="39" spans="1:3" ht="13.5" thickBot="1">
      <c r="A39" s="77"/>
      <c r="B39" s="1001"/>
      <c r="C39" s="1019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709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1006" t="s">
        <v>695</v>
      </c>
      <c r="B49" s="1007"/>
      <c r="C49" s="1012" t="s">
        <v>696</v>
      </c>
    </row>
    <row r="50" spans="1:3" ht="12.75">
      <c r="A50" s="1008"/>
      <c r="B50" s="1009"/>
      <c r="C50" s="1013"/>
    </row>
    <row r="51" spans="1:3" ht="12.75">
      <c r="A51" s="1008"/>
      <c r="B51" s="1009"/>
      <c r="C51" s="1013"/>
    </row>
    <row r="52" spans="1:3" ht="12.75">
      <c r="A52" s="1010"/>
      <c r="B52" s="1011"/>
      <c r="C52" s="1014"/>
    </row>
    <row r="53" spans="1:3" ht="12.75">
      <c r="A53" s="62"/>
      <c r="B53" s="51"/>
      <c r="C53" s="64"/>
    </row>
    <row r="54" spans="1:3" ht="12.75">
      <c r="A54" s="53" t="s">
        <v>697</v>
      </c>
      <c r="B54" s="82" t="s">
        <v>711</v>
      </c>
      <c r="C54" s="83">
        <f>-CPYG!E29</f>
        <v>5653432.6</v>
      </c>
    </row>
    <row r="55" spans="1:3" ht="12.75">
      <c r="A55" s="53" t="s">
        <v>698</v>
      </c>
      <c r="B55" s="82" t="s">
        <v>712</v>
      </c>
      <c r="C55" s="83">
        <f>-CPYG!E12-CPYG!E37+CPYG!E40-CPYG!E90</f>
        <v>1463105.46</v>
      </c>
    </row>
    <row r="56" spans="1:3" ht="12.75">
      <c r="A56" s="53" t="s">
        <v>699</v>
      </c>
      <c r="B56" s="82" t="s">
        <v>137</v>
      </c>
      <c r="C56" s="83">
        <f>-CPYG!E74</f>
        <v>181750.69</v>
      </c>
    </row>
    <row r="57" spans="1:3" ht="12.75">
      <c r="A57" s="53" t="s">
        <v>700</v>
      </c>
      <c r="B57" s="82" t="s">
        <v>713</v>
      </c>
      <c r="C57" s="83"/>
    </row>
    <row r="58" spans="1:3" ht="12.75">
      <c r="A58" s="62"/>
      <c r="B58" s="63"/>
      <c r="C58" s="83"/>
    </row>
    <row r="59" spans="1:6" ht="12.75">
      <c r="A59" s="92" t="s">
        <v>714</v>
      </c>
      <c r="B59" s="93"/>
      <c r="C59" s="95">
        <f>SUM(C54:C58)</f>
        <v>7298288.75</v>
      </c>
      <c r="E59" s="37" t="e">
        <f>C19-C59</f>
        <v>#REF!</v>
      </c>
      <c r="F59" s="2" t="s">
        <v>715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703</v>
      </c>
      <c r="B62" s="82" t="s">
        <v>716</v>
      </c>
      <c r="C62" s="83">
        <f>'Inv. NO FIN'!D17+'Inv. NO FIN'!D18+'Inv. NO FIN'!D19+'Inv. NO FIN'!D20</f>
        <v>7644999.28</v>
      </c>
      <c r="E62" s="2" t="e">
        <f>-#REF!</f>
        <v>#REF!</v>
      </c>
    </row>
    <row r="63" spans="1:7" ht="12.75">
      <c r="A63" s="53" t="s">
        <v>704</v>
      </c>
      <c r="B63" s="82" t="s">
        <v>717</v>
      </c>
      <c r="C63" s="83"/>
      <c r="E63" s="37" t="e">
        <f>SUM(E59:E62)</f>
        <v>#REF!</v>
      </c>
      <c r="F63" s="2">
        <f>CPYG!E94</f>
        <v>2535164.8499999996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718</v>
      </c>
      <c r="B65" s="93"/>
      <c r="C65" s="95">
        <f>SUM(C62:C63)</f>
        <v>7644999.28</v>
      </c>
      <c r="E65" s="37" t="e">
        <f>C25+C31-C65-C71</f>
        <v>#REF!</v>
      </c>
      <c r="F65" s="2" t="s">
        <v>719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706</v>
      </c>
      <c r="B68" s="82" t="s">
        <v>720</v>
      </c>
      <c r="C68" s="83">
        <f>'Inv. FIN'!H46</f>
        <v>-847274.62</v>
      </c>
    </row>
    <row r="69" spans="1:3" ht="12.75">
      <c r="A69" s="53" t="s">
        <v>707</v>
      </c>
      <c r="B69" s="82" t="s">
        <v>721</v>
      </c>
      <c r="C69" s="83"/>
    </row>
    <row r="70" spans="1:3" ht="12.75">
      <c r="A70" s="62"/>
      <c r="B70" s="63"/>
      <c r="C70" s="64"/>
    </row>
    <row r="71" spans="1:6" ht="12.75">
      <c r="A71" s="92" t="s">
        <v>722</v>
      </c>
      <c r="B71" s="93"/>
      <c r="C71" s="95">
        <f>SUM(C68:C69)</f>
        <v>-847274.62</v>
      </c>
      <c r="E71" s="37" t="e">
        <f>SUM(E59:E66)</f>
        <v>#REF!</v>
      </c>
      <c r="F71" s="2" t="s">
        <v>723</v>
      </c>
    </row>
    <row r="72" spans="1:3" ht="13.5" thickBot="1">
      <c r="A72" s="85"/>
      <c r="B72" s="86"/>
      <c r="C72" s="87"/>
    </row>
    <row r="73" spans="1:3" ht="13.5" thickTop="1">
      <c r="A73" s="998"/>
      <c r="B73" s="1000" t="s">
        <v>724</v>
      </c>
      <c r="C73" s="1002" t="e">
        <f>#REF!+#REF!</f>
        <v>#REF!</v>
      </c>
    </row>
    <row r="74" spans="1:6" ht="13.5" thickBot="1">
      <c r="A74" s="999"/>
      <c r="B74" s="1001"/>
      <c r="C74" s="1003"/>
      <c r="E74" s="37"/>
      <c r="F74" s="2" t="s">
        <v>138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725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98"/>
      <c r="B80" s="1000" t="s">
        <v>726</v>
      </c>
      <c r="C80" s="1002" t="e">
        <f>-D97</f>
        <v>#REF!</v>
      </c>
      <c r="E80" s="37" t="e">
        <f>E71-E74</f>
        <v>#REF!</v>
      </c>
      <c r="F80" s="2" t="s">
        <v>627</v>
      </c>
    </row>
    <row r="81" spans="1:3" ht="13.5" thickBot="1">
      <c r="A81" s="999"/>
      <c r="B81" s="1001"/>
      <c r="C81" s="1003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727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782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734</v>
      </c>
      <c r="C94" s="2"/>
      <c r="D94" s="38" t="e">
        <f>-#REF!</f>
        <v>#REF!</v>
      </c>
      <c r="E94" s="2" t="s">
        <v>728</v>
      </c>
    </row>
    <row r="95" spans="2:4" ht="12.75">
      <c r="B95" s="49" t="s">
        <v>729</v>
      </c>
      <c r="C95" s="2"/>
      <c r="D95" s="38"/>
    </row>
    <row r="96" spans="2:5" ht="12.75">
      <c r="B96" s="4" t="s">
        <v>730</v>
      </c>
      <c r="C96" s="2"/>
      <c r="D96" s="38" t="e">
        <f>#REF!+#REF!</f>
        <v>#REF!</v>
      </c>
      <c r="E96" s="2" t="s">
        <v>731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2:Q34"/>
  <sheetViews>
    <sheetView zoomScale="70" zoomScaleNormal="70" zoomScalePageLayoutView="0" workbookViewId="0" topLeftCell="A1">
      <selection activeCell="E23" sqref="E23"/>
    </sheetView>
  </sheetViews>
  <sheetFormatPr defaultColWidth="11.57421875" defaultRowHeight="12.75"/>
  <cols>
    <col min="1" max="1" width="11.57421875" style="133" customWidth="1"/>
    <col min="2" max="2" width="15.7109375" style="133" customWidth="1"/>
    <col min="3" max="3" width="71.28125" style="133" bestFit="1" customWidth="1"/>
    <col min="4" max="4" width="10.7109375" style="133" bestFit="1" customWidth="1"/>
    <col min="5" max="5" width="8.140625" style="133" bestFit="1" customWidth="1"/>
    <col min="6" max="6" width="15.8515625" style="133" customWidth="1"/>
    <col min="7" max="7" width="16.28125" style="133" customWidth="1"/>
    <col min="8" max="8" width="15.8515625" style="133" customWidth="1"/>
    <col min="9" max="9" width="11.57421875" style="133" customWidth="1"/>
    <col min="10" max="10" width="18.140625" style="133" customWidth="1"/>
    <col min="11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1027" t="s">
        <v>322</v>
      </c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7">
        <v>2017</v>
      </c>
      <c r="P2" s="1028"/>
      <c r="Q2" s="1153"/>
    </row>
    <row r="3" spans="2:17" ht="15.75" customHeight="1">
      <c r="B3" s="1146" t="s">
        <v>343</v>
      </c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6"/>
      <c r="P3" s="1147"/>
      <c r="Q3" s="1154"/>
    </row>
    <row r="4" spans="2:17" ht="19.5" customHeight="1" thickBot="1">
      <c r="B4" s="1148" t="str">
        <f>CPYG!B3</f>
        <v>ENTIDAD: INSTITUTO TECNOLOGICO Y DE ENERGIAS RENOVABLES S.A.</v>
      </c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50" t="s">
        <v>323</v>
      </c>
      <c r="P4" s="1151"/>
      <c r="Q4" s="1152"/>
    </row>
    <row r="5" spans="2:17" ht="23.25" customHeight="1">
      <c r="B5" s="1155" t="s">
        <v>324</v>
      </c>
      <c r="C5" s="1156"/>
      <c r="D5" s="215"/>
      <c r="E5" s="215"/>
      <c r="F5" s="215"/>
      <c r="G5" s="216"/>
      <c r="H5" s="1155" t="s">
        <v>325</v>
      </c>
      <c r="I5" s="1156"/>
      <c r="J5" s="1156"/>
      <c r="K5" s="1156"/>
      <c r="L5" s="1157"/>
      <c r="M5" s="1158" t="s">
        <v>506</v>
      </c>
      <c r="N5" s="1159"/>
      <c r="O5" s="1159"/>
      <c r="P5" s="1159"/>
      <c r="Q5" s="1160"/>
    </row>
    <row r="6" spans="2:17" ht="53.25" customHeight="1" thickBot="1">
      <c r="B6" s="217" t="s">
        <v>326</v>
      </c>
      <c r="C6" s="218" t="s">
        <v>327</v>
      </c>
      <c r="D6" s="219" t="s">
        <v>328</v>
      </c>
      <c r="E6" s="219" t="s">
        <v>329</v>
      </c>
      <c r="F6" s="219" t="s">
        <v>330</v>
      </c>
      <c r="G6" s="220" t="s">
        <v>501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331</v>
      </c>
      <c r="M6" s="820">
        <v>2017</v>
      </c>
      <c r="N6" s="820">
        <v>2018</v>
      </c>
      <c r="O6" s="820">
        <v>2019</v>
      </c>
      <c r="P6" s="820">
        <v>2020</v>
      </c>
      <c r="Q6" s="821" t="s">
        <v>331</v>
      </c>
    </row>
    <row r="7" spans="2:17" ht="19.5" customHeight="1">
      <c r="B7" s="601"/>
      <c r="C7" s="602" t="s">
        <v>965</v>
      </c>
      <c r="D7" s="602">
        <v>2016</v>
      </c>
      <c r="E7" s="602">
        <v>2017</v>
      </c>
      <c r="F7" s="603">
        <v>8705635.03</v>
      </c>
      <c r="G7" s="604">
        <v>2738898.68</v>
      </c>
      <c r="H7" s="605">
        <v>5966736.35</v>
      </c>
      <c r="I7" s="603"/>
      <c r="J7" s="603"/>
      <c r="K7" s="603"/>
      <c r="L7" s="604"/>
      <c r="M7" s="605"/>
      <c r="N7" s="603"/>
      <c r="O7" s="603"/>
      <c r="P7" s="603"/>
      <c r="Q7" s="604"/>
    </row>
    <row r="8" spans="2:17" ht="19.5" customHeight="1">
      <c r="B8" s="606"/>
      <c r="C8" s="607" t="s">
        <v>1050</v>
      </c>
      <c r="D8" s="607">
        <v>2016</v>
      </c>
      <c r="E8" s="607">
        <v>2017</v>
      </c>
      <c r="F8" s="608">
        <v>345483.33</v>
      </c>
      <c r="G8" s="609">
        <v>279605.33</v>
      </c>
      <c r="H8" s="605">
        <v>65878</v>
      </c>
      <c r="I8" s="608"/>
      <c r="J8" s="608"/>
      <c r="K8" s="608"/>
      <c r="L8" s="609"/>
      <c r="M8" s="610"/>
      <c r="N8" s="608"/>
      <c r="O8" s="608"/>
      <c r="P8" s="608"/>
      <c r="Q8" s="609"/>
    </row>
    <row r="9" spans="2:17" ht="19.5" customHeight="1">
      <c r="B9" s="606"/>
      <c r="C9" s="607" t="s">
        <v>1051</v>
      </c>
      <c r="D9" s="607">
        <v>2016</v>
      </c>
      <c r="E9" s="607">
        <v>2017</v>
      </c>
      <c r="F9" s="608">
        <v>585498.29</v>
      </c>
      <c r="G9" s="609">
        <v>40189.08</v>
      </c>
      <c r="H9" s="605">
        <v>545309.2100000001</v>
      </c>
      <c r="I9" s="608"/>
      <c r="J9" s="608"/>
      <c r="K9" s="608"/>
      <c r="L9" s="609"/>
      <c r="M9" s="610"/>
      <c r="N9" s="608"/>
      <c r="O9" s="608"/>
      <c r="P9" s="608"/>
      <c r="Q9" s="609"/>
    </row>
    <row r="10" spans="2:17" ht="19.5" customHeight="1">
      <c r="B10" s="606"/>
      <c r="C10" s="607" t="s">
        <v>1052</v>
      </c>
      <c r="D10" s="607">
        <v>2016</v>
      </c>
      <c r="E10" s="607">
        <v>2017</v>
      </c>
      <c r="F10" s="608">
        <v>278046.95</v>
      </c>
      <c r="G10" s="609">
        <v>74071.02</v>
      </c>
      <c r="H10" s="605">
        <v>203975.93</v>
      </c>
      <c r="I10" s="608"/>
      <c r="J10" s="608"/>
      <c r="K10" s="608"/>
      <c r="L10" s="609"/>
      <c r="M10" s="610"/>
      <c r="N10" s="608"/>
      <c r="O10" s="608"/>
      <c r="P10" s="608"/>
      <c r="Q10" s="609"/>
    </row>
    <row r="11" spans="2:17" ht="19.5" customHeight="1">
      <c r="B11" s="606"/>
      <c r="C11" s="607" t="s">
        <v>1053</v>
      </c>
      <c r="D11" s="607">
        <v>2017</v>
      </c>
      <c r="E11" s="607">
        <v>2017</v>
      </c>
      <c r="F11" s="608">
        <v>550000</v>
      </c>
      <c r="G11" s="609"/>
      <c r="H11" s="610">
        <v>550000</v>
      </c>
      <c r="I11" s="608"/>
      <c r="J11" s="608"/>
      <c r="K11" s="608"/>
      <c r="L11" s="609"/>
      <c r="M11" s="610"/>
      <c r="N11" s="608"/>
      <c r="O11" s="608"/>
      <c r="P11" s="608"/>
      <c r="Q11" s="609"/>
    </row>
    <row r="12" spans="2:17" ht="19.5" customHeight="1">
      <c r="B12" s="606"/>
      <c r="C12" s="607" t="s">
        <v>1054</v>
      </c>
      <c r="D12" s="607">
        <v>2017</v>
      </c>
      <c r="E12" s="607">
        <v>2017</v>
      </c>
      <c r="F12" s="608">
        <v>150000</v>
      </c>
      <c r="G12" s="609"/>
      <c r="H12" s="610">
        <v>150000</v>
      </c>
      <c r="I12" s="608"/>
      <c r="J12" s="608"/>
      <c r="K12" s="608"/>
      <c r="L12" s="609"/>
      <c r="M12" s="610"/>
      <c r="N12" s="608"/>
      <c r="O12" s="608"/>
      <c r="P12" s="608"/>
      <c r="Q12" s="609"/>
    </row>
    <row r="13" spans="2:17" ht="19.5" customHeight="1">
      <c r="B13" s="606"/>
      <c r="C13" s="607" t="s">
        <v>1055</v>
      </c>
      <c r="D13" s="607">
        <v>2017</v>
      </c>
      <c r="E13" s="607">
        <v>2017</v>
      </c>
      <c r="F13" s="608">
        <v>19000</v>
      </c>
      <c r="G13" s="609"/>
      <c r="H13" s="610">
        <v>19000</v>
      </c>
      <c r="I13" s="608"/>
      <c r="J13" s="608"/>
      <c r="K13" s="608"/>
      <c r="L13" s="609"/>
      <c r="M13" s="610"/>
      <c r="N13" s="608"/>
      <c r="O13" s="608"/>
      <c r="P13" s="608"/>
      <c r="Q13" s="609"/>
    </row>
    <row r="14" spans="2:17" ht="19.5" customHeight="1">
      <c r="B14" s="606"/>
      <c r="C14" s="607" t="s">
        <v>1065</v>
      </c>
      <c r="D14" s="607">
        <v>2017</v>
      </c>
      <c r="E14" s="607"/>
      <c r="F14" s="608"/>
      <c r="G14" s="609"/>
      <c r="H14" s="610">
        <f>'Inv. NO FIN'!D18-'Inversiones reales'!H7-'Inversiones reales'!H8-'Inversiones reales'!H9-'Inversiones reales'!H10-'Inversiones reales'!H11-'Inversiones reales'!H12-'Inversiones reales'!H13</f>
        <v>144099.79000000074</v>
      </c>
      <c r="I14" s="608"/>
      <c r="J14" s="608"/>
      <c r="K14" s="608"/>
      <c r="L14" s="609"/>
      <c r="M14" s="610"/>
      <c r="N14" s="608"/>
      <c r="O14" s="608"/>
      <c r="P14" s="608"/>
      <c r="Q14" s="609"/>
    </row>
    <row r="15" spans="2:17" ht="19.5" customHeight="1">
      <c r="B15" s="606"/>
      <c r="C15" s="607"/>
      <c r="D15" s="607"/>
      <c r="E15" s="607"/>
      <c r="F15" s="608"/>
      <c r="G15" s="609"/>
      <c r="H15" s="610"/>
      <c r="I15" s="608"/>
      <c r="J15" s="608"/>
      <c r="K15" s="608"/>
      <c r="L15" s="609"/>
      <c r="M15" s="610"/>
      <c r="N15" s="608"/>
      <c r="O15" s="608"/>
      <c r="P15" s="608"/>
      <c r="Q15" s="609"/>
    </row>
    <row r="16" spans="2:17" ht="19.5" customHeight="1">
      <c r="B16" s="606"/>
      <c r="C16" s="607"/>
      <c r="D16" s="607"/>
      <c r="E16" s="607"/>
      <c r="F16" s="608"/>
      <c r="G16" s="609"/>
      <c r="H16" s="610"/>
      <c r="I16" s="608"/>
      <c r="J16" s="608"/>
      <c r="K16" s="608"/>
      <c r="L16" s="609"/>
      <c r="M16" s="610"/>
      <c r="N16" s="608"/>
      <c r="O16" s="608"/>
      <c r="P16" s="608"/>
      <c r="Q16" s="609"/>
    </row>
    <row r="17" spans="2:17" ht="19.5" customHeight="1">
      <c r="B17" s="606"/>
      <c r="C17" s="607"/>
      <c r="D17" s="607"/>
      <c r="E17" s="607"/>
      <c r="F17" s="608"/>
      <c r="G17" s="609"/>
      <c r="H17" s="610"/>
      <c r="I17" s="608"/>
      <c r="J17" s="608"/>
      <c r="K17" s="608"/>
      <c r="L17" s="609"/>
      <c r="M17" s="610"/>
      <c r="N17" s="608"/>
      <c r="O17" s="608"/>
      <c r="P17" s="608"/>
      <c r="Q17" s="609"/>
    </row>
    <row r="18" spans="2:17" ht="19.5" customHeight="1">
      <c r="B18" s="606"/>
      <c r="C18" s="607"/>
      <c r="D18" s="607"/>
      <c r="E18" s="607"/>
      <c r="F18" s="608"/>
      <c r="G18" s="609"/>
      <c r="H18" s="610"/>
      <c r="I18" s="608"/>
      <c r="J18" s="608"/>
      <c r="K18" s="608"/>
      <c r="L18" s="609"/>
      <c r="M18" s="610"/>
      <c r="N18" s="608"/>
      <c r="O18" s="608"/>
      <c r="P18" s="608"/>
      <c r="Q18" s="609"/>
    </row>
    <row r="19" spans="2:17" ht="19.5" customHeight="1">
      <c r="B19" s="606"/>
      <c r="C19" s="607"/>
      <c r="D19" s="607"/>
      <c r="E19" s="607"/>
      <c r="F19" s="608"/>
      <c r="G19" s="609"/>
      <c r="H19" s="610"/>
      <c r="I19" s="608"/>
      <c r="J19" s="608"/>
      <c r="K19" s="608"/>
      <c r="L19" s="609"/>
      <c r="M19" s="610"/>
      <c r="N19" s="608"/>
      <c r="O19" s="608"/>
      <c r="P19" s="608"/>
      <c r="Q19" s="609"/>
    </row>
    <row r="20" spans="2:17" ht="19.5" customHeight="1">
      <c r="B20" s="606"/>
      <c r="C20" s="607"/>
      <c r="D20" s="607"/>
      <c r="E20" s="607"/>
      <c r="F20" s="608"/>
      <c r="G20" s="609"/>
      <c r="H20" s="610"/>
      <c r="I20" s="608"/>
      <c r="J20" s="608"/>
      <c r="K20" s="608"/>
      <c r="L20" s="609"/>
      <c r="M20" s="610"/>
      <c r="N20" s="608"/>
      <c r="O20" s="608"/>
      <c r="P20" s="608"/>
      <c r="Q20" s="609"/>
    </row>
    <row r="21" spans="2:17" ht="19.5" customHeight="1">
      <c r="B21" s="606"/>
      <c r="C21" s="607"/>
      <c r="D21" s="607"/>
      <c r="E21" s="607"/>
      <c r="F21" s="608"/>
      <c r="G21" s="609"/>
      <c r="H21" s="610"/>
      <c r="I21" s="608"/>
      <c r="J21" s="608"/>
      <c r="K21" s="608"/>
      <c r="L21" s="609"/>
      <c r="M21" s="610"/>
      <c r="N21" s="608"/>
      <c r="O21" s="608"/>
      <c r="P21" s="608"/>
      <c r="Q21" s="609"/>
    </row>
    <row r="22" spans="2:17" ht="19.5" customHeight="1">
      <c r="B22" s="606"/>
      <c r="C22" s="607"/>
      <c r="D22" s="607"/>
      <c r="E22" s="607"/>
      <c r="F22" s="608"/>
      <c r="G22" s="609"/>
      <c r="H22" s="610"/>
      <c r="I22" s="608"/>
      <c r="J22" s="608"/>
      <c r="K22" s="608"/>
      <c r="L22" s="609"/>
      <c r="M22" s="610"/>
      <c r="N22" s="608"/>
      <c r="O22" s="608"/>
      <c r="P22" s="608"/>
      <c r="Q22" s="609"/>
    </row>
    <row r="23" spans="2:17" ht="19.5" customHeight="1">
      <c r="B23" s="606"/>
      <c r="C23" s="607"/>
      <c r="D23" s="607"/>
      <c r="E23" s="607"/>
      <c r="F23" s="608"/>
      <c r="G23" s="609"/>
      <c r="H23" s="610"/>
      <c r="I23" s="608"/>
      <c r="J23" s="608"/>
      <c r="K23" s="608"/>
      <c r="L23" s="609"/>
      <c r="M23" s="610"/>
      <c r="N23" s="608"/>
      <c r="O23" s="608"/>
      <c r="P23" s="608"/>
      <c r="Q23" s="609"/>
    </row>
    <row r="24" spans="2:17" ht="19.5" customHeight="1">
      <c r="B24" s="606"/>
      <c r="C24" s="607"/>
      <c r="D24" s="607"/>
      <c r="E24" s="607"/>
      <c r="F24" s="608"/>
      <c r="G24" s="609"/>
      <c r="H24" s="610"/>
      <c r="I24" s="608"/>
      <c r="J24" s="608"/>
      <c r="K24" s="608"/>
      <c r="L24" s="609"/>
      <c r="M24" s="610"/>
      <c r="N24" s="608"/>
      <c r="O24" s="608"/>
      <c r="P24" s="608"/>
      <c r="Q24" s="609"/>
    </row>
    <row r="25" spans="2:17" ht="19.5" customHeight="1">
      <c r="B25" s="606"/>
      <c r="C25" s="607"/>
      <c r="D25" s="607"/>
      <c r="E25" s="607"/>
      <c r="F25" s="608"/>
      <c r="G25" s="609"/>
      <c r="H25" s="610"/>
      <c r="I25" s="608"/>
      <c r="J25" s="608"/>
      <c r="K25" s="608"/>
      <c r="L25" s="609"/>
      <c r="M25" s="610"/>
      <c r="N25" s="608"/>
      <c r="O25" s="608"/>
      <c r="P25" s="608"/>
      <c r="Q25" s="609"/>
    </row>
    <row r="26" spans="2:17" ht="19.5" customHeight="1">
      <c r="B26" s="606"/>
      <c r="C26" s="607"/>
      <c r="D26" s="607"/>
      <c r="E26" s="607"/>
      <c r="F26" s="608"/>
      <c r="G26" s="609"/>
      <c r="H26" s="610"/>
      <c r="I26" s="608"/>
      <c r="J26" s="608"/>
      <c r="K26" s="608"/>
      <c r="L26" s="609"/>
      <c r="M26" s="610"/>
      <c r="N26" s="608"/>
      <c r="O26" s="608"/>
      <c r="P26" s="608"/>
      <c r="Q26" s="609"/>
    </row>
    <row r="27" spans="2:17" ht="19.5" customHeight="1" thickBot="1">
      <c r="B27" s="611"/>
      <c r="C27" s="612"/>
      <c r="D27" s="612"/>
      <c r="E27" s="612"/>
      <c r="F27" s="613"/>
      <c r="G27" s="614"/>
      <c r="H27" s="615"/>
      <c r="I27" s="613"/>
      <c r="J27" s="613"/>
      <c r="K27" s="613"/>
      <c r="L27" s="614"/>
      <c r="M27" s="615"/>
      <c r="N27" s="613"/>
      <c r="O27" s="613"/>
      <c r="P27" s="613"/>
      <c r="Q27" s="614"/>
    </row>
    <row r="28" spans="2:7" ht="12.75">
      <c r="B28" s="158"/>
      <c r="C28" s="158"/>
      <c r="D28" s="158"/>
      <c r="E28" s="158"/>
      <c r="F28" s="158"/>
      <c r="G28" s="158"/>
    </row>
    <row r="29" ht="12.75">
      <c r="B29" s="133" t="s">
        <v>332</v>
      </c>
    </row>
    <row r="30" spans="2:11" ht="12.75">
      <c r="B30" s="1145" t="s">
        <v>333</v>
      </c>
      <c r="C30" s="1145"/>
      <c r="D30" s="1145"/>
      <c r="E30" s="1145"/>
      <c r="F30" s="1145"/>
      <c r="G30" s="1145"/>
      <c r="H30" s="1145"/>
      <c r="I30" s="1145"/>
      <c r="J30" s="1145"/>
      <c r="K30" s="1145"/>
    </row>
    <row r="31" spans="2:10" ht="12.75">
      <c r="B31" s="1145" t="s">
        <v>334</v>
      </c>
      <c r="C31" s="1145"/>
      <c r="D31" s="1145"/>
      <c r="E31" s="1145"/>
      <c r="F31" s="1145"/>
      <c r="G31" s="1145"/>
      <c r="H31" s="1145"/>
      <c r="I31" s="1145"/>
      <c r="J31" s="1145"/>
    </row>
    <row r="32" ht="12.75"/>
    <row r="33" ht="12.75"/>
    <row r="34" spans="8:10" ht="12.75">
      <c r="H34" s="983"/>
      <c r="J34" s="983"/>
    </row>
    <row r="35" ht="12.75"/>
    <row r="36" ht="12.75"/>
  </sheetData>
  <sheetProtection/>
  <mergeCells count="10">
    <mergeCell ref="O4:Q4"/>
    <mergeCell ref="O2:Q3"/>
    <mergeCell ref="B5:C5"/>
    <mergeCell ref="H5:L5"/>
    <mergeCell ref="M5:Q5"/>
    <mergeCell ref="B31:J31"/>
    <mergeCell ref="B2:N2"/>
    <mergeCell ref="B3:N3"/>
    <mergeCell ref="B4:N4"/>
    <mergeCell ref="B30:K30"/>
  </mergeCells>
  <printOptions horizontalCentered="1" verticalCentered="1"/>
  <pageMargins left="0.4724409448818898" right="0.1968503937007874" top="0.984251968503937" bottom="0.984251968503937" header="0" footer="0"/>
  <pageSetup horizontalDpi="600" verticalDpi="600" orientation="landscape" paperSize="9" scale="5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S34"/>
  <sheetViews>
    <sheetView zoomScale="75" zoomScaleNormal="75" zoomScalePageLayoutView="0" workbookViewId="0" topLeftCell="A1">
      <selection activeCell="B1" sqref="B1:L34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24.710937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8.00390625" style="223" bestFit="1" customWidth="1"/>
    <col min="8" max="8" width="14.8515625" style="223" customWidth="1"/>
    <col min="9" max="9" width="16.28125" style="223" bestFit="1" customWidth="1"/>
    <col min="10" max="10" width="17.8515625" style="223" customWidth="1"/>
    <col min="11" max="11" width="16.57421875" style="223" customWidth="1"/>
    <col min="12" max="12" width="21.57421875" style="223" customWidth="1"/>
    <col min="13" max="13" width="2.8515625" style="223" customWidth="1"/>
    <col min="14" max="14" width="13.28125" style="223" bestFit="1" customWidth="1"/>
    <col min="15" max="15" width="12.8515625" style="223" bestFit="1" customWidth="1"/>
    <col min="16" max="16" width="14.8515625" style="223" bestFit="1" customWidth="1"/>
    <col min="17" max="17" width="13.7109375" style="223" bestFit="1" customWidth="1"/>
    <col min="18" max="18" width="13.28125" style="223" bestFit="1" customWidth="1"/>
    <col min="19" max="19" width="14.421875" style="223" bestFit="1" customWidth="1"/>
    <col min="20" max="16384" width="11.421875" style="223" customWidth="1"/>
  </cols>
  <sheetData>
    <row r="1" spans="2:12" ht="42" customHeight="1">
      <c r="B1" s="1161" t="s">
        <v>214</v>
      </c>
      <c r="C1" s="1162"/>
      <c r="D1" s="1162"/>
      <c r="E1" s="1162"/>
      <c r="F1" s="1162"/>
      <c r="G1" s="1162"/>
      <c r="H1" s="1162"/>
      <c r="I1" s="1162"/>
      <c r="J1" s="1162"/>
      <c r="K1" s="1163">
        <f>CPYG!E2</f>
        <v>2017</v>
      </c>
      <c r="L1" s="1164"/>
    </row>
    <row r="2" spans="2:12" ht="51" customHeight="1">
      <c r="B2" s="1174" t="str">
        <f>CPYG!B3</f>
        <v>ENTIDAD: INSTITUTO TECNOLOGICO Y DE ENERGIAS RENOVABLES S.A.</v>
      </c>
      <c r="C2" s="1175"/>
      <c r="D2" s="1175"/>
      <c r="E2" s="1175"/>
      <c r="F2" s="1175"/>
      <c r="G2" s="1175"/>
      <c r="H2" s="1175"/>
      <c r="I2" s="1175"/>
      <c r="J2" s="1175"/>
      <c r="K2" s="1176" t="s">
        <v>201</v>
      </c>
      <c r="L2" s="1177"/>
    </row>
    <row r="3" spans="2:12" s="224" customFormat="1" ht="27" customHeight="1">
      <c r="B3" s="1165" t="s">
        <v>793</v>
      </c>
      <c r="C3" s="1166"/>
      <c r="D3" s="1166"/>
      <c r="E3" s="1166"/>
      <c r="F3" s="1166"/>
      <c r="G3" s="1166"/>
      <c r="H3" s="1166"/>
      <c r="I3" s="1166"/>
      <c r="J3" s="1166"/>
      <c r="K3" s="1166"/>
      <c r="L3" s="1167"/>
    </row>
    <row r="4" spans="2:12" ht="19.5" customHeight="1">
      <c r="B4" s="1171" t="s">
        <v>463</v>
      </c>
      <c r="C4" s="1172" t="s">
        <v>507</v>
      </c>
      <c r="D4" s="514"/>
      <c r="E4" s="1172"/>
      <c r="F4" s="1172"/>
      <c r="G4" s="1172"/>
      <c r="H4" s="1172"/>
      <c r="I4" s="1172"/>
      <c r="J4" s="1172"/>
      <c r="K4" s="1172" t="s">
        <v>675</v>
      </c>
      <c r="L4" s="1173" t="s">
        <v>415</v>
      </c>
    </row>
    <row r="5" spans="2:12" ht="64.5" customHeight="1">
      <c r="B5" s="1171"/>
      <c r="C5" s="1172"/>
      <c r="D5" s="514" t="s">
        <v>416</v>
      </c>
      <c r="E5" s="514" t="s">
        <v>616</v>
      </c>
      <c r="F5" s="514" t="s">
        <v>417</v>
      </c>
      <c r="G5" s="514" t="s">
        <v>684</v>
      </c>
      <c r="H5" s="514" t="s">
        <v>418</v>
      </c>
      <c r="I5" s="514" t="s">
        <v>419</v>
      </c>
      <c r="J5" s="514" t="s">
        <v>420</v>
      </c>
      <c r="K5" s="1172"/>
      <c r="L5" s="1173"/>
    </row>
    <row r="6" spans="2:12" ht="12.75">
      <c r="B6" s="1168"/>
      <c r="C6" s="1169"/>
      <c r="D6" s="1169"/>
      <c r="E6" s="1169"/>
      <c r="F6" s="1169"/>
      <c r="G6" s="1169"/>
      <c r="H6" s="1169"/>
      <c r="I6" s="1169"/>
      <c r="J6" s="1169"/>
      <c r="K6" s="1169"/>
      <c r="L6" s="1170"/>
    </row>
    <row r="7" spans="2:12" ht="33" customHeight="1">
      <c r="B7" s="515" t="s">
        <v>421</v>
      </c>
      <c r="C7" s="555">
        <v>6520477.84</v>
      </c>
      <c r="D7" s="546">
        <f>724.29+2219</f>
        <v>2943.29</v>
      </c>
      <c r="E7" s="546"/>
      <c r="F7" s="546"/>
      <c r="G7" s="546">
        <v>-62114.5</v>
      </c>
      <c r="H7" s="546"/>
      <c r="I7" s="546"/>
      <c r="J7" s="546"/>
      <c r="K7" s="555">
        <f>SUM(C7:J7)</f>
        <v>6461306.63</v>
      </c>
      <c r="L7" s="547"/>
    </row>
    <row r="8" spans="2:12" ht="39" customHeight="1">
      <c r="B8" s="515" t="s">
        <v>55</v>
      </c>
      <c r="C8" s="555">
        <v>59039808.42</v>
      </c>
      <c r="D8" s="546">
        <v>4838063.21</v>
      </c>
      <c r="E8" s="546"/>
      <c r="F8" s="546"/>
      <c r="G8" s="546">
        <v>-3124442.23</v>
      </c>
      <c r="H8" s="546"/>
      <c r="I8" s="546"/>
      <c r="J8" s="546"/>
      <c r="K8" s="555">
        <f>SUM(C8:J8)</f>
        <v>60753429.400000006</v>
      </c>
      <c r="L8" s="547"/>
    </row>
    <row r="9" spans="2:12" ht="45" customHeight="1">
      <c r="B9" s="516" t="s">
        <v>422</v>
      </c>
      <c r="C9" s="555"/>
      <c r="D9" s="546"/>
      <c r="E9" s="546"/>
      <c r="F9" s="546"/>
      <c r="G9" s="546"/>
      <c r="H9" s="546"/>
      <c r="I9" s="546"/>
      <c r="J9" s="546"/>
      <c r="K9" s="555">
        <f>SUM(C9:J9)</f>
        <v>0</v>
      </c>
      <c r="L9" s="548"/>
    </row>
    <row r="10" spans="2:17" ht="20.25" customHeight="1">
      <c r="B10" s="516" t="s">
        <v>423</v>
      </c>
      <c r="C10" s="569">
        <v>983156.28</v>
      </c>
      <c r="D10" s="546"/>
      <c r="E10" s="546"/>
      <c r="F10" s="546"/>
      <c r="G10" s="546"/>
      <c r="H10" s="546"/>
      <c r="I10" s="546"/>
      <c r="J10" s="546"/>
      <c r="K10" s="555">
        <f>SUM(C10:J10)</f>
        <v>983156.28</v>
      </c>
      <c r="L10" s="548"/>
      <c r="N10" s="225"/>
      <c r="O10" s="228"/>
      <c r="P10" s="228"/>
      <c r="Q10" s="228"/>
    </row>
    <row r="11" spans="2:12" s="226" customFormat="1" ht="23.25" customHeight="1">
      <c r="B11" s="516" t="s">
        <v>145</v>
      </c>
      <c r="C11" s="556">
        <f>SUM(C7:C10)</f>
        <v>66543442.54000001</v>
      </c>
      <c r="D11" s="556">
        <f aca="true" t="shared" si="0" ref="D11:K11">SUM(D7:D10)</f>
        <v>4841006.5</v>
      </c>
      <c r="E11" s="556">
        <f t="shared" si="0"/>
        <v>0</v>
      </c>
      <c r="F11" s="556">
        <f t="shared" si="0"/>
        <v>0</v>
      </c>
      <c r="G11" s="556">
        <f t="shared" si="0"/>
        <v>-3186556.73</v>
      </c>
      <c r="H11" s="556">
        <f t="shared" si="0"/>
        <v>0</v>
      </c>
      <c r="I11" s="556">
        <f t="shared" si="0"/>
        <v>0</v>
      </c>
      <c r="J11" s="556">
        <f t="shared" si="0"/>
        <v>0</v>
      </c>
      <c r="K11" s="556">
        <f t="shared" si="0"/>
        <v>68197892.31</v>
      </c>
      <c r="L11" s="549"/>
    </row>
    <row r="12" spans="2:14" ht="20.25" customHeight="1">
      <c r="B12" s="516" t="s">
        <v>424</v>
      </c>
      <c r="C12" s="555">
        <f>ACTIVO!C30</f>
        <v>1233715.92</v>
      </c>
      <c r="D12" s="546"/>
      <c r="E12" s="546"/>
      <c r="F12" s="546"/>
      <c r="G12" s="546"/>
      <c r="H12" s="546">
        <v>24622.5</v>
      </c>
      <c r="I12" s="546">
        <v>-31972.5</v>
      </c>
      <c r="J12" s="546"/>
      <c r="K12" s="555">
        <f>SUM(C12:J12)</f>
        <v>1226365.92</v>
      </c>
      <c r="L12" s="548"/>
      <c r="N12" s="225"/>
    </row>
    <row r="13" spans="2:12" ht="26.25" customHeight="1">
      <c r="B13" s="517"/>
      <c r="C13" s="550"/>
      <c r="D13" s="550"/>
      <c r="E13" s="550"/>
      <c r="F13" s="550"/>
      <c r="G13" s="550"/>
      <c r="H13" s="550"/>
      <c r="I13" s="550"/>
      <c r="J13" s="550"/>
      <c r="K13" s="551"/>
      <c r="L13" s="552"/>
    </row>
    <row r="14" spans="2:12" ht="19.5" customHeight="1">
      <c r="B14" s="1171" t="s">
        <v>504</v>
      </c>
      <c r="C14" s="1172" t="s">
        <v>508</v>
      </c>
      <c r="D14" s="514"/>
      <c r="E14" s="1172"/>
      <c r="F14" s="1172"/>
      <c r="G14" s="1172"/>
      <c r="H14" s="1172"/>
      <c r="I14" s="1172"/>
      <c r="J14" s="1172"/>
      <c r="K14" s="1172" t="s">
        <v>509</v>
      </c>
      <c r="L14" s="1173" t="s">
        <v>415</v>
      </c>
    </row>
    <row r="15" spans="2:12" ht="63.75">
      <c r="B15" s="1171"/>
      <c r="C15" s="1172"/>
      <c r="D15" s="514" t="s">
        <v>416</v>
      </c>
      <c r="E15" s="514" t="s">
        <v>616</v>
      </c>
      <c r="F15" s="514" t="s">
        <v>417</v>
      </c>
      <c r="G15" s="514" t="s">
        <v>684</v>
      </c>
      <c r="H15" s="514" t="s">
        <v>418</v>
      </c>
      <c r="I15" s="514" t="s">
        <v>419</v>
      </c>
      <c r="J15" s="514" t="s">
        <v>420</v>
      </c>
      <c r="K15" s="1172"/>
      <c r="L15" s="1173"/>
    </row>
    <row r="16" spans="2:12" ht="12.75">
      <c r="B16" s="1168"/>
      <c r="C16" s="1169"/>
      <c r="D16" s="1169"/>
      <c r="E16" s="1169"/>
      <c r="F16" s="1169"/>
      <c r="G16" s="1169"/>
      <c r="H16" s="1169"/>
      <c r="I16" s="1169"/>
      <c r="J16" s="1169"/>
      <c r="K16" s="1169"/>
      <c r="L16" s="1170"/>
    </row>
    <row r="17" spans="2:12" ht="36.75" customHeight="1">
      <c r="B17" s="515" t="s">
        <v>421</v>
      </c>
      <c r="C17" s="555">
        <f>K7</f>
        <v>6461306.63</v>
      </c>
      <c r="D17" s="704"/>
      <c r="E17" s="704"/>
      <c r="F17" s="704"/>
      <c r="G17" s="704">
        <v>-5878</v>
      </c>
      <c r="H17" s="704"/>
      <c r="I17" s="704"/>
      <c r="J17" s="704"/>
      <c r="K17" s="555">
        <f>SUM(C17:J17)</f>
        <v>6455428.63</v>
      </c>
      <c r="L17" s="547"/>
    </row>
    <row r="18" spans="2:12" ht="39" customHeight="1">
      <c r="B18" s="515" t="s">
        <v>55</v>
      </c>
      <c r="C18" s="555">
        <f>K8</f>
        <v>60753429.400000006</v>
      </c>
      <c r="D18" s="704">
        <f>6944999.28+550000+150000</f>
        <v>7644999.28</v>
      </c>
      <c r="E18" s="704"/>
      <c r="F18" s="704"/>
      <c r="G18" s="704">
        <f>-3504770.75-G17</f>
        <v>-3498892.75</v>
      </c>
      <c r="H18" s="704"/>
      <c r="I18" s="704"/>
      <c r="J18" s="704"/>
      <c r="K18" s="555">
        <f>SUM(C18:J18)</f>
        <v>64899535.93000001</v>
      </c>
      <c r="L18" s="547"/>
    </row>
    <row r="19" spans="2:12" ht="38.25">
      <c r="B19" s="516" t="s">
        <v>422</v>
      </c>
      <c r="C19" s="555">
        <f>K9</f>
        <v>0</v>
      </c>
      <c r="D19" s="704"/>
      <c r="E19" s="704"/>
      <c r="F19" s="704"/>
      <c r="G19" s="704"/>
      <c r="H19" s="704"/>
      <c r="I19" s="704"/>
      <c r="J19" s="704"/>
      <c r="K19" s="555">
        <f>SUM(C19:J19)</f>
        <v>0</v>
      </c>
      <c r="L19" s="548"/>
    </row>
    <row r="20" spans="2:12" ht="21.75" customHeight="1">
      <c r="B20" s="516" t="s">
        <v>423</v>
      </c>
      <c r="C20" s="555">
        <f>K10</f>
        <v>983156.28</v>
      </c>
      <c r="D20" s="704"/>
      <c r="E20" s="704"/>
      <c r="F20" s="704"/>
      <c r="G20" s="704"/>
      <c r="H20" s="704"/>
      <c r="I20" s="704"/>
      <c r="J20" s="704"/>
      <c r="K20" s="555">
        <f>SUM(C20:J20)</f>
        <v>983156.28</v>
      </c>
      <c r="L20" s="548"/>
    </row>
    <row r="21" spans="2:19" s="226" customFormat="1" ht="22.5" customHeight="1">
      <c r="B21" s="516" t="s">
        <v>145</v>
      </c>
      <c r="C21" s="556">
        <f aca="true" t="shared" si="1" ref="C21:I21">SUM(C17:C20)</f>
        <v>68197892.31</v>
      </c>
      <c r="D21" s="577">
        <f t="shared" si="1"/>
        <v>7644999.28</v>
      </c>
      <c r="E21" s="577">
        <f t="shared" si="1"/>
        <v>0</v>
      </c>
      <c r="F21" s="577">
        <f t="shared" si="1"/>
        <v>0</v>
      </c>
      <c r="G21" s="577">
        <f t="shared" si="1"/>
        <v>-3504770.75</v>
      </c>
      <c r="H21" s="577">
        <f t="shared" si="1"/>
        <v>0</v>
      </c>
      <c r="I21" s="577">
        <f t="shared" si="1"/>
        <v>0</v>
      </c>
      <c r="J21" s="577">
        <f>SUM(J17:J20)</f>
        <v>0</v>
      </c>
      <c r="K21" s="577">
        <f>SUM(K17:K20)</f>
        <v>72338120.84</v>
      </c>
      <c r="L21" s="553"/>
      <c r="P21" s="927"/>
      <c r="Q21" s="927"/>
      <c r="R21" s="927"/>
      <c r="S21" s="927"/>
    </row>
    <row r="22" spans="2:19" ht="20.25" customHeight="1" thickBot="1">
      <c r="B22" s="518" t="s">
        <v>424</v>
      </c>
      <c r="C22" s="557">
        <f>K12</f>
        <v>1226365.92</v>
      </c>
      <c r="D22" s="705"/>
      <c r="E22" s="705"/>
      <c r="F22" s="705"/>
      <c r="G22" s="705"/>
      <c r="H22" s="705"/>
      <c r="I22" s="705">
        <v>-66900</v>
      </c>
      <c r="J22" s="705"/>
      <c r="K22" s="557">
        <f>SUM(C22:J22)</f>
        <v>1159465.92</v>
      </c>
      <c r="L22" s="554"/>
      <c r="N22" s="225"/>
      <c r="S22" s="928"/>
    </row>
    <row r="23" spans="18:19" ht="12.75">
      <c r="R23" s="228"/>
      <c r="S23" s="228"/>
    </row>
    <row r="24" spans="2:19" ht="12.75">
      <c r="B24" s="222" t="s">
        <v>425</v>
      </c>
      <c r="C24" s="227"/>
      <c r="L24" s="228"/>
      <c r="S24" s="228"/>
    </row>
    <row r="25" spans="2:12" ht="12.75">
      <c r="B25" s="1178" t="s">
        <v>426</v>
      </c>
      <c r="C25" s="1178"/>
      <c r="D25" s="1178"/>
      <c r="E25" s="1178"/>
      <c r="F25" s="1178"/>
      <c r="G25" s="1178"/>
      <c r="H25" s="1178"/>
      <c r="I25" s="1178"/>
      <c r="J25" s="1178"/>
      <c r="K25" s="1178"/>
      <c r="L25" s="1178"/>
    </row>
    <row r="26" spans="2:12" ht="12.75">
      <c r="B26" s="1178" t="s">
        <v>427</v>
      </c>
      <c r="C26" s="1178"/>
      <c r="D26" s="1178"/>
      <c r="E26" s="1178"/>
      <c r="F26" s="1178"/>
      <c r="G26" s="1178"/>
      <c r="H26" s="1178"/>
      <c r="I26" s="1178"/>
      <c r="J26" s="1178"/>
      <c r="K26" s="1178"/>
      <c r="L26" s="1178"/>
    </row>
    <row r="27" spans="2:19" ht="12.75">
      <c r="B27" s="1178" t="s">
        <v>432</v>
      </c>
      <c r="C27" s="1178"/>
      <c r="D27" s="1178"/>
      <c r="E27" s="1178"/>
      <c r="F27" s="1178"/>
      <c r="G27" s="1178"/>
      <c r="H27" s="1178"/>
      <c r="I27" s="1178"/>
      <c r="J27" s="1178"/>
      <c r="K27" s="1178"/>
      <c r="L27" s="1178"/>
      <c r="S27" s="228"/>
    </row>
    <row r="28" spans="2:12" ht="12.75">
      <c r="B28" s="1178" t="s">
        <v>433</v>
      </c>
      <c r="C28" s="1178"/>
      <c r="D28" s="1178"/>
      <c r="E28" s="1178"/>
      <c r="F28" s="1178"/>
      <c r="G28" s="1178"/>
      <c r="H28" s="1178"/>
      <c r="I28" s="1178"/>
      <c r="J28" s="1178"/>
      <c r="K28" s="1178"/>
      <c r="L28" s="1178"/>
    </row>
    <row r="29" spans="2:12" ht="12.75">
      <c r="B29" s="1178" t="s">
        <v>449</v>
      </c>
      <c r="C29" s="1178"/>
      <c r="D29" s="1178"/>
      <c r="E29" s="1178"/>
      <c r="F29" s="1178"/>
      <c r="G29" s="1178"/>
      <c r="H29" s="1178"/>
      <c r="I29" s="1178"/>
      <c r="J29" s="1178"/>
      <c r="K29" s="1178"/>
      <c r="L29" s="1178"/>
    </row>
    <row r="30" spans="2:12" ht="12.75">
      <c r="B30" s="1178" t="s">
        <v>450</v>
      </c>
      <c r="C30" s="1178"/>
      <c r="D30" s="1178"/>
      <c r="E30" s="1178"/>
      <c r="F30" s="1178"/>
      <c r="G30" s="1178"/>
      <c r="H30" s="1178"/>
      <c r="I30" s="1178"/>
      <c r="J30" s="1178"/>
      <c r="K30" s="1178"/>
      <c r="L30" s="1178"/>
    </row>
    <row r="31" spans="2:12" ht="12.75">
      <c r="B31" s="1178" t="s">
        <v>451</v>
      </c>
      <c r="C31" s="1178"/>
      <c r="D31" s="1178"/>
      <c r="E31" s="1178"/>
      <c r="F31" s="1178"/>
      <c r="G31" s="1178"/>
      <c r="H31" s="1178"/>
      <c r="I31" s="1178"/>
      <c r="J31" s="1178"/>
      <c r="K31" s="1178"/>
      <c r="L31" s="1178"/>
    </row>
    <row r="32" spans="2:12" ht="12.75">
      <c r="B32" s="1178" t="s">
        <v>578</v>
      </c>
      <c r="C32" s="1178"/>
      <c r="D32" s="1178"/>
      <c r="E32" s="1178"/>
      <c r="F32" s="1178"/>
      <c r="G32" s="1178"/>
      <c r="H32" s="1178"/>
      <c r="I32" s="1178"/>
      <c r="J32" s="1178"/>
      <c r="K32" s="1178"/>
      <c r="L32" s="1178"/>
    </row>
    <row r="33" spans="2:12" ht="12.75">
      <c r="B33" s="1178" t="s">
        <v>579</v>
      </c>
      <c r="C33" s="1178"/>
      <c r="D33" s="1178"/>
      <c r="E33" s="1178"/>
      <c r="F33" s="1178"/>
      <c r="G33" s="1178"/>
      <c r="H33" s="1178"/>
      <c r="I33" s="1178"/>
      <c r="J33" s="1178"/>
      <c r="K33" s="1178"/>
      <c r="L33" s="1178"/>
    </row>
    <row r="34" spans="2:12" ht="12.75">
      <c r="B34" s="1178" t="s">
        <v>581</v>
      </c>
      <c r="C34" s="1178"/>
      <c r="D34" s="1178"/>
      <c r="E34" s="1178"/>
      <c r="F34" s="1178"/>
      <c r="G34" s="1178"/>
      <c r="H34" s="1178"/>
      <c r="I34" s="1178"/>
      <c r="J34" s="1178"/>
      <c r="K34" s="1178"/>
      <c r="L34" s="1178"/>
    </row>
  </sheetData>
  <sheetProtection formatColumns="0" formatRows="0"/>
  <mergeCells count="27"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  <mergeCell ref="B16:L16"/>
    <mergeCell ref="B25:L25"/>
    <mergeCell ref="B14:B15"/>
    <mergeCell ref="C14:C15"/>
    <mergeCell ref="E14:J14"/>
    <mergeCell ref="K14:K15"/>
    <mergeCell ref="L14:L15"/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</mergeCells>
  <printOptions horizontalCentered="1" verticalCentered="1"/>
  <pageMargins left="0.5905511811023623" right="0.5511811023622047" top="0.6692913385826772" bottom="0.984251968503937" header="0" footer="0"/>
  <pageSetup fitToHeight="1" fitToWidth="1" horizontalDpi="600" verticalDpi="600" orientation="landscape" paperSize="9" scale="57" r:id="rId1"/>
  <ignoredErrors>
    <ignoredError sqref="K11 C21 K21" formula="1"/>
    <ignoredError sqref="D7 G18 D1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2:O89"/>
  <sheetViews>
    <sheetView zoomScale="70" zoomScaleNormal="70" zoomScalePageLayoutView="0" workbookViewId="0" topLeftCell="A46">
      <selection activeCell="B2" sqref="B2:M87"/>
    </sheetView>
  </sheetViews>
  <sheetFormatPr defaultColWidth="11.421875" defaultRowHeight="12.75"/>
  <cols>
    <col min="1" max="1" width="4.28125" style="133" customWidth="1"/>
    <col min="2" max="2" width="1.8515625" style="133" customWidth="1"/>
    <col min="3" max="3" width="46.28125" style="133" customWidth="1"/>
    <col min="4" max="4" width="18.28125" style="133" bestFit="1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21.851562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202" t="s">
        <v>214</v>
      </c>
      <c r="C2" s="1203"/>
      <c r="D2" s="1203"/>
      <c r="E2" s="1203"/>
      <c r="F2" s="1203"/>
      <c r="G2" s="1203"/>
      <c r="H2" s="1203"/>
      <c r="I2" s="1203"/>
      <c r="J2" s="1203"/>
      <c r="K2" s="1204"/>
      <c r="L2" s="1213">
        <f>CPYG!E2</f>
        <v>2017</v>
      </c>
      <c r="M2" s="1214"/>
    </row>
    <row r="3" spans="2:13" ht="35.25" customHeight="1" thickBot="1">
      <c r="B3" s="1205" t="str">
        <f>CPYG!B3</f>
        <v>ENTIDAD: INSTITUTO TECNOLOGICO Y DE ENERGIAS RENOVABLES S.A.</v>
      </c>
      <c r="C3" s="1206"/>
      <c r="D3" s="1206"/>
      <c r="E3" s="1206"/>
      <c r="F3" s="1206"/>
      <c r="G3" s="1206"/>
      <c r="H3" s="1206"/>
      <c r="I3" s="1206"/>
      <c r="J3" s="1206"/>
      <c r="K3" s="1207"/>
      <c r="L3" s="1211" t="s">
        <v>202</v>
      </c>
      <c r="M3" s="1212"/>
    </row>
    <row r="4" spans="2:13" ht="18" customHeight="1">
      <c r="B4" s="1215" t="s">
        <v>448</v>
      </c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7"/>
    </row>
    <row r="5" spans="2:13" s="230" customFormat="1" ht="22.5" customHeight="1">
      <c r="B5" s="1186" t="s">
        <v>207</v>
      </c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8"/>
    </row>
    <row r="6" spans="2:13" ht="25.5" customHeight="1">
      <c r="B6" s="1189" t="s">
        <v>510</v>
      </c>
      <c r="C6" s="1190"/>
      <c r="D6" s="1198" t="s">
        <v>617</v>
      </c>
      <c r="E6" s="1198" t="s">
        <v>511</v>
      </c>
      <c r="F6" s="1198" t="s">
        <v>618</v>
      </c>
      <c r="G6" s="1198"/>
      <c r="H6" s="1198" t="s">
        <v>619</v>
      </c>
      <c r="I6" s="1198"/>
      <c r="J6" s="1208" t="s">
        <v>512</v>
      </c>
      <c r="K6" s="1208" t="s">
        <v>513</v>
      </c>
      <c r="L6" s="1208" t="s">
        <v>514</v>
      </c>
      <c r="M6" s="1201" t="s">
        <v>620</v>
      </c>
    </row>
    <row r="7" spans="2:13" ht="54" customHeight="1" thickBot="1">
      <c r="B7" s="1191"/>
      <c r="C7" s="1192"/>
      <c r="D7" s="1198"/>
      <c r="E7" s="1198"/>
      <c r="F7" s="229" t="s">
        <v>515</v>
      </c>
      <c r="G7" s="229" t="s">
        <v>622</v>
      </c>
      <c r="H7" s="229" t="s">
        <v>623</v>
      </c>
      <c r="I7" s="229" t="s">
        <v>624</v>
      </c>
      <c r="J7" s="1208"/>
      <c r="K7" s="1208"/>
      <c r="L7" s="1208"/>
      <c r="M7" s="1201"/>
    </row>
    <row r="8" spans="2:13" ht="21" customHeight="1" thickBot="1">
      <c r="B8" s="1193" t="s">
        <v>582</v>
      </c>
      <c r="C8" s="1194"/>
      <c r="D8" s="1194"/>
      <c r="E8" s="1194"/>
      <c r="F8" s="1194"/>
      <c r="G8" s="1194"/>
      <c r="H8" s="1194"/>
      <c r="I8" s="1194"/>
      <c r="J8" s="1194"/>
      <c r="K8" s="1194"/>
      <c r="L8" s="1194"/>
      <c r="M8" s="1195"/>
    </row>
    <row r="9" spans="2:13" ht="28.5" customHeight="1" thickBot="1">
      <c r="B9" s="1179" t="s">
        <v>1012</v>
      </c>
      <c r="C9" s="1180"/>
      <c r="D9" s="953">
        <v>2403</v>
      </c>
      <c r="E9" s="954">
        <v>10676000</v>
      </c>
      <c r="F9" s="529"/>
      <c r="G9" s="529"/>
      <c r="H9" s="529"/>
      <c r="I9" s="530"/>
      <c r="J9" s="545">
        <f>SUM(E9:I9)</f>
        <v>10676000</v>
      </c>
      <c r="K9" s="531">
        <v>1</v>
      </c>
      <c r="L9" s="532"/>
      <c r="M9" s="533"/>
    </row>
    <row r="10" spans="2:13" ht="19.5" customHeight="1" thickBot="1">
      <c r="B10" s="1179" t="s">
        <v>1013</v>
      </c>
      <c r="C10" s="1180"/>
      <c r="D10" s="953">
        <v>2403</v>
      </c>
      <c r="E10" s="954">
        <v>60200</v>
      </c>
      <c r="F10" s="529"/>
      <c r="G10" s="529"/>
      <c r="H10" s="529"/>
      <c r="I10" s="530"/>
      <c r="J10" s="545">
        <f>SUM(E10:I10)</f>
        <v>60200</v>
      </c>
      <c r="K10" s="531">
        <v>1</v>
      </c>
      <c r="L10" s="532"/>
      <c r="M10" s="533"/>
    </row>
    <row r="11" spans="2:13" ht="19.5" customHeight="1" thickBot="1">
      <c r="B11" s="1179" t="s">
        <v>1014</v>
      </c>
      <c r="C11" s="1180" t="s">
        <v>1014</v>
      </c>
      <c r="D11" s="953">
        <v>2404</v>
      </c>
      <c r="E11" s="954">
        <v>1626810</v>
      </c>
      <c r="F11" s="529"/>
      <c r="G11" s="529"/>
      <c r="H11" s="529"/>
      <c r="I11" s="530"/>
      <c r="J11" s="545">
        <f>SUM(E11:I11)</f>
        <v>1626810</v>
      </c>
      <c r="K11" s="955">
        <v>0.3994</v>
      </c>
      <c r="L11" s="532"/>
      <c r="M11" s="533"/>
    </row>
    <row r="12" spans="2:13" ht="19.5" customHeight="1" thickBot="1">
      <c r="B12" s="1179" t="s">
        <v>1015</v>
      </c>
      <c r="C12" s="1180" t="s">
        <v>1015</v>
      </c>
      <c r="D12" s="953">
        <v>2404</v>
      </c>
      <c r="E12" s="954">
        <v>2250000</v>
      </c>
      <c r="F12" s="529"/>
      <c r="G12" s="529"/>
      <c r="H12" s="529"/>
      <c r="I12" s="530"/>
      <c r="J12" s="545">
        <f>SUM(E12:I12)</f>
        <v>2250000</v>
      </c>
      <c r="K12" s="531">
        <v>0.3</v>
      </c>
      <c r="L12" s="532"/>
      <c r="M12" s="533"/>
    </row>
    <row r="13" spans="2:13" ht="19.5" customHeight="1" thickBot="1">
      <c r="B13" s="1179" t="s">
        <v>1016</v>
      </c>
      <c r="C13" s="1180" t="s">
        <v>1016</v>
      </c>
      <c r="D13" s="953">
        <v>2404</v>
      </c>
      <c r="E13" s="954">
        <v>2435208.0999999996</v>
      </c>
      <c r="F13" s="529"/>
      <c r="G13" s="529"/>
      <c r="H13" s="530">
        <v>-965100</v>
      </c>
      <c r="I13" s="530"/>
      <c r="J13" s="545">
        <f>SUM(E13:I13)</f>
        <v>1470108.0999999996</v>
      </c>
      <c r="K13" s="531"/>
      <c r="L13" s="532"/>
      <c r="M13" s="533" t="s">
        <v>1020</v>
      </c>
    </row>
    <row r="14" spans="2:13" ht="19.5" customHeight="1" thickBot="1">
      <c r="B14" s="1179" t="s">
        <v>1017</v>
      </c>
      <c r="C14" s="1180"/>
      <c r="D14" s="953">
        <v>2404</v>
      </c>
      <c r="E14" s="954">
        <v>210354.24</v>
      </c>
      <c r="F14" s="529"/>
      <c r="G14" s="529"/>
      <c r="H14" s="529"/>
      <c r="I14" s="530"/>
      <c r="J14" s="545">
        <f>SUM(E14:I14)</f>
        <v>210354.24</v>
      </c>
      <c r="K14" s="531">
        <v>0.5</v>
      </c>
      <c r="L14" s="532"/>
      <c r="M14" s="533"/>
    </row>
    <row r="15" spans="2:13" ht="19.5" customHeight="1" thickBot="1">
      <c r="B15" s="1179" t="s">
        <v>1018</v>
      </c>
      <c r="C15" s="1180"/>
      <c r="D15" s="953">
        <v>2404</v>
      </c>
      <c r="E15" s="954">
        <v>0</v>
      </c>
      <c r="F15" s="529"/>
      <c r="G15" s="529"/>
      <c r="H15" s="529"/>
      <c r="I15" s="529"/>
      <c r="J15" s="545">
        <v>0</v>
      </c>
      <c r="K15" s="531">
        <v>0.3</v>
      </c>
      <c r="L15" s="532"/>
      <c r="M15" s="533" t="s">
        <v>1019</v>
      </c>
    </row>
    <row r="16" spans="2:13" ht="19.5" customHeight="1" thickBot="1">
      <c r="B16" s="1199"/>
      <c r="C16" s="1200"/>
      <c r="D16" s="534"/>
      <c r="E16" s="529"/>
      <c r="F16" s="529"/>
      <c r="G16" s="529"/>
      <c r="H16" s="529"/>
      <c r="I16" s="529"/>
      <c r="J16" s="545"/>
      <c r="K16" s="532"/>
      <c r="L16" s="532"/>
      <c r="M16" s="533"/>
    </row>
    <row r="17" spans="2:13" s="132" customFormat="1" ht="19.5" customHeight="1" thickBot="1">
      <c r="B17" s="1196" t="s">
        <v>145</v>
      </c>
      <c r="C17" s="1197"/>
      <c r="D17" s="536"/>
      <c r="E17" s="571">
        <f>SUM(E9:E16)</f>
        <v>17258572.34</v>
      </c>
      <c r="F17" s="571">
        <f>SUM(F9:F16)</f>
        <v>0</v>
      </c>
      <c r="G17" s="571">
        <f>SUM(G9:G16)</f>
        <v>0</v>
      </c>
      <c r="H17" s="571">
        <f>SUM(H9:H16)</f>
        <v>-965100</v>
      </c>
      <c r="I17" s="571">
        <f>SUM(I9:I16)</f>
        <v>0</v>
      </c>
      <c r="J17" s="571">
        <f>SUM(J9:J16)</f>
        <v>16293472.34</v>
      </c>
      <c r="K17" s="537"/>
      <c r="L17" s="573">
        <f>SUM(L9:L16)</f>
        <v>0</v>
      </c>
      <c r="M17" s="538"/>
    </row>
    <row r="18" spans="2:13" ht="19.5" customHeight="1" thickBot="1">
      <c r="B18" s="1183" t="s">
        <v>583</v>
      </c>
      <c r="C18" s="1184"/>
      <c r="D18" s="1184"/>
      <c r="E18" s="1184"/>
      <c r="F18" s="1184"/>
      <c r="G18" s="1184"/>
      <c r="H18" s="1184"/>
      <c r="I18" s="1184"/>
      <c r="J18" s="1184"/>
      <c r="K18" s="1184"/>
      <c r="L18" s="1184"/>
      <c r="M18" s="1185"/>
    </row>
    <row r="19" spans="2:13" ht="19.5" customHeight="1" thickBot="1">
      <c r="B19" s="1179" t="s">
        <v>1021</v>
      </c>
      <c r="C19" s="1180"/>
      <c r="D19" s="953">
        <v>250</v>
      </c>
      <c r="E19" s="954">
        <v>20734.92</v>
      </c>
      <c r="F19" s="529"/>
      <c r="G19" s="529"/>
      <c r="H19" s="529"/>
      <c r="I19" s="529"/>
      <c r="J19" s="545">
        <f>SUM(E19:I19)</f>
        <v>20734.92</v>
      </c>
      <c r="K19" s="535"/>
      <c r="L19" s="532"/>
      <c r="M19" s="533"/>
    </row>
    <row r="20" spans="2:13" ht="19.5" customHeight="1" thickBot="1">
      <c r="B20" s="1179" t="s">
        <v>1022</v>
      </c>
      <c r="C20" s="1180"/>
      <c r="D20" s="953">
        <v>250</v>
      </c>
      <c r="E20" s="954">
        <v>15866.4</v>
      </c>
      <c r="F20" s="529"/>
      <c r="G20" s="529"/>
      <c r="H20" s="529"/>
      <c r="I20" s="529"/>
      <c r="J20" s="545">
        <f>SUM(E20:I20)</f>
        <v>15866.4</v>
      </c>
      <c r="K20" s="535"/>
      <c r="L20" s="532"/>
      <c r="M20" s="533"/>
    </row>
    <row r="21" spans="2:13" ht="19.5" customHeight="1" thickBot="1">
      <c r="B21" s="1179" t="s">
        <v>1023</v>
      </c>
      <c r="C21" s="1180"/>
      <c r="D21" s="953">
        <v>250</v>
      </c>
      <c r="E21" s="954">
        <v>0</v>
      </c>
      <c r="F21" s="529"/>
      <c r="G21" s="529"/>
      <c r="H21" s="529"/>
      <c r="I21" s="529"/>
      <c r="J21" s="545">
        <f>SUM(E21:I21)</f>
        <v>0</v>
      </c>
      <c r="K21" s="535"/>
      <c r="L21" s="532"/>
      <c r="M21" s="533"/>
    </row>
    <row r="22" spans="2:13" ht="19.5" customHeight="1" thickBot="1">
      <c r="B22" s="1179" t="s">
        <v>1024</v>
      </c>
      <c r="C22" s="1180"/>
      <c r="D22" s="953">
        <v>250</v>
      </c>
      <c r="E22" s="954">
        <v>27318.76</v>
      </c>
      <c r="F22" s="529"/>
      <c r="G22" s="529"/>
      <c r="H22" s="529"/>
      <c r="I22" s="529"/>
      <c r="J22" s="545">
        <f>SUM(E22:I22)</f>
        <v>27318.76</v>
      </c>
      <c r="K22" s="535"/>
      <c r="L22" s="532"/>
      <c r="M22" s="533"/>
    </row>
    <row r="23" spans="2:13" ht="19.5" customHeight="1" thickBot="1">
      <c r="B23" s="1179" t="s">
        <v>1025</v>
      </c>
      <c r="C23" s="1180"/>
      <c r="D23" s="953">
        <v>251</v>
      </c>
      <c r="E23" s="954">
        <v>1300000</v>
      </c>
      <c r="F23" s="529"/>
      <c r="G23" s="529"/>
      <c r="H23" s="529"/>
      <c r="I23" s="529"/>
      <c r="J23" s="545">
        <f>SUM(E23:I23)</f>
        <v>1300000</v>
      </c>
      <c r="K23" s="535"/>
      <c r="L23" s="532"/>
      <c r="M23" s="533"/>
    </row>
    <row r="24" spans="2:13" ht="19.5" customHeight="1" thickBot="1">
      <c r="B24" s="1179" t="s">
        <v>1026</v>
      </c>
      <c r="C24" s="1180"/>
      <c r="D24" s="953">
        <v>252</v>
      </c>
      <c r="E24" s="954">
        <v>1800</v>
      </c>
      <c r="F24" s="529"/>
      <c r="G24" s="529"/>
      <c r="H24" s="529"/>
      <c r="I24" s="529"/>
      <c r="J24" s="545">
        <f>SUM(E24:I24)</f>
        <v>1800</v>
      </c>
      <c r="K24" s="535"/>
      <c r="L24" s="532"/>
      <c r="M24" s="533"/>
    </row>
    <row r="25" spans="2:13" ht="19.5" customHeight="1" thickBot="1">
      <c r="B25" s="1179" t="s">
        <v>1027</v>
      </c>
      <c r="C25" s="1180"/>
      <c r="D25" s="953">
        <v>260</v>
      </c>
      <c r="E25" s="954">
        <v>16491.68</v>
      </c>
      <c r="F25" s="529"/>
      <c r="G25" s="529"/>
      <c r="H25" s="529"/>
      <c r="I25" s="529"/>
      <c r="J25" s="545">
        <f>SUM(E25:I25)</f>
        <v>16491.68</v>
      </c>
      <c r="K25" s="535"/>
      <c r="L25" s="532"/>
      <c r="M25" s="533"/>
    </row>
    <row r="26" spans="2:13" ht="19.5" customHeight="1" thickBot="1">
      <c r="B26" s="1209"/>
      <c r="C26" s="1210"/>
      <c r="D26" s="534"/>
      <c r="E26" s="529"/>
      <c r="F26" s="529"/>
      <c r="G26" s="529"/>
      <c r="H26" s="529"/>
      <c r="I26" s="529"/>
      <c r="J26" s="545"/>
      <c r="K26" s="535"/>
      <c r="L26" s="532"/>
      <c r="M26" s="533"/>
    </row>
    <row r="27" spans="2:13" s="132" customFormat="1" ht="19.5" customHeight="1" thickBot="1">
      <c r="B27" s="1196" t="s">
        <v>145</v>
      </c>
      <c r="C27" s="1197"/>
      <c r="D27" s="536"/>
      <c r="E27" s="571">
        <f>SUM(E19:E26)</f>
        <v>1382211.76</v>
      </c>
      <c r="F27" s="571">
        <f>SUM(F19:F26)</f>
        <v>0</v>
      </c>
      <c r="G27" s="572"/>
      <c r="H27" s="571">
        <f>SUM(H19:H26)</f>
        <v>0</v>
      </c>
      <c r="I27" s="571">
        <f>SUM(I19:I26)</f>
        <v>0</v>
      </c>
      <c r="J27" s="571">
        <f>SUM(J19:J26)</f>
        <v>1382211.76</v>
      </c>
      <c r="K27" s="537"/>
      <c r="L27" s="573">
        <f>SUM(L19:L26)</f>
        <v>0</v>
      </c>
      <c r="M27" s="538"/>
    </row>
    <row r="28" spans="2:13" ht="12.75">
      <c r="B28" s="231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232"/>
    </row>
    <row r="29" spans="2:13" ht="18" customHeight="1">
      <c r="B29" s="1186" t="s">
        <v>209</v>
      </c>
      <c r="C29" s="1187"/>
      <c r="D29" s="1187"/>
      <c r="E29" s="1187"/>
      <c r="F29" s="1187"/>
      <c r="G29" s="1187"/>
      <c r="H29" s="1187"/>
      <c r="I29" s="1187"/>
      <c r="J29" s="1187"/>
      <c r="K29" s="1187"/>
      <c r="L29" s="1187"/>
      <c r="M29" s="1188"/>
    </row>
    <row r="30" spans="2:13" s="230" customFormat="1" ht="22.5" customHeight="1">
      <c r="B30" s="1186" t="s">
        <v>794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8"/>
    </row>
    <row r="31" spans="2:13" ht="25.5" customHeight="1">
      <c r="B31" s="1189" t="s">
        <v>510</v>
      </c>
      <c r="C31" s="1190"/>
      <c r="D31" s="1198" t="s">
        <v>617</v>
      </c>
      <c r="E31" s="1198" t="s">
        <v>511</v>
      </c>
      <c r="F31" s="1198" t="s">
        <v>618</v>
      </c>
      <c r="G31" s="1198"/>
      <c r="H31" s="1198" t="s">
        <v>619</v>
      </c>
      <c r="I31" s="1198"/>
      <c r="J31" s="1208" t="s">
        <v>512</v>
      </c>
      <c r="K31" s="1208" t="s">
        <v>516</v>
      </c>
      <c r="L31" s="1208" t="s">
        <v>514</v>
      </c>
      <c r="M31" s="1201" t="s">
        <v>212</v>
      </c>
    </row>
    <row r="32" spans="2:13" ht="54" customHeight="1" thickBot="1">
      <c r="B32" s="1191"/>
      <c r="C32" s="1192"/>
      <c r="D32" s="1198"/>
      <c r="E32" s="1198"/>
      <c r="F32" s="229" t="s">
        <v>621</v>
      </c>
      <c r="G32" s="229" t="s">
        <v>622</v>
      </c>
      <c r="H32" s="229" t="s">
        <v>623</v>
      </c>
      <c r="I32" s="229" t="s">
        <v>624</v>
      </c>
      <c r="J32" s="1208"/>
      <c r="K32" s="1208"/>
      <c r="L32" s="1208"/>
      <c r="M32" s="1201"/>
    </row>
    <row r="33" spans="2:13" ht="13.5" thickBot="1">
      <c r="B33" s="1193" t="s">
        <v>210</v>
      </c>
      <c r="C33" s="1194"/>
      <c r="D33" s="1194"/>
      <c r="E33" s="1194"/>
      <c r="F33" s="1194"/>
      <c r="G33" s="1194"/>
      <c r="H33" s="1194"/>
      <c r="I33" s="1194"/>
      <c r="J33" s="1194"/>
      <c r="K33" s="1194"/>
      <c r="L33" s="1194"/>
      <c r="M33" s="1195"/>
    </row>
    <row r="34" spans="2:13" s="134" customFormat="1" ht="19.5" customHeight="1" thickBot="1">
      <c r="B34" s="1199"/>
      <c r="C34" s="1200"/>
      <c r="D34" s="527"/>
      <c r="E34" s="528"/>
      <c r="F34" s="534"/>
      <c r="G34" s="534"/>
      <c r="H34" s="534"/>
      <c r="I34" s="530"/>
      <c r="J34" s="545">
        <f>SUM(E34:I34)</f>
        <v>0</v>
      </c>
      <c r="K34" s="531"/>
      <c r="L34" s="532"/>
      <c r="M34" s="533"/>
    </row>
    <row r="35" spans="2:13" s="134" customFormat="1" ht="19.5" customHeight="1" thickBot="1">
      <c r="B35" s="1199"/>
      <c r="C35" s="1200"/>
      <c r="D35" s="527"/>
      <c r="E35" s="528"/>
      <c r="F35" s="534"/>
      <c r="G35" s="534"/>
      <c r="H35" s="534"/>
      <c r="I35" s="530"/>
      <c r="J35" s="545">
        <f>SUM(E35:I35)</f>
        <v>0</v>
      </c>
      <c r="K35" s="531"/>
      <c r="L35" s="532"/>
      <c r="M35" s="533"/>
    </row>
    <row r="36" spans="2:13" s="134" customFormat="1" ht="19.5" customHeight="1" thickBot="1">
      <c r="B36" s="1199"/>
      <c r="C36" s="1200"/>
      <c r="D36" s="527"/>
      <c r="E36" s="528"/>
      <c r="F36" s="534"/>
      <c r="G36" s="534"/>
      <c r="H36" s="534"/>
      <c r="I36" s="530"/>
      <c r="J36" s="545">
        <f>SUM(E36:I36)</f>
        <v>0</v>
      </c>
      <c r="K36" s="531"/>
      <c r="L36" s="532"/>
      <c r="M36" s="533"/>
    </row>
    <row r="37" spans="2:13" s="134" customFormat="1" ht="19.5" customHeight="1" thickBot="1">
      <c r="B37" s="1218"/>
      <c r="C37" s="1219"/>
      <c r="D37" s="534"/>
      <c r="E37" s="530"/>
      <c r="F37" s="534"/>
      <c r="G37" s="534"/>
      <c r="H37" s="534"/>
      <c r="I37" s="534"/>
      <c r="J37" s="545">
        <f>SUM(E37:I37)</f>
        <v>0</v>
      </c>
      <c r="K37" s="535"/>
      <c r="L37" s="532"/>
      <c r="M37" s="533"/>
    </row>
    <row r="38" spans="2:13" s="134" customFormat="1" ht="19.5" customHeight="1" thickBot="1">
      <c r="B38" s="1209"/>
      <c r="C38" s="1210"/>
      <c r="D38" s="534"/>
      <c r="E38" s="530"/>
      <c r="F38" s="534"/>
      <c r="G38" s="534"/>
      <c r="H38" s="534"/>
      <c r="I38" s="534"/>
      <c r="J38" s="545">
        <f>SUM(E38:I38)</f>
        <v>0</v>
      </c>
      <c r="K38" s="532"/>
      <c r="L38" s="532"/>
      <c r="M38" s="533"/>
    </row>
    <row r="39" spans="2:13" s="132" customFormat="1" ht="19.5" customHeight="1" thickBot="1">
      <c r="B39" s="1196" t="s">
        <v>145</v>
      </c>
      <c r="C39" s="1197"/>
      <c r="D39" s="536"/>
      <c r="E39" s="571">
        <f>SUM(E34:E38)</f>
        <v>0</v>
      </c>
      <c r="F39" s="571">
        <f>SUM(F34:F38)</f>
        <v>0</v>
      </c>
      <c r="G39" s="572"/>
      <c r="H39" s="571">
        <f>SUM(H34:H38)</f>
        <v>0</v>
      </c>
      <c r="I39" s="571">
        <f>SUM(I34:I38)</f>
        <v>0</v>
      </c>
      <c r="J39" s="571">
        <f>SUM(J34:J38)</f>
        <v>0</v>
      </c>
      <c r="K39" s="537"/>
      <c r="L39" s="573">
        <f>SUM(L33:L38)</f>
        <v>0</v>
      </c>
      <c r="M39" s="538"/>
    </row>
    <row r="40" spans="2:13" s="134" customFormat="1" ht="19.5" customHeight="1" thickBot="1">
      <c r="B40" s="1183" t="s">
        <v>211</v>
      </c>
      <c r="C40" s="1184"/>
      <c r="D40" s="1184"/>
      <c r="E40" s="1184"/>
      <c r="F40" s="1184"/>
      <c r="G40" s="1184"/>
      <c r="H40" s="1184"/>
      <c r="I40" s="1184"/>
      <c r="J40" s="1184"/>
      <c r="K40" s="1184"/>
      <c r="L40" s="1184"/>
      <c r="M40" s="1185"/>
    </row>
    <row r="41" spans="2:13" s="134" customFormat="1" ht="28.5" customHeight="1" thickBot="1">
      <c r="B41" s="1179" t="s">
        <v>1028</v>
      </c>
      <c r="C41" s="1180"/>
      <c r="D41" s="953">
        <v>5328</v>
      </c>
      <c r="E41" s="954">
        <v>2101204.94</v>
      </c>
      <c r="F41" s="534"/>
      <c r="G41" s="534"/>
      <c r="H41" s="530">
        <v>-847274.62</v>
      </c>
      <c r="I41" s="534"/>
      <c r="J41" s="545">
        <f>SUM(E41:I41)</f>
        <v>1253930.3199999998</v>
      </c>
      <c r="K41" s="532"/>
      <c r="L41" s="532"/>
      <c r="M41" s="533"/>
    </row>
    <row r="42" spans="2:13" s="134" customFormat="1" ht="19.5" customHeight="1" thickBot="1">
      <c r="B42" s="1179" t="s">
        <v>1029</v>
      </c>
      <c r="C42" s="1180"/>
      <c r="D42" s="953">
        <v>5333</v>
      </c>
      <c r="E42" s="529"/>
      <c r="F42" s="530"/>
      <c r="G42" s="534"/>
      <c r="H42" s="530"/>
      <c r="I42" s="534"/>
      <c r="J42" s="545">
        <f>SUM(E42:I42)</f>
        <v>0</v>
      </c>
      <c r="K42" s="532"/>
      <c r="L42" s="532"/>
      <c r="M42" s="533"/>
    </row>
    <row r="43" spans="2:13" s="134" customFormat="1" ht="19.5" customHeight="1" thickBot="1">
      <c r="B43" s="1179" t="s">
        <v>1030</v>
      </c>
      <c r="C43" s="1180"/>
      <c r="D43" s="953">
        <v>5523.5524</v>
      </c>
      <c r="E43" s="954">
        <v>444713.3</v>
      </c>
      <c r="F43" s="534">
        <v>7719.94</v>
      </c>
      <c r="G43" s="534"/>
      <c r="H43" s="534"/>
      <c r="I43" s="534"/>
      <c r="J43" s="545">
        <f>SUM(E43:I43)</f>
        <v>452433.24</v>
      </c>
      <c r="K43" s="532"/>
      <c r="L43" s="532"/>
      <c r="M43" s="533"/>
    </row>
    <row r="44" spans="2:13" s="134" customFormat="1" ht="19.5" customHeight="1" thickBot="1">
      <c r="B44" s="1218"/>
      <c r="C44" s="1219"/>
      <c r="D44" s="953"/>
      <c r="E44" s="529"/>
      <c r="F44" s="534"/>
      <c r="G44" s="534"/>
      <c r="H44" s="534"/>
      <c r="I44" s="534"/>
      <c r="J44" s="545">
        <f>SUM(E44:I44)</f>
        <v>0</v>
      </c>
      <c r="K44" s="532"/>
      <c r="L44" s="532"/>
      <c r="M44" s="533"/>
    </row>
    <row r="45" spans="2:13" s="134" customFormat="1" ht="19.5" customHeight="1" thickBot="1">
      <c r="B45" s="1209"/>
      <c r="C45" s="1210"/>
      <c r="D45" s="534"/>
      <c r="E45" s="529"/>
      <c r="F45" s="539"/>
      <c r="G45" s="539"/>
      <c r="H45" s="539"/>
      <c r="I45" s="539"/>
      <c r="J45" s="545">
        <f>SUM(E45:I45)</f>
        <v>0</v>
      </c>
      <c r="K45" s="540"/>
      <c r="L45" s="540"/>
      <c r="M45" s="541"/>
    </row>
    <row r="46" spans="2:15" s="132" customFormat="1" ht="19.5" customHeight="1" thickBot="1">
      <c r="B46" s="1181" t="s">
        <v>145</v>
      </c>
      <c r="C46" s="1182"/>
      <c r="D46" s="542"/>
      <c r="E46" s="574">
        <f>SUM(E41:E45)</f>
        <v>2545918.2399999998</v>
      </c>
      <c r="F46" s="574">
        <f>SUM(F41:F45)</f>
        <v>7719.94</v>
      </c>
      <c r="G46" s="575"/>
      <c r="H46" s="574">
        <f>SUM(H41:H45)</f>
        <v>-847274.62</v>
      </c>
      <c r="I46" s="574">
        <f>SUM(I41:I45)</f>
        <v>0</v>
      </c>
      <c r="J46" s="574">
        <f>SUM(J41:J45)</f>
        <v>1706363.5599999998</v>
      </c>
      <c r="K46" s="543"/>
      <c r="L46" s="576">
        <f>SUM(L41:L45)</f>
        <v>0</v>
      </c>
      <c r="M46" s="544"/>
      <c r="O46" s="708"/>
    </row>
    <row r="47" ht="13.5" thickBot="1"/>
    <row r="48" spans="2:13" ht="12.75" customHeight="1" thickBot="1">
      <c r="B48" s="1183" t="s">
        <v>1031</v>
      </c>
      <c r="C48" s="1184"/>
      <c r="D48" s="1184"/>
      <c r="E48" s="1184"/>
      <c r="F48" s="1184"/>
      <c r="G48" s="1184"/>
      <c r="H48" s="1184"/>
      <c r="I48" s="1184"/>
      <c r="J48" s="1184"/>
      <c r="K48" s="1184"/>
      <c r="L48" s="1184"/>
      <c r="M48" s="1185"/>
    </row>
    <row r="49" spans="2:13" ht="12.75" customHeight="1" thickBot="1">
      <c r="B49" s="1186" t="s">
        <v>210</v>
      </c>
      <c r="C49" s="1187"/>
      <c r="D49" s="1187"/>
      <c r="E49" s="1187"/>
      <c r="F49" s="1187"/>
      <c r="G49" s="1187"/>
      <c r="H49" s="1187"/>
      <c r="I49" s="1187"/>
      <c r="J49" s="1187"/>
      <c r="K49" s="1187"/>
      <c r="L49" s="1187"/>
      <c r="M49" s="1188"/>
    </row>
    <row r="50" spans="2:13" ht="13.5" thickBot="1">
      <c r="B50" s="1179"/>
      <c r="C50" s="1180"/>
      <c r="D50" s="953"/>
      <c r="E50" s="529"/>
      <c r="F50" s="530"/>
      <c r="G50" s="534"/>
      <c r="H50" s="530"/>
      <c r="I50" s="534"/>
      <c r="J50" s="545">
        <v>0</v>
      </c>
      <c r="K50" s="532"/>
      <c r="L50" s="532"/>
      <c r="M50" s="533"/>
    </row>
    <row r="51" spans="2:13" ht="13.5" thickBot="1">
      <c r="B51" s="1179"/>
      <c r="C51" s="1180"/>
      <c r="D51" s="953"/>
      <c r="E51" s="529"/>
      <c r="F51" s="530"/>
      <c r="G51" s="534"/>
      <c r="H51" s="530"/>
      <c r="I51" s="534"/>
      <c r="J51" s="545">
        <v>0</v>
      </c>
      <c r="K51" s="532"/>
      <c r="L51" s="532"/>
      <c r="M51" s="533"/>
    </row>
    <row r="52" spans="2:13" ht="13.5" thickBot="1">
      <c r="B52" s="1179"/>
      <c r="C52" s="1180"/>
      <c r="D52" s="953"/>
      <c r="E52" s="529"/>
      <c r="F52" s="530"/>
      <c r="G52" s="534"/>
      <c r="H52" s="530"/>
      <c r="I52" s="534"/>
      <c r="J52" s="545">
        <v>0</v>
      </c>
      <c r="K52" s="532"/>
      <c r="L52" s="532"/>
      <c r="M52" s="533"/>
    </row>
    <row r="53" spans="2:13" ht="12.75" customHeight="1" thickBot="1">
      <c r="B53" s="1181" t="s">
        <v>145</v>
      </c>
      <c r="C53" s="1182"/>
      <c r="D53" s="542"/>
      <c r="E53" s="574">
        <v>0</v>
      </c>
      <c r="F53" s="574">
        <v>0</v>
      </c>
      <c r="G53" s="575">
        <v>0</v>
      </c>
      <c r="H53" s="574">
        <v>0</v>
      </c>
      <c r="I53" s="574">
        <v>0</v>
      </c>
      <c r="J53" s="574">
        <v>0</v>
      </c>
      <c r="K53" s="543"/>
      <c r="L53" s="576"/>
      <c r="M53" s="544"/>
    </row>
    <row r="54" spans="2:13" ht="12.75" customHeight="1" thickBot="1">
      <c r="B54" s="1183" t="s">
        <v>1032</v>
      </c>
      <c r="C54" s="1184"/>
      <c r="D54" s="1184"/>
      <c r="E54" s="1184"/>
      <c r="F54" s="1184"/>
      <c r="G54" s="1184"/>
      <c r="H54" s="1184"/>
      <c r="I54" s="1184"/>
      <c r="J54" s="1184"/>
      <c r="K54" s="1184"/>
      <c r="L54" s="1184"/>
      <c r="M54" s="1185"/>
    </row>
    <row r="55" spans="2:13" ht="12.75" customHeight="1" thickBot="1">
      <c r="B55" s="1186" t="s">
        <v>210</v>
      </c>
      <c r="C55" s="1187"/>
      <c r="D55" s="1187"/>
      <c r="E55" s="1187"/>
      <c r="F55" s="1187"/>
      <c r="G55" s="1187"/>
      <c r="H55" s="1187"/>
      <c r="I55" s="1187"/>
      <c r="J55" s="1187"/>
      <c r="K55" s="1187"/>
      <c r="L55" s="1187"/>
      <c r="M55" s="1188"/>
    </row>
    <row r="56" spans="2:13" ht="13.5" thickBot="1">
      <c r="B56" s="1179"/>
      <c r="C56" s="1180"/>
      <c r="D56" s="953"/>
      <c r="E56" s="529"/>
      <c r="F56" s="530"/>
      <c r="G56" s="534"/>
      <c r="H56" s="530"/>
      <c r="I56" s="534"/>
      <c r="J56" s="545"/>
      <c r="K56" s="532"/>
      <c r="L56" s="532"/>
      <c r="M56" s="533"/>
    </row>
    <row r="57" spans="2:13" ht="13.5" thickBot="1">
      <c r="B57" s="1179"/>
      <c r="C57" s="1180"/>
      <c r="D57" s="953"/>
      <c r="E57" s="529"/>
      <c r="F57" s="530"/>
      <c r="G57" s="534"/>
      <c r="H57" s="530"/>
      <c r="I57" s="534"/>
      <c r="J57" s="545"/>
      <c r="K57" s="532"/>
      <c r="L57" s="532"/>
      <c r="M57" s="533"/>
    </row>
    <row r="58" spans="2:13" ht="12.75" customHeight="1" thickBot="1">
      <c r="B58" s="1183" t="s">
        <v>1033</v>
      </c>
      <c r="C58" s="1184"/>
      <c r="D58" s="1184"/>
      <c r="E58" s="1184"/>
      <c r="F58" s="1184"/>
      <c r="G58" s="1184"/>
      <c r="H58" s="1184"/>
      <c r="I58" s="1184"/>
      <c r="J58" s="1184"/>
      <c r="K58" s="1184"/>
      <c r="L58" s="1184"/>
      <c r="M58" s="1185"/>
    </row>
    <row r="59" spans="2:13" ht="12.75" customHeight="1" thickBot="1">
      <c r="B59" s="1179" t="s">
        <v>1034</v>
      </c>
      <c r="C59" s="1180"/>
      <c r="D59" s="953">
        <v>541</v>
      </c>
      <c r="E59" s="529">
        <v>4400</v>
      </c>
      <c r="F59" s="530"/>
      <c r="G59" s="534"/>
      <c r="H59" s="530"/>
      <c r="I59" s="534"/>
      <c r="J59" s="545">
        <v>4400</v>
      </c>
      <c r="K59" s="532"/>
      <c r="L59" s="532"/>
      <c r="M59" s="533"/>
    </row>
    <row r="60" spans="2:13" ht="12.75" customHeight="1" thickBot="1">
      <c r="B60" s="1183" t="s">
        <v>1035</v>
      </c>
      <c r="C60" s="1184"/>
      <c r="D60" s="1184"/>
      <c r="E60" s="1184"/>
      <c r="F60" s="1184"/>
      <c r="G60" s="1184"/>
      <c r="H60" s="1184"/>
      <c r="I60" s="1184"/>
      <c r="J60" s="1184"/>
      <c r="K60" s="1184"/>
      <c r="L60" s="1184"/>
      <c r="M60" s="1185"/>
    </row>
    <row r="61" spans="2:13" ht="12.75" customHeight="1" thickBot="1">
      <c r="B61" s="1179" t="s">
        <v>1036</v>
      </c>
      <c r="C61" s="1180"/>
      <c r="D61" s="953">
        <v>542</v>
      </c>
      <c r="E61" s="529">
        <v>25329285</v>
      </c>
      <c r="F61" s="530"/>
      <c r="G61" s="534"/>
      <c r="H61" s="530">
        <v>-1000000</v>
      </c>
      <c r="I61" s="534"/>
      <c r="J61" s="545">
        <f>E61+F61+H61</f>
        <v>24329285</v>
      </c>
      <c r="K61" s="532"/>
      <c r="L61" s="532"/>
      <c r="M61" s="533"/>
    </row>
    <row r="62" spans="2:13" ht="12.75" customHeight="1" thickBot="1">
      <c r="B62" s="1179" t="s">
        <v>1037</v>
      </c>
      <c r="C62" s="1180"/>
      <c r="D62" s="953">
        <v>547</v>
      </c>
      <c r="E62" s="529">
        <v>115609.46999999997</v>
      </c>
      <c r="F62" s="530">
        <v>81380.15127999993</v>
      </c>
      <c r="G62" s="534"/>
      <c r="H62" s="530"/>
      <c r="I62" s="534"/>
      <c r="J62" s="545">
        <f>E62+F62+H62</f>
        <v>196989.6212799999</v>
      </c>
      <c r="K62" s="532"/>
      <c r="L62" s="532"/>
      <c r="M62" s="533"/>
    </row>
    <row r="63" spans="2:13" ht="12.75" customHeight="1" thickBot="1">
      <c r="B63" s="1179" t="s">
        <v>1038</v>
      </c>
      <c r="C63" s="1180"/>
      <c r="D63" s="953">
        <v>547</v>
      </c>
      <c r="E63" s="529">
        <v>1622592.7700000014</v>
      </c>
      <c r="F63" s="530">
        <v>501585.6999999988</v>
      </c>
      <c r="G63" s="534"/>
      <c r="H63" s="530"/>
      <c r="I63" s="534"/>
      <c r="J63" s="545">
        <f>E63+F63+H63</f>
        <v>2124178.47</v>
      </c>
      <c r="K63" s="532"/>
      <c r="L63" s="532"/>
      <c r="M63" s="533"/>
    </row>
    <row r="64" spans="2:13" ht="12.75" customHeight="1" thickBot="1">
      <c r="B64" s="1181" t="s">
        <v>145</v>
      </c>
      <c r="C64" s="1182"/>
      <c r="D64" s="542"/>
      <c r="E64" s="574">
        <f aca="true" t="shared" si="0" ref="E64:J64">SUM(E61:E63)</f>
        <v>27067487.240000002</v>
      </c>
      <c r="F64" s="574">
        <f t="shared" si="0"/>
        <v>582965.8512799987</v>
      </c>
      <c r="G64" s="575">
        <f t="shared" si="0"/>
        <v>0</v>
      </c>
      <c r="H64" s="574">
        <f t="shared" si="0"/>
        <v>-1000000</v>
      </c>
      <c r="I64" s="574">
        <f t="shared" si="0"/>
        <v>0</v>
      </c>
      <c r="J64" s="574">
        <f t="shared" si="0"/>
        <v>26650453.09128</v>
      </c>
      <c r="K64" s="543"/>
      <c r="L64" s="576"/>
      <c r="M64" s="544"/>
    </row>
    <row r="65" spans="2:13" ht="12.75" customHeight="1" thickBot="1">
      <c r="B65" s="1183" t="s">
        <v>1032</v>
      </c>
      <c r="C65" s="1184"/>
      <c r="D65" s="1184"/>
      <c r="E65" s="1184"/>
      <c r="F65" s="1184"/>
      <c r="G65" s="1184"/>
      <c r="H65" s="1184"/>
      <c r="I65" s="1184"/>
      <c r="J65" s="1184"/>
      <c r="K65" s="1184"/>
      <c r="L65" s="1184"/>
      <c r="M65" s="1185"/>
    </row>
    <row r="66" spans="2:13" ht="12.75" customHeight="1" thickBot="1">
      <c r="B66" s="1179" t="s">
        <v>1039</v>
      </c>
      <c r="C66" s="1180"/>
      <c r="D66" s="953">
        <v>545</v>
      </c>
      <c r="E66" s="529"/>
      <c r="F66" s="530"/>
      <c r="G66" s="534"/>
      <c r="H66" s="530"/>
      <c r="I66" s="534"/>
      <c r="J66" s="545">
        <f>E66+F66+H66</f>
        <v>0</v>
      </c>
      <c r="K66" s="532"/>
      <c r="L66" s="532"/>
      <c r="M66" s="533"/>
    </row>
    <row r="67" spans="2:13" ht="12.75" customHeight="1" thickBot="1">
      <c r="B67" s="1179" t="s">
        <v>1040</v>
      </c>
      <c r="C67" s="1180"/>
      <c r="D67" s="964" t="s">
        <v>1041</v>
      </c>
      <c r="E67" s="529">
        <v>4433.85</v>
      </c>
      <c r="F67" s="530"/>
      <c r="G67" s="534"/>
      <c r="H67" s="530">
        <v>-4433.85</v>
      </c>
      <c r="I67" s="534"/>
      <c r="J67" s="545">
        <f>E67+F67+H67</f>
        <v>0</v>
      </c>
      <c r="K67" s="532"/>
      <c r="L67" s="532"/>
      <c r="M67" s="533"/>
    </row>
    <row r="68" spans="2:13" ht="12.75" customHeight="1" thickBot="1">
      <c r="B68" s="1179" t="s">
        <v>1042</v>
      </c>
      <c r="C68" s="1180"/>
      <c r="D68" s="964" t="s">
        <v>1043</v>
      </c>
      <c r="E68" s="529">
        <v>1654.07</v>
      </c>
      <c r="F68" s="530"/>
      <c r="G68" s="534"/>
      <c r="H68" s="530">
        <v>-1654.07</v>
      </c>
      <c r="I68" s="534"/>
      <c r="J68" s="545">
        <f>E68+F68+H68</f>
        <v>0</v>
      </c>
      <c r="K68" s="532"/>
      <c r="L68" s="532"/>
      <c r="M68" s="533"/>
    </row>
    <row r="69" spans="2:13" ht="12.75" customHeight="1" thickBot="1">
      <c r="B69" s="1181" t="s">
        <v>145</v>
      </c>
      <c r="C69" s="1182"/>
      <c r="D69" s="542"/>
      <c r="E69" s="574">
        <f>E66+E67+E68</f>
        <v>6087.92</v>
      </c>
      <c r="F69" s="574"/>
      <c r="G69" s="575">
        <v>0</v>
      </c>
      <c r="H69" s="574">
        <v>0</v>
      </c>
      <c r="I69" s="574">
        <v>0</v>
      </c>
      <c r="J69" s="574">
        <f>J66+J67</f>
        <v>0</v>
      </c>
      <c r="K69" s="543"/>
      <c r="L69" s="576"/>
      <c r="M69" s="544"/>
    </row>
    <row r="70" spans="2:13" ht="13.5" thickBot="1">
      <c r="B70" s="956"/>
      <c r="C70" s="956"/>
      <c r="D70" s="957"/>
      <c r="E70" s="958"/>
      <c r="F70" s="959"/>
      <c r="G70" s="959"/>
      <c r="H70" s="960"/>
      <c r="I70" s="959"/>
      <c r="J70" s="961"/>
      <c r="K70" s="962"/>
      <c r="L70" s="962"/>
      <c r="M70" s="963"/>
    </row>
    <row r="71" spans="2:13" ht="12.75" customHeight="1" thickBot="1">
      <c r="B71" s="1181" t="s">
        <v>145</v>
      </c>
      <c r="C71" s="1182"/>
      <c r="D71" s="542"/>
      <c r="E71" s="574">
        <f aca="true" t="shared" si="1" ref="E71:J71">E59+E64+E69</f>
        <v>27077975.160000004</v>
      </c>
      <c r="F71" s="574">
        <f t="shared" si="1"/>
        <v>582965.8512799987</v>
      </c>
      <c r="G71" s="575">
        <f t="shared" si="1"/>
        <v>0</v>
      </c>
      <c r="H71" s="574">
        <f t="shared" si="1"/>
        <v>-1000000</v>
      </c>
      <c r="I71" s="574">
        <f t="shared" si="1"/>
        <v>0</v>
      </c>
      <c r="J71" s="574">
        <f t="shared" si="1"/>
        <v>26654853.09128</v>
      </c>
      <c r="K71" s="543"/>
      <c r="L71" s="576">
        <v>0</v>
      </c>
      <c r="M71" s="544"/>
    </row>
    <row r="77" spans="2:13" ht="12.75">
      <c r="B77" s="1221" t="s">
        <v>425</v>
      </c>
      <c r="C77" s="1221"/>
      <c r="D77" s="1221"/>
      <c r="E77" s="1221"/>
      <c r="F77" s="1221"/>
      <c r="G77" s="1221"/>
      <c r="H77" s="1221"/>
      <c r="I77" s="1221"/>
      <c r="J77" s="1221"/>
      <c r="K77" s="1221"/>
      <c r="L77" s="1221"/>
      <c r="M77" s="1221"/>
    </row>
    <row r="78" spans="2:13" ht="12.75">
      <c r="B78" s="1220" t="s">
        <v>584</v>
      </c>
      <c r="C78" s="1220"/>
      <c r="D78" s="1220"/>
      <c r="E78" s="1220"/>
      <c r="F78" s="1220"/>
      <c r="G78" s="1220"/>
      <c r="H78" s="1220"/>
      <c r="I78" s="1220"/>
      <c r="J78" s="1220"/>
      <c r="K78" s="1220"/>
      <c r="L78" s="1220"/>
      <c r="M78" s="1220"/>
    </row>
    <row r="79" spans="2:13" ht="12.75">
      <c r="B79" s="1220" t="s">
        <v>208</v>
      </c>
      <c r="C79" s="1220"/>
      <c r="D79" s="1220"/>
      <c r="E79" s="1220"/>
      <c r="F79" s="1220"/>
      <c r="G79" s="1220"/>
      <c r="H79" s="1220"/>
      <c r="I79" s="1220"/>
      <c r="J79" s="1220"/>
      <c r="K79" s="1220"/>
      <c r="L79" s="1220"/>
      <c r="M79" s="1220"/>
    </row>
    <row r="80" spans="2:13" ht="12.75">
      <c r="B80" s="1220" t="s">
        <v>585</v>
      </c>
      <c r="C80" s="1220"/>
      <c r="D80" s="1220"/>
      <c r="E80" s="1220"/>
      <c r="F80" s="1220"/>
      <c r="G80" s="1220"/>
      <c r="H80" s="1220"/>
      <c r="I80" s="1220"/>
      <c r="J80" s="1220"/>
      <c r="K80" s="1220"/>
      <c r="L80" s="1220"/>
      <c r="M80" s="1220"/>
    </row>
    <row r="81" spans="2:13" ht="12.75">
      <c r="B81" s="1220" t="s">
        <v>586</v>
      </c>
      <c r="C81" s="1220"/>
      <c r="D81" s="1220"/>
      <c r="E81" s="1220"/>
      <c r="F81" s="1220"/>
      <c r="G81" s="1220"/>
      <c r="H81" s="1220"/>
      <c r="I81" s="1220"/>
      <c r="J81" s="1220"/>
      <c r="K81" s="1220"/>
      <c r="L81" s="1220"/>
      <c r="M81" s="1220"/>
    </row>
    <row r="82" spans="2:13" ht="12.75">
      <c r="B82" s="1220" t="s">
        <v>587</v>
      </c>
      <c r="C82" s="1220"/>
      <c r="D82" s="1220"/>
      <c r="E82" s="1220"/>
      <c r="F82" s="1220"/>
      <c r="G82" s="1220"/>
      <c r="H82" s="1220"/>
      <c r="I82" s="1220"/>
      <c r="J82" s="1220"/>
      <c r="K82" s="1220"/>
      <c r="L82" s="1220"/>
      <c r="M82" s="1220"/>
    </row>
    <row r="83" spans="2:13" ht="12.75">
      <c r="B83" s="1220" t="s">
        <v>390</v>
      </c>
      <c r="C83" s="1220"/>
      <c r="D83" s="1220"/>
      <c r="E83" s="1220"/>
      <c r="F83" s="1220"/>
      <c r="G83" s="1220"/>
      <c r="H83" s="1220"/>
      <c r="I83" s="1220"/>
      <c r="J83" s="1220"/>
      <c r="K83" s="1220"/>
      <c r="L83" s="1220"/>
      <c r="M83" s="1220"/>
    </row>
    <row r="84" spans="2:13" ht="12.75">
      <c r="B84" s="1220" t="s">
        <v>391</v>
      </c>
      <c r="C84" s="1220"/>
      <c r="D84" s="1220"/>
      <c r="E84" s="1220"/>
      <c r="F84" s="1220"/>
      <c r="G84" s="1220"/>
      <c r="H84" s="1220"/>
      <c r="I84" s="1220"/>
      <c r="J84" s="1220"/>
      <c r="K84" s="1220"/>
      <c r="L84" s="1220"/>
      <c r="M84" s="1220"/>
    </row>
    <row r="85" spans="2:13" ht="12.75">
      <c r="B85" s="1220" t="s">
        <v>213</v>
      </c>
      <c r="C85" s="1220"/>
      <c r="D85" s="1220"/>
      <c r="E85" s="1220"/>
      <c r="F85" s="1220"/>
      <c r="G85" s="1220"/>
      <c r="H85" s="1220"/>
      <c r="I85" s="1220"/>
      <c r="J85" s="1220"/>
      <c r="K85" s="1220"/>
      <c r="L85" s="1220"/>
      <c r="M85" s="1220"/>
    </row>
    <row r="86" spans="2:13" ht="12.75">
      <c r="B86" s="1220" t="s">
        <v>392</v>
      </c>
      <c r="C86" s="1220"/>
      <c r="D86" s="1220"/>
      <c r="E86" s="1220"/>
      <c r="F86" s="1220"/>
      <c r="G86" s="1220"/>
      <c r="H86" s="1220"/>
      <c r="I86" s="1220"/>
      <c r="J86" s="1220"/>
      <c r="K86" s="1220"/>
      <c r="L86" s="1220"/>
      <c r="M86" s="1220"/>
    </row>
    <row r="87" spans="2:13" ht="12.75">
      <c r="B87" s="1220" t="s">
        <v>393</v>
      </c>
      <c r="C87" s="1220"/>
      <c r="D87" s="1220"/>
      <c r="E87" s="1220"/>
      <c r="F87" s="1220"/>
      <c r="G87" s="1220"/>
      <c r="H87" s="1220"/>
      <c r="I87" s="1220"/>
      <c r="J87" s="1220"/>
      <c r="K87" s="1220"/>
      <c r="L87" s="1220"/>
      <c r="M87" s="1220"/>
    </row>
    <row r="88" spans="4:8" ht="12.75" hidden="1">
      <c r="D88" s="133" t="s">
        <v>87</v>
      </c>
      <c r="E88" s="233">
        <f>+ACTIVO!C20</f>
        <v>1549625.52</v>
      </c>
      <c r="F88" s="233">
        <f>+ACTIVO!D20</f>
        <v>1382211.76</v>
      </c>
      <c r="G88" s="233">
        <f>+ACTIVO!E20</f>
        <v>1382211.76</v>
      </c>
      <c r="H88" s="233">
        <f>+ACTIVO!E20</f>
        <v>1382211.76</v>
      </c>
    </row>
    <row r="89" spans="4:8" ht="12.75" hidden="1">
      <c r="D89" s="234" t="s">
        <v>88</v>
      </c>
      <c r="E89" s="235">
        <f>+E87-E88</f>
        <v>-1549625.52</v>
      </c>
      <c r="F89" s="235">
        <f>+F87-F88</f>
        <v>-1382211.76</v>
      </c>
      <c r="G89" s="235">
        <f>+G87-G88</f>
        <v>-1382211.76</v>
      </c>
      <c r="H89" s="235">
        <f>+H87-H88</f>
        <v>-1382211.76</v>
      </c>
    </row>
    <row r="90" ht="12.75" hidden="1"/>
    <row r="91" ht="12.75" hidden="1"/>
    <row r="92" ht="12.75" hidden="1"/>
    <row r="93" ht="12.75" hidden="1"/>
  </sheetData>
  <sheetProtection formatColumns="0" formatRows="0"/>
  <mergeCells count="94">
    <mergeCell ref="B78:M78"/>
    <mergeCell ref="B79:M79"/>
    <mergeCell ref="B80:M80"/>
    <mergeCell ref="B24:C24"/>
    <mergeCell ref="B27:C27"/>
    <mergeCell ref="B30:M30"/>
    <mergeCell ref="M31:M32"/>
    <mergeCell ref="L31:L32"/>
    <mergeCell ref="B31:C32"/>
    <mergeCell ref="D31:D32"/>
    <mergeCell ref="E31:E32"/>
    <mergeCell ref="B25:C25"/>
    <mergeCell ref="B26:C26"/>
    <mergeCell ref="B29:M29"/>
    <mergeCell ref="F31:G31"/>
    <mergeCell ref="B35:C35"/>
    <mergeCell ref="B37:C37"/>
    <mergeCell ref="B36:C36"/>
    <mergeCell ref="B40:M40"/>
    <mergeCell ref="B87:M87"/>
    <mergeCell ref="B83:M83"/>
    <mergeCell ref="B84:M84"/>
    <mergeCell ref="B85:M85"/>
    <mergeCell ref="B86:M86"/>
    <mergeCell ref="B44:C44"/>
    <mergeCell ref="B81:M81"/>
    <mergeCell ref="B82:M82"/>
    <mergeCell ref="B46:C46"/>
    <mergeCell ref="B45:C45"/>
    <mergeCell ref="B43:C43"/>
    <mergeCell ref="B77:M77"/>
    <mergeCell ref="B48:M48"/>
    <mergeCell ref="L3:M3"/>
    <mergeCell ref="L2:M2"/>
    <mergeCell ref="H6:I6"/>
    <mergeCell ref="L6:L7"/>
    <mergeCell ref="B4:M4"/>
    <mergeCell ref="B5:M5"/>
    <mergeCell ref="J6:J7"/>
    <mergeCell ref="K6:K7"/>
    <mergeCell ref="B13:C13"/>
    <mergeCell ref="B14:C14"/>
    <mergeCell ref="B41:C41"/>
    <mergeCell ref="B42:C42"/>
    <mergeCell ref="B2:K2"/>
    <mergeCell ref="B3:K3"/>
    <mergeCell ref="B20:C20"/>
    <mergeCell ref="B9:C9"/>
    <mergeCell ref="B18:M18"/>
    <mergeCell ref="B34:C34"/>
    <mergeCell ref="J31:J32"/>
    <mergeCell ref="K31:K32"/>
    <mergeCell ref="H31:I31"/>
    <mergeCell ref="B33:M33"/>
    <mergeCell ref="B38:C38"/>
    <mergeCell ref="B39:C39"/>
    <mergeCell ref="B21:C21"/>
    <mergeCell ref="B22:C22"/>
    <mergeCell ref="B23:C23"/>
    <mergeCell ref="B15:C15"/>
    <mergeCell ref="B6:C7"/>
    <mergeCell ref="B8:M8"/>
    <mergeCell ref="B17:C17"/>
    <mergeCell ref="B19:C19"/>
    <mergeCell ref="D6:D7"/>
    <mergeCell ref="E6:E7"/>
    <mergeCell ref="F6:G6"/>
    <mergeCell ref="B16:C16"/>
    <mergeCell ref="M6:M7"/>
    <mergeCell ref="B10:C10"/>
    <mergeCell ref="B11:C11"/>
    <mergeCell ref="B12:C12"/>
    <mergeCell ref="B49:M49"/>
    <mergeCell ref="B50:C50"/>
    <mergeCell ref="B51:C51"/>
    <mergeCell ref="B52:C52"/>
    <mergeCell ref="B60:M60"/>
    <mergeCell ref="B61:C61"/>
    <mergeCell ref="B62:C62"/>
    <mergeCell ref="B53:C53"/>
    <mergeCell ref="B54:M54"/>
    <mergeCell ref="B55:M55"/>
    <mergeCell ref="B58:M58"/>
    <mergeCell ref="B59:C59"/>
    <mergeCell ref="B56:C56"/>
    <mergeCell ref="B57:C57"/>
    <mergeCell ref="B68:C68"/>
    <mergeCell ref="B69:C69"/>
    <mergeCell ref="B71:C71"/>
    <mergeCell ref="B63:C63"/>
    <mergeCell ref="B64:C64"/>
    <mergeCell ref="B65:M65"/>
    <mergeCell ref="B66:C66"/>
    <mergeCell ref="B67:C67"/>
  </mergeCells>
  <dataValidations count="8">
    <dataValidation allowBlank="1" showInputMessage="1" showErrorMessage="1" promptTitle="ENTIDAD BENEFICIARIA:" prompt=" Entidad del grupo,asociada o cualquier otra en la cual se realiza la inversión." sqref="C44 B41:B43 C46 B22 C27"/>
    <dataValidation allowBlank="1" showInputMessage="1" showErrorMessage="1" promptTitle="ENTIDAD BENEFICIARIA:" prompt=" Entidad del grupo o asociada en la cual se realiza la inversión." sqref="C38:C39 B15 C17 B37"/>
    <dataValidation allowBlank="1" showInputMessage="1" showErrorMessage="1" promptTitle="SALDO INICIAL:" prompt=" Saldo a 1 de enero del período al que están referidas las estimaciones." sqref="E34:E38 E15:E16 E41:E45 E19:E26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41:F45 F9:F16 F24:F26 F34:F38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41:G45 G9:G16 G19:G26 G34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F19:F23 H9:H16 H19:H26 H41:H45 H34:H39 E39:F39 I39:J39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41:I45 I9:I16 I19:I26 I34:I38"/>
    <dataValidation allowBlank="1" showInputMessage="1" showErrorMessage="1" promptTitle="SALDO FINAL: " prompt="Saldo a 31 de diciembre del ejercicio al que está referidas las estimaciones." sqref="J41:J45 J19:J26 E17:I17 J9:J17 J34:J38"/>
  </dataValidations>
  <printOptions horizontalCentered="1" verticalCentered="1"/>
  <pageMargins left="0.5511811023622047" right="0.4724409448818898" top="0.31496062992125984" bottom="0.35433070866141736" header="0" footer="0"/>
  <pageSetup horizontalDpi="600" verticalDpi="600" orientation="landscape" paperSize="9" scale="35" r:id="rId1"/>
  <ignoredErrors>
    <ignoredError sqref="J9:J14 J19:J25 J41:J4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222" t="s">
        <v>131</v>
      </c>
      <c r="B1" s="1223"/>
      <c r="C1" s="1224"/>
      <c r="D1" s="16" t="e">
        <f>#REF!</f>
        <v>#REF!</v>
      </c>
    </row>
    <row r="2" spans="1:4" ht="25.5" customHeight="1">
      <c r="A2" s="1225" t="s">
        <v>685</v>
      </c>
      <c r="B2" s="1226"/>
      <c r="C2" s="1227"/>
      <c r="D2" s="13" t="s">
        <v>683</v>
      </c>
    </row>
    <row r="3" spans="1:4" ht="25.5" customHeight="1">
      <c r="A3" s="1228" t="s">
        <v>792</v>
      </c>
      <c r="B3" s="1229"/>
      <c r="C3" s="1229"/>
      <c r="D3" s="1230"/>
    </row>
    <row r="4" spans="1:4" ht="31.5" customHeight="1">
      <c r="A4" s="19" t="s">
        <v>142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178</v>
      </c>
      <c r="B5" s="21"/>
      <c r="C5" s="21"/>
      <c r="D5" s="22"/>
    </row>
    <row r="6" spans="1:4" s="3" customFormat="1" ht="19.5" customHeight="1">
      <c r="A6" s="5" t="s">
        <v>736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143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9373625.88</v>
      </c>
    </row>
    <row r="8" spans="1:4" s="3" customFormat="1" ht="19.5" customHeight="1">
      <c r="A8" s="10" t="s">
        <v>179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737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738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739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181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740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182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742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743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744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183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398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745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-4725</v>
      </c>
    </row>
    <row r="21" spans="1:4" s="3" customFormat="1" ht="19.5" customHeight="1">
      <c r="A21" s="5" t="s">
        <v>746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180172.53</v>
      </c>
    </row>
    <row r="22" spans="1:4" s="3" customFormat="1" ht="19.5" customHeight="1">
      <c r="A22" s="10" t="s">
        <v>747</v>
      </c>
      <c r="B22" s="25" t="str">
        <f>CPYG!B12</f>
        <v>4. APROVISIONAMIENTOS.</v>
      </c>
      <c r="C22" s="25" t="e">
        <f>CPYG!#REF!</f>
        <v>#REF!</v>
      </c>
      <c r="D22" s="26">
        <f>CPYG!C12</f>
        <v>-612573.91</v>
      </c>
    </row>
    <row r="23" spans="1:4" s="3" customFormat="1" ht="19.5" customHeight="1">
      <c r="A23" s="10" t="s">
        <v>748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5" customHeight="1">
      <c r="A24" s="10" t="s">
        <v>749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-59914.8</v>
      </c>
    </row>
    <row r="25" spans="1:4" s="3" customFormat="1" ht="19.5" customHeight="1">
      <c r="A25" s="10" t="s">
        <v>750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-552659.11</v>
      </c>
    </row>
    <row r="26" spans="1:4" s="3" customFormat="1" ht="19.5" customHeight="1">
      <c r="A26" s="5" t="s">
        <v>751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752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754787.06</v>
      </c>
    </row>
    <row r="28" spans="1:4" s="3" customFormat="1" ht="19.5" customHeight="1">
      <c r="A28" s="10" t="s">
        <v>754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39510.14</v>
      </c>
    </row>
    <row r="29" spans="1:4" s="3" customFormat="1" ht="19.5" customHeight="1">
      <c r="A29" s="10" t="s">
        <v>755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715276.92</v>
      </c>
    </row>
    <row r="30" spans="1:4" s="3" customFormat="1" ht="19.5" customHeight="1">
      <c r="A30" s="10" t="s">
        <v>399</v>
      </c>
      <c r="B30" s="25" t="str">
        <f>CPYG!B23</f>
        <v>          b.1.) Estado.</v>
      </c>
      <c r="C30" s="27" t="e">
        <f>CPYG!#REF!</f>
        <v>#REF!</v>
      </c>
      <c r="D30" s="28">
        <f>CPYG!C23</f>
        <v>7884.05</v>
      </c>
    </row>
    <row r="31" spans="1:4" s="3" customFormat="1" ht="19.5" customHeight="1">
      <c r="A31" s="10" t="s">
        <v>400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756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757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554440</v>
      </c>
    </row>
    <row r="34" spans="1:4" s="3" customFormat="1" ht="19.5" customHeight="1">
      <c r="A34" s="10" t="s">
        <v>758</v>
      </c>
      <c r="B34" s="25" t="str">
        <f>CPYG!B27</f>
        <v>          b.5. ) Otros Entes.</v>
      </c>
      <c r="C34" s="27" t="e">
        <f>CPYG!#REF!</f>
        <v>#REF!</v>
      </c>
      <c r="D34" s="26">
        <f>CPYG!C27</f>
        <v>152952.87</v>
      </c>
    </row>
    <row r="35" spans="1:4" s="3" customFormat="1" ht="19.5" customHeight="1">
      <c r="A35" s="5" t="s">
        <v>759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760</v>
      </c>
      <c r="B36" s="25" t="str">
        <f>CPYG!B29</f>
        <v>6. GASTOS DE PERSONAL.</v>
      </c>
      <c r="C36" s="25" t="e">
        <f>CPYG!#REF!</f>
        <v>#REF!</v>
      </c>
      <c r="D36" s="26">
        <f>CPYG!C29</f>
        <v>-4469614.340000001</v>
      </c>
      <c r="E36" s="40"/>
    </row>
    <row r="37" spans="1:4" s="3" customFormat="1" ht="19.5" customHeight="1">
      <c r="A37" s="10" t="s">
        <v>401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-3383174.56</v>
      </c>
    </row>
    <row r="38" spans="1:4" s="3" customFormat="1" ht="19.5" customHeight="1">
      <c r="A38" s="10" t="s">
        <v>402</v>
      </c>
      <c r="B38" s="25" t="str">
        <f>CPYG!B31</f>
        <v>      b) Indemnizaciones</v>
      </c>
      <c r="C38" s="27" t="e">
        <f>CPYG!#REF!</f>
        <v>#REF!</v>
      </c>
      <c r="D38" s="26">
        <f>CPYG!C31</f>
        <v>-25000</v>
      </c>
    </row>
    <row r="39" spans="1:4" s="3" customFormat="1" ht="19.5" customHeight="1">
      <c r="A39" s="10" t="s">
        <v>403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-877555.09</v>
      </c>
    </row>
    <row r="40" spans="1:4" s="3" customFormat="1" ht="19.5" customHeight="1">
      <c r="A40" s="10" t="s">
        <v>404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405</v>
      </c>
      <c r="B41" s="25" t="str">
        <f>CPYG!B34</f>
        <v>      e) Otros Gastos Sociales</v>
      </c>
      <c r="C41" s="27" t="e">
        <f>CPYG!#REF!</f>
        <v>#REF!</v>
      </c>
      <c r="D41" s="26">
        <f>CPYG!C34</f>
        <v>-183884.69</v>
      </c>
    </row>
    <row r="42" spans="1:4" s="3" customFormat="1" ht="19.5" customHeight="1">
      <c r="A42" s="5" t="s">
        <v>761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406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-2489598.58</v>
      </c>
    </row>
    <row r="44" spans="1:4" s="3" customFormat="1" ht="19.5" customHeight="1">
      <c r="A44" s="10" t="s">
        <v>407</v>
      </c>
      <c r="B44" s="25" t="str">
        <f>CPYG!B38</f>
        <v>      a) Servicios Exteriores</v>
      </c>
      <c r="C44" s="27" t="e">
        <f>CPYG!#REF!</f>
        <v>#REF!</v>
      </c>
      <c r="D44" s="26">
        <f>CPYG!C38</f>
        <v>-2204767.67</v>
      </c>
    </row>
    <row r="45" spans="1:4" s="3" customFormat="1" ht="19.5" customHeight="1">
      <c r="A45" s="10" t="s">
        <v>762</v>
      </c>
      <c r="B45" s="25" t="str">
        <f>CPYG!B39</f>
        <v>      b) Tributos</v>
      </c>
      <c r="C45" s="25" t="e">
        <f>CPYG!#REF!</f>
        <v>#REF!</v>
      </c>
      <c r="D45" s="26">
        <f>CPYG!C39</f>
        <v>-161830.91</v>
      </c>
    </row>
    <row r="46" spans="1:4" s="3" customFormat="1" ht="19.5" customHeight="1">
      <c r="A46" s="10" t="s">
        <v>763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0</v>
      </c>
    </row>
    <row r="47" spans="1:4" s="3" customFormat="1" ht="19.5" customHeight="1">
      <c r="A47" s="10" t="s">
        <v>764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765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766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-123000</v>
      </c>
    </row>
    <row r="50" spans="1:4" s="3" customFormat="1" ht="19.5" customHeight="1">
      <c r="A50" s="5" t="s">
        <v>767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-3264034.41</v>
      </c>
    </row>
    <row r="51" spans="1:4" s="3" customFormat="1" ht="19.5" customHeight="1">
      <c r="A51" s="5" t="s">
        <v>768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413686.05</v>
      </c>
    </row>
    <row r="52" spans="1:4" s="3" customFormat="1" ht="19.5" customHeight="1">
      <c r="A52" s="5" t="s">
        <v>769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127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408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686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687</v>
      </c>
      <c r="B56" s="23" t="str">
        <f>CPYG!B62</f>
        <v>13. OTROS RESULTADOS</v>
      </c>
      <c r="C56" s="23" t="e">
        <f>CPYG!#REF!</f>
        <v>#REF!</v>
      </c>
      <c r="D56" s="24">
        <f>CPYG!C62</f>
        <v>-19093.79</v>
      </c>
    </row>
    <row r="57" spans="1:4" s="3" customFormat="1" ht="19.5" customHeight="1">
      <c r="A57" s="5" t="s">
        <v>770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-137368.5100000005</v>
      </c>
    </row>
    <row r="58" spans="1:4" s="3" customFormat="1" ht="19.5" customHeight="1">
      <c r="A58" s="10" t="s">
        <v>771</v>
      </c>
      <c r="B58" s="25" t="str">
        <f>CPYG!B66</f>
        <v>14. INGRESOS FINANCIEROS.</v>
      </c>
      <c r="C58" s="25" t="e">
        <f>CPYG!#REF!</f>
        <v>#REF!</v>
      </c>
      <c r="D58" s="26">
        <f>CPYG!C66</f>
        <v>2604640.02</v>
      </c>
    </row>
    <row r="59" spans="1:4" s="3" customFormat="1" ht="19.5" customHeight="1">
      <c r="A59" s="10" t="s">
        <v>772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1849103.84</v>
      </c>
    </row>
    <row r="60" spans="1:4" s="3" customFormat="1" ht="19.5" customHeight="1">
      <c r="A60" s="10" t="s">
        <v>773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409</v>
      </c>
      <c r="B61" s="25" t="str">
        <f>CPYG!B69</f>
        <v>          a.2) En terceros.</v>
      </c>
      <c r="C61" s="25" t="e">
        <f>CPYG!#REF!</f>
        <v>#REF!</v>
      </c>
      <c r="D61" s="26">
        <f>CPYG!C69</f>
        <v>1849103.84</v>
      </c>
    </row>
    <row r="62" spans="1:4" s="3" customFormat="1" ht="19.5" customHeight="1">
      <c r="A62" s="10" t="s">
        <v>774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755536.18</v>
      </c>
    </row>
    <row r="63" spans="1:4" s="3" customFormat="1" ht="19.5" customHeight="1">
      <c r="A63" s="10" t="s">
        <v>775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752786.26</v>
      </c>
    </row>
    <row r="64" spans="1:4" s="3" customFormat="1" ht="19.5" customHeight="1">
      <c r="A64" s="5" t="s">
        <v>776</v>
      </c>
      <c r="B64" s="23" t="str">
        <f>CPYG!B72</f>
        <v>          b.2) En terceros.</v>
      </c>
      <c r="C64" s="23" t="e">
        <f>CPYG!#REF!</f>
        <v>#REF!</v>
      </c>
      <c r="D64" s="24">
        <f>CPYG!C72</f>
        <v>2749.92</v>
      </c>
    </row>
    <row r="65" spans="1:4" s="3" customFormat="1" ht="19.5" customHeight="1">
      <c r="A65" s="10" t="s">
        <v>777</v>
      </c>
      <c r="B65" s="25" t="str">
        <f>CPYG!B74</f>
        <v>15. GASTOS FINANCIEROS.</v>
      </c>
      <c r="C65" s="27" t="e">
        <f>CPYG!#REF!</f>
        <v>#REF!</v>
      </c>
      <c r="D65" s="26">
        <f>CPYG!C74</f>
        <v>-663007.46</v>
      </c>
    </row>
    <row r="66" spans="1:4" s="3" customFormat="1" ht="19.5" customHeight="1">
      <c r="A66" s="10" t="s">
        <v>410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411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-662373.13</v>
      </c>
    </row>
    <row r="68" spans="1:4" s="3" customFormat="1" ht="19.5" customHeight="1">
      <c r="A68" s="5" t="s">
        <v>778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-634.33</v>
      </c>
    </row>
    <row r="69" spans="1:4" s="3" customFormat="1" ht="19.5" customHeight="1">
      <c r="A69" s="10" t="s">
        <v>779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412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780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688</v>
      </c>
      <c r="B72" s="23" t="str">
        <f>CPYG!B81</f>
        <v>17. DIFERENCIA DE CAMBIO.</v>
      </c>
      <c r="C72" s="23" t="e">
        <f>CPYG!#REF!</f>
        <v>#REF!</v>
      </c>
      <c r="D72" s="24">
        <f>CPYG!C81</f>
        <v>-84.66</v>
      </c>
    </row>
    <row r="73" spans="1:4" s="3" customFormat="1" ht="20.25" customHeight="1">
      <c r="A73" s="10" t="s">
        <v>781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408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689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413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1941547.9000000001</v>
      </c>
    </row>
    <row r="77" spans="1:4" s="3" customFormat="1" ht="19.5" customHeight="1">
      <c r="A77" s="5" t="s">
        <v>125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1804179.3899999997</v>
      </c>
    </row>
    <row r="78" spans="1:4" s="3" customFormat="1" ht="25.5" customHeight="1">
      <c r="A78" s="11" t="s">
        <v>690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-55296.61</v>
      </c>
    </row>
    <row r="79" spans="1:4" s="3" customFormat="1" ht="19.5" customHeight="1">
      <c r="A79" s="5" t="s">
        <v>414</v>
      </c>
      <c r="B79" s="23"/>
      <c r="C79" s="23"/>
      <c r="D79" s="24"/>
    </row>
    <row r="80" spans="1:4" s="3" customFormat="1" ht="19.5" customHeight="1">
      <c r="A80" s="5" t="s">
        <v>691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692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180</v>
      </c>
      <c r="B84" s="34"/>
      <c r="C84" s="34"/>
      <c r="D84" s="34"/>
    </row>
    <row r="85" spans="1:5" ht="19.5" customHeight="1">
      <c r="A85" s="7" t="s">
        <v>126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1748882.7799999996</v>
      </c>
      <c r="C90" s="33">
        <f>PASIVO!D20</f>
        <v>1867864.419999998</v>
      </c>
      <c r="D90" s="33">
        <f>PASIVO!E20</f>
        <v>2535164.8499999996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-2535164.8499999996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1:P109"/>
  <sheetViews>
    <sheetView zoomScale="85" zoomScaleNormal="85" zoomScalePageLayoutView="0" workbookViewId="0" topLeftCell="A1">
      <selection activeCell="A104" sqref="A104:IV109"/>
    </sheetView>
  </sheetViews>
  <sheetFormatPr defaultColWidth="11.57421875" defaultRowHeight="12.75"/>
  <cols>
    <col min="1" max="1" width="4.00390625" style="238" customWidth="1"/>
    <col min="2" max="2" width="76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57421875" style="238" bestFit="1" customWidth="1"/>
    <col min="10" max="10" width="19.421875" style="238" hidden="1" customWidth="1"/>
    <col min="11" max="13" width="11.57421875" style="239" customWidth="1"/>
    <col min="14" max="15" width="11.57421875" style="240" customWidth="1"/>
    <col min="16" max="16384" width="11.57421875" style="238" customWidth="1"/>
  </cols>
  <sheetData>
    <row r="1" spans="2:9" ht="13.5" thickBot="1">
      <c r="B1" s="662"/>
      <c r="I1" s="663"/>
    </row>
    <row r="2" spans="2:9" ht="46.5" customHeight="1">
      <c r="B2" s="1243" t="s">
        <v>215</v>
      </c>
      <c r="C2" s="1244"/>
      <c r="D2" s="1244"/>
      <c r="E2" s="1244"/>
      <c r="F2" s="1244"/>
      <c r="G2" s="1236">
        <f>CPYG!E2</f>
        <v>2017</v>
      </c>
      <c r="H2" s="1236"/>
      <c r="I2" s="1237"/>
    </row>
    <row r="3" spans="2:9" ht="30" customHeight="1" thickBot="1">
      <c r="B3" s="1241" t="str">
        <f>CPYG!B3</f>
        <v>ENTIDAD: INSTITUTO TECNOLOGICO Y DE ENERGIAS RENOVABLES S.A.</v>
      </c>
      <c r="C3" s="1242"/>
      <c r="D3" s="1242"/>
      <c r="E3" s="1242"/>
      <c r="F3" s="1242"/>
      <c r="G3" s="1238" t="s">
        <v>197</v>
      </c>
      <c r="H3" s="1239"/>
      <c r="I3" s="1240"/>
    </row>
    <row r="4" spans="2:9" ht="24.75" customHeight="1" thickBot="1">
      <c r="B4" s="1232" t="s">
        <v>596</v>
      </c>
      <c r="C4" s="1233"/>
      <c r="D4" s="1233"/>
      <c r="E4" s="1233"/>
      <c r="F4" s="1233"/>
      <c r="G4" s="1233"/>
      <c r="H4" s="1233"/>
      <c r="I4" s="1234"/>
    </row>
    <row r="5" spans="2:16" ht="19.5" customHeight="1" thickBot="1">
      <c r="B5" s="616" t="s">
        <v>595</v>
      </c>
      <c r="C5" s="617"/>
      <c r="D5" s="618" t="s">
        <v>589</v>
      </c>
      <c r="E5" s="618">
        <v>2016</v>
      </c>
      <c r="F5" s="618">
        <v>2017</v>
      </c>
      <c r="G5" s="618" t="s">
        <v>146</v>
      </c>
      <c r="H5" s="618" t="s">
        <v>626</v>
      </c>
      <c r="I5" s="619" t="s">
        <v>625</v>
      </c>
      <c r="P5" s="240"/>
    </row>
    <row r="6" spans="2:16" ht="19.5" customHeight="1" thickBot="1">
      <c r="B6" s="620" t="s">
        <v>590</v>
      </c>
      <c r="C6" s="621"/>
      <c r="D6" s="622"/>
      <c r="E6" s="623">
        <f>PASIVO!C27</f>
        <v>2247730.61</v>
      </c>
      <c r="F6" s="624">
        <f>+E22</f>
        <v>9557089.549999999</v>
      </c>
      <c r="G6" s="625"/>
      <c r="H6" s="626"/>
      <c r="I6" s="627"/>
      <c r="P6" s="240"/>
    </row>
    <row r="7" spans="2:16" ht="19.5" customHeight="1">
      <c r="B7" s="645" t="s">
        <v>877</v>
      </c>
      <c r="C7" s="646"/>
      <c r="D7" s="241" t="s">
        <v>606</v>
      </c>
      <c r="E7" s="913">
        <v>8705635.05</v>
      </c>
      <c r="F7" s="242"/>
      <c r="G7" s="243"/>
      <c r="H7" s="243"/>
      <c r="I7" s="244"/>
      <c r="P7" s="240"/>
    </row>
    <row r="8" spans="2:16" ht="19.5" customHeight="1">
      <c r="B8" s="647" t="s">
        <v>878</v>
      </c>
      <c r="C8" s="646"/>
      <c r="D8" s="241" t="s">
        <v>606</v>
      </c>
      <c r="E8" s="913">
        <v>354483.33</v>
      </c>
      <c r="F8" s="245"/>
      <c r="G8" s="246"/>
      <c r="H8" s="246"/>
      <c r="I8" s="247"/>
      <c r="P8" s="240"/>
    </row>
    <row r="9" spans="2:16" ht="19.5" customHeight="1">
      <c r="B9" s="647" t="s">
        <v>879</v>
      </c>
      <c r="C9" s="646"/>
      <c r="D9" s="241" t="s">
        <v>606</v>
      </c>
      <c r="E9" s="913">
        <v>585498.29</v>
      </c>
      <c r="F9" s="245"/>
      <c r="G9" s="248"/>
      <c r="H9" s="248"/>
      <c r="I9" s="249"/>
      <c r="P9" s="240"/>
    </row>
    <row r="10" spans="2:16" ht="19.5" customHeight="1">
      <c r="B10" s="689" t="s">
        <v>880</v>
      </c>
      <c r="C10" s="690"/>
      <c r="D10" s="691" t="s">
        <v>606</v>
      </c>
      <c r="E10" s="913">
        <v>278046.95</v>
      </c>
      <c r="F10" s="692"/>
      <c r="G10" s="710"/>
      <c r="H10" s="710"/>
      <c r="I10" s="711"/>
      <c r="P10" s="240"/>
    </row>
    <row r="11" spans="2:16" ht="19.5" customHeight="1">
      <c r="B11" s="647" t="s">
        <v>881</v>
      </c>
      <c r="C11" s="646"/>
      <c r="D11" s="241" t="s">
        <v>607</v>
      </c>
      <c r="E11" s="913">
        <v>25000</v>
      </c>
      <c r="F11" s="245"/>
      <c r="G11" s="248"/>
      <c r="H11" s="248"/>
      <c r="I11" s="249"/>
      <c r="P11" s="240"/>
    </row>
    <row r="12" spans="2:16" ht="19.5" customHeight="1">
      <c r="B12" s="647" t="s">
        <v>882</v>
      </c>
      <c r="C12" s="646"/>
      <c r="D12" s="241" t="s">
        <v>606</v>
      </c>
      <c r="E12" s="913">
        <v>183443</v>
      </c>
      <c r="F12" s="245"/>
      <c r="G12" s="248"/>
      <c r="H12" s="248"/>
      <c r="I12" s="249"/>
      <c r="P12" s="240"/>
    </row>
    <row r="13" spans="2:16" ht="19.5" customHeight="1">
      <c r="B13" s="647" t="s">
        <v>983</v>
      </c>
      <c r="C13" s="646"/>
      <c r="D13" s="241" t="s">
        <v>606</v>
      </c>
      <c r="E13" s="913"/>
      <c r="F13" s="245">
        <v>550000</v>
      </c>
      <c r="G13" s="248" t="s">
        <v>1059</v>
      </c>
      <c r="H13" s="248" t="s">
        <v>1060</v>
      </c>
      <c r="I13" s="249" t="s">
        <v>1061</v>
      </c>
      <c r="P13" s="240"/>
    </row>
    <row r="14" spans="2:16" ht="19.5" customHeight="1">
      <c r="B14" s="647" t="s">
        <v>984</v>
      </c>
      <c r="C14" s="646"/>
      <c r="D14" s="241" t="s">
        <v>606</v>
      </c>
      <c r="E14" s="913"/>
      <c r="F14" s="245">
        <v>150000</v>
      </c>
      <c r="G14" s="248" t="s">
        <v>1059</v>
      </c>
      <c r="H14" s="248" t="s">
        <v>1060</v>
      </c>
      <c r="I14" s="249" t="s">
        <v>1061</v>
      </c>
      <c r="P14" s="240"/>
    </row>
    <row r="15" spans="2:16" ht="19.5" customHeight="1">
      <c r="B15" s="647" t="s">
        <v>1044</v>
      </c>
      <c r="C15" s="646"/>
      <c r="D15" s="241" t="s">
        <v>606</v>
      </c>
      <c r="E15" s="913"/>
      <c r="F15" s="245">
        <v>19000</v>
      </c>
      <c r="G15" s="248" t="s">
        <v>1062</v>
      </c>
      <c r="H15" s="248" t="s">
        <v>1063</v>
      </c>
      <c r="I15" s="249" t="s">
        <v>1061</v>
      </c>
      <c r="P15" s="240"/>
    </row>
    <row r="16" spans="2:16" ht="19.5" customHeight="1">
      <c r="B16" s="647"/>
      <c r="C16" s="646"/>
      <c r="D16" s="241"/>
      <c r="E16" s="245"/>
      <c r="F16" s="245"/>
      <c r="G16" s="248"/>
      <c r="H16" s="248"/>
      <c r="I16" s="249"/>
      <c r="P16" s="240"/>
    </row>
    <row r="17" spans="2:16" ht="19.5" customHeight="1" thickBot="1">
      <c r="B17" s="648"/>
      <c r="C17" s="649"/>
      <c r="D17" s="338"/>
      <c r="E17" s="339"/>
      <c r="F17" s="339"/>
      <c r="G17" s="252"/>
      <c r="H17" s="252"/>
      <c r="I17" s="253"/>
      <c r="P17" s="240"/>
    </row>
    <row r="18" spans="2:16" ht="19.5" customHeight="1" thickBot="1">
      <c r="B18" s="630" t="s">
        <v>598</v>
      </c>
      <c r="C18" s="631"/>
      <c r="D18" s="632"/>
      <c r="E18" s="712">
        <f>SUM(E7:E17)</f>
        <v>10132106.620000001</v>
      </c>
      <c r="F18" s="713">
        <f>SUM(F7:F17)</f>
        <v>719000</v>
      </c>
      <c r="G18" s="664"/>
      <c r="H18" s="664"/>
      <c r="I18" s="664"/>
      <c r="P18" s="240"/>
    </row>
    <row r="19" spans="2:16" ht="19.5" customHeight="1">
      <c r="B19" s="633" t="s">
        <v>591</v>
      </c>
      <c r="C19" s="628"/>
      <c r="D19" s="602"/>
      <c r="E19" s="665">
        <f>-45860.75-6250-2176408.76-88620.83-146374.57-69511.74</f>
        <v>-2533026.65</v>
      </c>
      <c r="F19" s="340">
        <f>-137500-37500-4750</f>
        <v>-179750</v>
      </c>
      <c r="G19" s="664"/>
      <c r="H19" s="664"/>
      <c r="I19" s="664"/>
      <c r="P19" s="240"/>
    </row>
    <row r="20" spans="2:16" ht="19.5" customHeight="1">
      <c r="B20" s="629" t="s">
        <v>592</v>
      </c>
      <c r="C20" s="628"/>
      <c r="D20" s="254"/>
      <c r="E20" s="255">
        <f>-CPYG!D46</f>
        <v>-413843.05</v>
      </c>
      <c r="F20" s="341">
        <f>-CPYG!E46</f>
        <v>-657375.7</v>
      </c>
      <c r="G20" s="664"/>
      <c r="H20" s="664"/>
      <c r="I20" s="664"/>
      <c r="J20" s="239"/>
      <c r="P20" s="240"/>
    </row>
    <row r="21" spans="2:16" ht="19.5" customHeight="1" thickBot="1">
      <c r="B21" s="629" t="s">
        <v>593</v>
      </c>
      <c r="C21" s="634"/>
      <c r="D21" s="256"/>
      <c r="E21" s="665">
        <v>124122.02</v>
      </c>
      <c r="F21" s="342">
        <v>184704.68</v>
      </c>
      <c r="G21" s="664"/>
      <c r="H21" s="664"/>
      <c r="I21" s="664"/>
      <c r="P21" s="240"/>
    </row>
    <row r="22" spans="2:16" ht="19.5" customHeight="1" thickBot="1" thickTop="1">
      <c r="B22" s="635" t="s">
        <v>594</v>
      </c>
      <c r="C22" s="636"/>
      <c r="D22" s="637"/>
      <c r="E22" s="714">
        <f>E6+E18+E19+E20+E21</f>
        <v>9557089.549999999</v>
      </c>
      <c r="F22" s="714">
        <f>F6+F18+F19+F20+F21</f>
        <v>9623668.53</v>
      </c>
      <c r="G22" s="664"/>
      <c r="H22" s="664"/>
      <c r="I22" s="664"/>
      <c r="J22" s="693"/>
      <c r="P22" s="240"/>
    </row>
    <row r="23" spans="2:9" s="133" customFormat="1" ht="19.5" customHeight="1">
      <c r="B23" s="664"/>
      <c r="C23" s="664"/>
      <c r="D23" s="664"/>
      <c r="E23" s="664"/>
      <c r="F23" s="664"/>
      <c r="G23" s="664"/>
      <c r="H23" s="664"/>
      <c r="I23" s="664"/>
    </row>
    <row r="24" spans="2:9" s="133" customFormat="1" ht="19.5" customHeight="1" thickBot="1">
      <c r="B24" s="664"/>
      <c r="C24" s="664"/>
      <c r="D24" s="664"/>
      <c r="E24" s="664"/>
      <c r="F24" s="664"/>
      <c r="G24" s="664"/>
      <c r="H24" s="664"/>
      <c r="I24" s="664"/>
    </row>
    <row r="25" spans="2:9" s="133" customFormat="1" ht="19.5" customHeight="1" thickBot="1">
      <c r="B25" s="616" t="s">
        <v>140</v>
      </c>
      <c r="C25" s="617"/>
      <c r="D25" s="618" t="s">
        <v>589</v>
      </c>
      <c r="E25" s="618">
        <v>2016</v>
      </c>
      <c r="F25" s="618">
        <v>2017</v>
      </c>
      <c r="G25" s="618" t="s">
        <v>146</v>
      </c>
      <c r="H25" s="618" t="s">
        <v>626</v>
      </c>
      <c r="I25" s="619" t="s">
        <v>625</v>
      </c>
    </row>
    <row r="26" spans="2:9" s="133" customFormat="1" ht="19.5" customHeight="1" thickBot="1">
      <c r="B26" s="616" t="s">
        <v>335</v>
      </c>
      <c r="C26" s="617"/>
      <c r="D26" s="638"/>
      <c r="E26" s="639"/>
      <c r="F26" s="639"/>
      <c r="G26" s="638"/>
      <c r="H26" s="638"/>
      <c r="I26" s="640"/>
    </row>
    <row r="27" spans="2:9" s="133" customFormat="1" ht="19.5" customHeight="1">
      <c r="B27" s="647" t="s">
        <v>883</v>
      </c>
      <c r="C27" s="646"/>
      <c r="D27" s="241" t="s">
        <v>607</v>
      </c>
      <c r="E27" s="913">
        <v>57618.8</v>
      </c>
      <c r="F27" s="242"/>
      <c r="G27" s="731"/>
      <c r="H27" s="731"/>
      <c r="I27" s="732"/>
    </row>
    <row r="28" spans="2:9" s="133" customFormat="1" ht="19.5" customHeight="1">
      <c r="B28" s="647" t="s">
        <v>888</v>
      </c>
      <c r="C28" s="646"/>
      <c r="D28" s="667" t="s">
        <v>607</v>
      </c>
      <c r="E28" s="913">
        <v>16705</v>
      </c>
      <c r="F28" s="242">
        <v>87460</v>
      </c>
      <c r="G28" s="731"/>
      <c r="H28" s="731"/>
      <c r="I28" s="732"/>
    </row>
    <row r="29" spans="2:9" s="133" customFormat="1" ht="19.5" customHeight="1">
      <c r="B29" s="647" t="s">
        <v>889</v>
      </c>
      <c r="C29" s="646"/>
      <c r="D29" s="667" t="s">
        <v>607</v>
      </c>
      <c r="E29" s="913">
        <v>30806.94</v>
      </c>
      <c r="F29" s="242">
        <v>46067.1</v>
      </c>
      <c r="G29" s="731"/>
      <c r="H29" s="731"/>
      <c r="I29" s="732"/>
    </row>
    <row r="30" spans="2:9" s="133" customFormat="1" ht="19.5" customHeight="1">
      <c r="B30" s="647" t="s">
        <v>890</v>
      </c>
      <c r="C30" s="646"/>
      <c r="D30" s="667" t="s">
        <v>607</v>
      </c>
      <c r="E30" s="913">
        <v>12000</v>
      </c>
      <c r="F30" s="242">
        <v>12000</v>
      </c>
      <c r="G30" s="731"/>
      <c r="H30" s="731"/>
      <c r="I30" s="732"/>
    </row>
    <row r="31" spans="2:9" s="133" customFormat="1" ht="19.5" customHeight="1">
      <c r="B31" s="647" t="s">
        <v>891</v>
      </c>
      <c r="C31" s="646"/>
      <c r="D31" s="667" t="s">
        <v>607</v>
      </c>
      <c r="E31" s="913">
        <v>38076</v>
      </c>
      <c r="F31" s="242">
        <v>173925</v>
      </c>
      <c r="G31" s="731"/>
      <c r="H31" s="731"/>
      <c r="I31" s="732"/>
    </row>
    <row r="32" spans="2:9" s="133" customFormat="1" ht="19.5" customHeight="1">
      <c r="B32" s="647" t="s">
        <v>892</v>
      </c>
      <c r="C32" s="646"/>
      <c r="D32" s="667" t="s">
        <v>607</v>
      </c>
      <c r="E32" s="913">
        <v>29306</v>
      </c>
      <c r="F32" s="242">
        <v>100223</v>
      </c>
      <c r="G32" s="731"/>
      <c r="H32" s="731"/>
      <c r="I32" s="732"/>
    </row>
    <row r="33" spans="2:9" s="133" customFormat="1" ht="19.5" customHeight="1">
      <c r="B33" s="647" t="s">
        <v>894</v>
      </c>
      <c r="C33" s="646"/>
      <c r="D33" s="667" t="s">
        <v>607</v>
      </c>
      <c r="E33" s="913">
        <v>34920</v>
      </c>
      <c r="F33" s="242"/>
      <c r="G33" s="731"/>
      <c r="H33" s="731"/>
      <c r="I33" s="732"/>
    </row>
    <row r="34" spans="2:9" s="133" customFormat="1" ht="19.5" customHeight="1">
      <c r="B34" s="647" t="s">
        <v>896</v>
      </c>
      <c r="C34" s="646"/>
      <c r="D34" s="667" t="s">
        <v>607</v>
      </c>
      <c r="E34" s="913">
        <v>83810.94</v>
      </c>
      <c r="F34" s="242">
        <v>134556.1</v>
      </c>
      <c r="G34" s="731"/>
      <c r="H34" s="731"/>
      <c r="I34" s="732"/>
    </row>
    <row r="35" spans="2:9" s="133" customFormat="1" ht="19.5" customHeight="1">
      <c r="B35" s="647" t="s">
        <v>897</v>
      </c>
      <c r="C35" s="646"/>
      <c r="D35" s="667" t="s">
        <v>607</v>
      </c>
      <c r="E35" s="913">
        <v>106188.3</v>
      </c>
      <c r="F35" s="242">
        <v>77941.76</v>
      </c>
      <c r="G35" s="731"/>
      <c r="H35" s="731"/>
      <c r="I35" s="732"/>
    </row>
    <row r="36" spans="2:9" s="133" customFormat="1" ht="19.5" customHeight="1">
      <c r="B36" s="647" t="s">
        <v>1011</v>
      </c>
      <c r="C36" s="650"/>
      <c r="D36" s="667" t="s">
        <v>607</v>
      </c>
      <c r="E36" s="947"/>
      <c r="F36" s="242">
        <v>26042.46</v>
      </c>
      <c r="G36" s="731"/>
      <c r="H36" s="731"/>
      <c r="I36" s="732"/>
    </row>
    <row r="37" spans="2:15" s="133" customFormat="1" ht="19.5" customHeight="1">
      <c r="B37" s="647" t="s">
        <v>987</v>
      </c>
      <c r="C37" s="646"/>
      <c r="D37" s="667" t="s">
        <v>607</v>
      </c>
      <c r="E37" s="913"/>
      <c r="F37" s="242">
        <v>34000</v>
      </c>
      <c r="G37" s="731"/>
      <c r="H37" s="731"/>
      <c r="I37" s="732"/>
      <c r="L37" s="158"/>
      <c r="M37" s="158"/>
      <c r="N37" s="158"/>
      <c r="O37" s="158"/>
    </row>
    <row r="38" spans="2:15" s="133" customFormat="1" ht="19.5" customHeight="1">
      <c r="B38" s="647" t="s">
        <v>884</v>
      </c>
      <c r="C38" s="646"/>
      <c r="D38" s="667" t="s">
        <v>606</v>
      </c>
      <c r="E38" s="913">
        <v>19000</v>
      </c>
      <c r="F38" s="242"/>
      <c r="G38" s="659"/>
      <c r="H38" s="659"/>
      <c r="I38" s="660"/>
      <c r="L38" s="158"/>
      <c r="M38" s="158"/>
      <c r="N38" s="158"/>
      <c r="O38" s="158"/>
    </row>
    <row r="39" spans="2:15" s="133" customFormat="1" ht="19.5" customHeight="1">
      <c r="B39" s="647" t="s">
        <v>885</v>
      </c>
      <c r="C39" s="646"/>
      <c r="D39" s="667" t="s">
        <v>606</v>
      </c>
      <c r="E39" s="913">
        <v>41666.67</v>
      </c>
      <c r="F39" s="242">
        <v>93700.76</v>
      </c>
      <c r="G39" s="987" t="s">
        <v>1056</v>
      </c>
      <c r="H39" s="987" t="s">
        <v>1057</v>
      </c>
      <c r="I39" s="988" t="s">
        <v>1058</v>
      </c>
      <c r="J39" s="134"/>
      <c r="L39" s="158"/>
      <c r="M39" s="158"/>
      <c r="N39" s="158"/>
      <c r="O39" s="158"/>
    </row>
    <row r="40" spans="2:15" s="133" customFormat="1" ht="19.5" customHeight="1">
      <c r="B40" s="647" t="s">
        <v>886</v>
      </c>
      <c r="C40" s="646"/>
      <c r="D40" s="667" t="s">
        <v>606</v>
      </c>
      <c r="E40" s="913">
        <v>40833.33</v>
      </c>
      <c r="F40" s="242">
        <v>40147.3</v>
      </c>
      <c r="G40" s="987" t="s">
        <v>1056</v>
      </c>
      <c r="H40" s="987" t="s">
        <v>1057</v>
      </c>
      <c r="I40" s="988" t="s">
        <v>1058</v>
      </c>
      <c r="J40" s="134"/>
      <c r="L40" s="158"/>
      <c r="M40" s="158"/>
      <c r="N40" s="158"/>
      <c r="O40" s="158"/>
    </row>
    <row r="41" spans="2:15" s="133" customFormat="1" ht="19.5" customHeight="1">
      <c r="B41" s="647" t="s">
        <v>893</v>
      </c>
      <c r="C41" s="646"/>
      <c r="D41" s="667" t="s">
        <v>606</v>
      </c>
      <c r="E41" s="913">
        <v>1216557</v>
      </c>
      <c r="F41" s="245">
        <v>1050000</v>
      </c>
      <c r="G41" s="987" t="s">
        <v>1059</v>
      </c>
      <c r="H41" s="987" t="s">
        <v>1060</v>
      </c>
      <c r="I41" s="988" t="s">
        <v>1058</v>
      </c>
      <c r="J41" s="134"/>
      <c r="L41" s="158"/>
      <c r="M41" s="158"/>
      <c r="N41" s="158"/>
      <c r="O41" s="158"/>
    </row>
    <row r="42" spans="2:15" s="133" customFormat="1" ht="19.5" customHeight="1">
      <c r="B42" s="647" t="s">
        <v>985</v>
      </c>
      <c r="C42" s="646"/>
      <c r="D42" s="667" t="s">
        <v>606</v>
      </c>
      <c r="E42" s="913"/>
      <c r="F42" s="245">
        <v>24000</v>
      </c>
      <c r="G42" s="987" t="s">
        <v>1059</v>
      </c>
      <c r="H42" s="987" t="s">
        <v>1060</v>
      </c>
      <c r="I42" s="988" t="s">
        <v>1058</v>
      </c>
      <c r="J42" s="134"/>
      <c r="L42" s="158"/>
      <c r="M42" s="158"/>
      <c r="N42" s="158"/>
      <c r="O42" s="158"/>
    </row>
    <row r="43" spans="2:15" s="133" customFormat="1" ht="19.5" customHeight="1">
      <c r="B43" s="647" t="s">
        <v>983</v>
      </c>
      <c r="C43" s="646"/>
      <c r="D43" s="667" t="s">
        <v>606</v>
      </c>
      <c r="E43" s="913"/>
      <c r="F43" s="245">
        <v>150000</v>
      </c>
      <c r="G43" s="987" t="s">
        <v>1059</v>
      </c>
      <c r="H43" s="987" t="s">
        <v>1060</v>
      </c>
      <c r="I43" s="988" t="s">
        <v>1058</v>
      </c>
      <c r="J43" s="134"/>
      <c r="L43" s="158"/>
      <c r="M43" s="158"/>
      <c r="N43" s="158"/>
      <c r="O43" s="158"/>
    </row>
    <row r="44" spans="2:15" s="133" customFormat="1" ht="19.5" customHeight="1">
      <c r="B44" s="647" t="s">
        <v>984</v>
      </c>
      <c r="C44" s="646"/>
      <c r="D44" s="667" t="s">
        <v>606</v>
      </c>
      <c r="E44" s="913"/>
      <c r="F44" s="245">
        <v>150000</v>
      </c>
      <c r="G44" s="987" t="s">
        <v>1059</v>
      </c>
      <c r="H44" s="987" t="s">
        <v>1060</v>
      </c>
      <c r="I44" s="988" t="s">
        <v>1058</v>
      </c>
      <c r="J44" s="134"/>
      <c r="L44" s="158"/>
      <c r="M44" s="158"/>
      <c r="N44" s="158"/>
      <c r="O44" s="158"/>
    </row>
    <row r="45" spans="2:15" s="133" customFormat="1" ht="19.5" customHeight="1">
      <c r="B45" s="647" t="s">
        <v>986</v>
      </c>
      <c r="C45" s="646"/>
      <c r="D45" s="667" t="s">
        <v>606</v>
      </c>
      <c r="E45" s="913"/>
      <c r="F45" s="245">
        <v>100000</v>
      </c>
      <c r="G45" s="987" t="s">
        <v>1059</v>
      </c>
      <c r="H45" s="987" t="s">
        <v>1060</v>
      </c>
      <c r="I45" s="988" t="s">
        <v>1058</v>
      </c>
      <c r="J45" s="134"/>
      <c r="L45" s="158"/>
      <c r="M45" s="158"/>
      <c r="N45" s="158"/>
      <c r="O45" s="158"/>
    </row>
    <row r="46" spans="2:15" s="133" customFormat="1" ht="19.5" customHeight="1">
      <c r="B46" s="647" t="s">
        <v>1045</v>
      </c>
      <c r="C46" s="646"/>
      <c r="D46" s="667" t="s">
        <v>606</v>
      </c>
      <c r="E46" s="913"/>
      <c r="F46" s="245">
        <v>20000</v>
      </c>
      <c r="G46" s="987" t="s">
        <v>1059</v>
      </c>
      <c r="H46" s="987" t="s">
        <v>1060</v>
      </c>
      <c r="I46" s="988" t="s">
        <v>1058</v>
      </c>
      <c r="J46" s="134"/>
      <c r="L46" s="158"/>
      <c r="M46" s="158"/>
      <c r="N46" s="158"/>
      <c r="O46" s="158"/>
    </row>
    <row r="47" spans="2:15" s="133" customFormat="1" ht="19.5" customHeight="1">
      <c r="B47" s="647" t="s">
        <v>1046</v>
      </c>
      <c r="C47" s="646"/>
      <c r="D47" s="667" t="s">
        <v>606</v>
      </c>
      <c r="E47" s="913"/>
      <c r="F47" s="245">
        <v>20000</v>
      </c>
      <c r="G47" s="987" t="s">
        <v>1059</v>
      </c>
      <c r="H47" s="987" t="s">
        <v>1060</v>
      </c>
      <c r="I47" s="988" t="s">
        <v>1058</v>
      </c>
      <c r="J47" s="134"/>
      <c r="L47" s="158"/>
      <c r="M47" s="158"/>
      <c r="N47" s="158"/>
      <c r="O47" s="158"/>
    </row>
    <row r="48" spans="2:15" s="133" customFormat="1" ht="19.5" customHeight="1">
      <c r="B48" s="647" t="s">
        <v>1047</v>
      </c>
      <c r="C48" s="646"/>
      <c r="D48" s="667" t="s">
        <v>606</v>
      </c>
      <c r="E48" s="913"/>
      <c r="F48" s="245">
        <v>25559.4</v>
      </c>
      <c r="G48" s="987" t="s">
        <v>1056</v>
      </c>
      <c r="H48" s="987" t="s">
        <v>1057</v>
      </c>
      <c r="I48" s="988" t="s">
        <v>1058</v>
      </c>
      <c r="J48" s="134"/>
      <c r="L48" s="158"/>
      <c r="M48" s="158"/>
      <c r="N48" s="158"/>
      <c r="O48" s="158"/>
    </row>
    <row r="49" spans="2:15" s="133" customFormat="1" ht="19.5" customHeight="1">
      <c r="B49" s="647" t="s">
        <v>1048</v>
      </c>
      <c r="C49" s="646"/>
      <c r="D49" s="667" t="s">
        <v>606</v>
      </c>
      <c r="E49" s="913"/>
      <c r="F49" s="245">
        <v>14600</v>
      </c>
      <c r="G49" s="987" t="s">
        <v>1056</v>
      </c>
      <c r="H49" s="987" t="s">
        <v>1057</v>
      </c>
      <c r="I49" s="988" t="s">
        <v>1058</v>
      </c>
      <c r="J49" s="134">
        <f>SUM(F39:F49)</f>
        <v>1688007.46</v>
      </c>
      <c r="L49" s="158"/>
      <c r="M49" s="158"/>
      <c r="N49" s="158"/>
      <c r="O49" s="158"/>
    </row>
    <row r="50" spans="2:10" s="133" customFormat="1" ht="19.5" customHeight="1">
      <c r="B50" s="647" t="s">
        <v>895</v>
      </c>
      <c r="C50" s="646"/>
      <c r="D50" s="667" t="s">
        <v>609</v>
      </c>
      <c r="E50" s="913">
        <v>4595.41</v>
      </c>
      <c r="F50" s="245"/>
      <c r="G50" s="659"/>
      <c r="H50" s="659"/>
      <c r="I50" s="660"/>
      <c r="J50" s="709"/>
    </row>
    <row r="51" spans="2:10" s="133" customFormat="1" ht="19.5" customHeight="1">
      <c r="B51" s="647" t="s">
        <v>887</v>
      </c>
      <c r="C51" s="646"/>
      <c r="D51" s="241" t="s">
        <v>609</v>
      </c>
      <c r="E51" s="913">
        <v>18719.07</v>
      </c>
      <c r="F51" s="245">
        <v>105959.06</v>
      </c>
      <c r="G51" s="659"/>
      <c r="H51" s="659"/>
      <c r="I51" s="660"/>
      <c r="J51" s="709"/>
    </row>
    <row r="52" spans="2:11" s="133" customFormat="1" ht="19.5" customHeight="1" thickBot="1">
      <c r="B52" s="647" t="s">
        <v>898</v>
      </c>
      <c r="C52" s="646"/>
      <c r="D52" s="951" t="s">
        <v>610</v>
      </c>
      <c r="E52" s="952">
        <v>1750</v>
      </c>
      <c r="F52" s="251"/>
      <c r="G52" s="661"/>
      <c r="H52" s="661"/>
      <c r="I52" s="253"/>
      <c r="J52" s="914"/>
      <c r="K52" s="158"/>
    </row>
    <row r="53" spans="2:9" s="133" customFormat="1" ht="19.5" customHeight="1" thickBot="1">
      <c r="B53" s="641" t="s">
        <v>145</v>
      </c>
      <c r="C53" s="621"/>
      <c r="D53" s="642"/>
      <c r="E53" s="715">
        <f>SUM(E27:E52)</f>
        <v>1752553.46</v>
      </c>
      <c r="F53" s="713">
        <f>SUM(F27:F52)</f>
        <v>2486181.94</v>
      </c>
      <c r="G53" s="664"/>
      <c r="H53" s="664"/>
      <c r="I53" s="664"/>
    </row>
    <row r="54" spans="2:9" s="133" customFormat="1" ht="19.5" customHeight="1" thickBot="1">
      <c r="B54" s="664"/>
      <c r="C54" s="664"/>
      <c r="D54" s="664"/>
      <c r="E54" s="664"/>
      <c r="F54" s="664"/>
      <c r="G54" s="664"/>
      <c r="H54" s="664"/>
      <c r="I54" s="664"/>
    </row>
    <row r="55" spans="2:9" s="133" customFormat="1" ht="41.25" customHeight="1" thickBot="1">
      <c r="B55" s="643" t="s">
        <v>389</v>
      </c>
      <c r="C55" s="617"/>
      <c r="D55" s="618" t="s">
        <v>589</v>
      </c>
      <c r="E55" s="618">
        <v>2016</v>
      </c>
      <c r="F55" s="618">
        <v>2017</v>
      </c>
      <c r="G55" s="618" t="s">
        <v>146</v>
      </c>
      <c r="H55" s="618" t="s">
        <v>626</v>
      </c>
      <c r="I55" s="619" t="s">
        <v>625</v>
      </c>
    </row>
    <row r="56" spans="2:11" s="133" customFormat="1" ht="19.5" customHeight="1">
      <c r="B56" s="654"/>
      <c r="C56" s="655"/>
      <c r="D56" s="656"/>
      <c r="E56" s="657"/>
      <c r="F56" s="658"/>
      <c r="G56" s="733"/>
      <c r="H56" s="733"/>
      <c r="I56" s="734"/>
      <c r="J56" s="666"/>
      <c r="K56" s="666"/>
    </row>
    <row r="57" spans="2:11" s="133" customFormat="1" ht="19.5" customHeight="1">
      <c r="B57" s="647"/>
      <c r="C57" s="646"/>
      <c r="D57" s="241"/>
      <c r="E57" s="245"/>
      <c r="F57" s="245"/>
      <c r="G57" s="735"/>
      <c r="H57" s="735"/>
      <c r="I57" s="736"/>
      <c r="J57" s="666"/>
      <c r="K57" s="666"/>
    </row>
    <row r="58" spans="2:9" s="133" customFormat="1" ht="19.5" customHeight="1">
      <c r="B58" s="647"/>
      <c r="C58" s="646"/>
      <c r="D58" s="241"/>
      <c r="E58" s="245"/>
      <c r="F58" s="245"/>
      <c r="G58" s="248"/>
      <c r="H58" s="248"/>
      <c r="I58" s="249"/>
    </row>
    <row r="59" spans="2:16" ht="24.75" customHeight="1">
      <c r="B59" s="647"/>
      <c r="C59" s="646"/>
      <c r="D59" s="241"/>
      <c r="E59" s="245"/>
      <c r="F59" s="245"/>
      <c r="G59" s="248"/>
      <c r="H59" s="248"/>
      <c r="I59" s="249"/>
      <c r="P59" s="240"/>
    </row>
    <row r="60" spans="2:16" ht="19.5" customHeight="1">
      <c r="B60" s="647"/>
      <c r="C60" s="646"/>
      <c r="D60" s="241"/>
      <c r="E60" s="245"/>
      <c r="F60" s="245"/>
      <c r="G60" s="248"/>
      <c r="H60" s="248"/>
      <c r="I60" s="249"/>
      <c r="P60" s="240"/>
    </row>
    <row r="61" spans="2:16" ht="19.5" customHeight="1">
      <c r="B61" s="647"/>
      <c r="C61" s="646"/>
      <c r="D61" s="241"/>
      <c r="E61" s="245"/>
      <c r="F61" s="245"/>
      <c r="G61" s="248"/>
      <c r="H61" s="248"/>
      <c r="I61" s="249"/>
      <c r="P61" s="240"/>
    </row>
    <row r="62" spans="2:16" ht="19.5" customHeight="1">
      <c r="B62" s="647"/>
      <c r="C62" s="646"/>
      <c r="D62" s="241"/>
      <c r="E62" s="245"/>
      <c r="F62" s="520"/>
      <c r="G62" s="248"/>
      <c r="H62" s="248"/>
      <c r="I62" s="249"/>
      <c r="P62" s="240"/>
    </row>
    <row r="63" spans="2:16" ht="19.5" customHeight="1" thickBot="1">
      <c r="B63" s="648"/>
      <c r="C63" s="649"/>
      <c r="D63" s="338"/>
      <c r="E63" s="339"/>
      <c r="F63" s="339"/>
      <c r="G63" s="252"/>
      <c r="H63" s="252"/>
      <c r="I63" s="253"/>
      <c r="P63" s="240"/>
    </row>
    <row r="64" spans="2:16" ht="19.5" customHeight="1" thickBot="1">
      <c r="B64" s="641" t="s">
        <v>145</v>
      </c>
      <c r="C64" s="617"/>
      <c r="D64" s="642"/>
      <c r="E64" s="716">
        <f>SUM(E56:E63)</f>
        <v>0</v>
      </c>
      <c r="F64" s="713">
        <f>SUM(F56:F63)</f>
        <v>0</v>
      </c>
      <c r="G64" s="664"/>
      <c r="H64" s="664"/>
      <c r="I64" s="664"/>
      <c r="P64" s="240"/>
    </row>
    <row r="65" spans="2:9" s="133" customFormat="1" ht="19.5" customHeight="1">
      <c r="B65" s="664"/>
      <c r="C65" s="664"/>
      <c r="D65" s="664"/>
      <c r="E65" s="664"/>
      <c r="F65" s="664"/>
      <c r="G65" s="664"/>
      <c r="H65" s="664"/>
      <c r="I65" s="664"/>
    </row>
    <row r="66" spans="2:9" s="133" customFormat="1" ht="19.5" customHeight="1" thickBot="1">
      <c r="B66" s="664"/>
      <c r="C66" s="664"/>
      <c r="D66" s="664"/>
      <c r="E66" s="664"/>
      <c r="F66" s="664"/>
      <c r="G66" s="664"/>
      <c r="H66" s="664"/>
      <c r="I66" s="664"/>
    </row>
    <row r="67" spans="2:9" s="133" customFormat="1" ht="19.5" customHeight="1" thickBot="1">
      <c r="B67" s="643" t="s">
        <v>597</v>
      </c>
      <c r="C67" s="617"/>
      <c r="D67" s="618" t="s">
        <v>589</v>
      </c>
      <c r="E67" s="618">
        <v>2016</v>
      </c>
      <c r="F67" s="618">
        <v>2017</v>
      </c>
      <c r="G67" s="618" t="s">
        <v>146</v>
      </c>
      <c r="H67" s="618" t="s">
        <v>626</v>
      </c>
      <c r="I67" s="619" t="s">
        <v>625</v>
      </c>
    </row>
    <row r="68" spans="2:9" s="133" customFormat="1" ht="19.5" customHeight="1">
      <c r="B68" s="645" t="s">
        <v>1049</v>
      </c>
      <c r="C68" s="646"/>
      <c r="D68" s="241" t="s">
        <v>1001</v>
      </c>
      <c r="E68" s="242">
        <v>999943.8</v>
      </c>
      <c r="F68" s="242"/>
      <c r="G68" s="246"/>
      <c r="H68" s="246"/>
      <c r="I68" s="247"/>
    </row>
    <row r="69" spans="2:9" s="133" customFormat="1" ht="19.5" customHeight="1">
      <c r="B69" s="647"/>
      <c r="C69" s="646"/>
      <c r="D69" s="241"/>
      <c r="E69" s="245"/>
      <c r="F69" s="245"/>
      <c r="G69" s="248"/>
      <c r="H69" s="248"/>
      <c r="I69" s="249"/>
    </row>
    <row r="70" spans="2:9" s="133" customFormat="1" ht="19.5" customHeight="1">
      <c r="B70" s="647"/>
      <c r="C70" s="646"/>
      <c r="D70" s="241"/>
      <c r="E70" s="245"/>
      <c r="F70" s="245"/>
      <c r="G70" s="248"/>
      <c r="H70" s="248"/>
      <c r="I70" s="249"/>
    </row>
    <row r="71" spans="2:9" s="133" customFormat="1" ht="19.5" customHeight="1">
      <c r="B71" s="647"/>
      <c r="C71" s="646"/>
      <c r="D71" s="241"/>
      <c r="E71" s="245"/>
      <c r="F71" s="245"/>
      <c r="G71" s="248"/>
      <c r="H71" s="248"/>
      <c r="I71" s="249"/>
    </row>
    <row r="72" spans="2:9" s="133" customFormat="1" ht="19.5" customHeight="1">
      <c r="B72" s="647"/>
      <c r="C72" s="646"/>
      <c r="D72" s="241"/>
      <c r="E72" s="245"/>
      <c r="F72" s="245"/>
      <c r="G72" s="248"/>
      <c r="H72" s="248"/>
      <c r="I72" s="249"/>
    </row>
    <row r="73" spans="2:9" s="133" customFormat="1" ht="19.5" customHeight="1">
      <c r="B73" s="647"/>
      <c r="C73" s="646"/>
      <c r="D73" s="241"/>
      <c r="E73" s="245"/>
      <c r="F73" s="245"/>
      <c r="G73" s="248"/>
      <c r="H73" s="248"/>
      <c r="I73" s="249"/>
    </row>
    <row r="74" spans="2:9" s="133" customFormat="1" ht="19.5" customHeight="1">
      <c r="B74" s="647"/>
      <c r="C74" s="646"/>
      <c r="D74" s="241"/>
      <c r="E74" s="245"/>
      <c r="F74" s="245"/>
      <c r="G74" s="248"/>
      <c r="H74" s="248"/>
      <c r="I74" s="249"/>
    </row>
    <row r="75" spans="2:9" s="133" customFormat="1" ht="19.5" customHeight="1" thickBot="1">
      <c r="B75" s="647"/>
      <c r="C75" s="650"/>
      <c r="D75" s="250"/>
      <c r="E75" s="251"/>
      <c r="F75" s="251"/>
      <c r="G75" s="252"/>
      <c r="H75" s="252"/>
      <c r="I75" s="253"/>
    </row>
    <row r="76" spans="2:9" s="133" customFormat="1" ht="19.5" customHeight="1" thickBot="1">
      <c r="B76" s="641" t="s">
        <v>604</v>
      </c>
      <c r="C76" s="617"/>
      <c r="D76" s="642"/>
      <c r="E76" s="644">
        <f>SUM(E68:E75)</f>
        <v>999943.8</v>
      </c>
      <c r="F76" s="644">
        <f>SUM(F68:F75)</f>
        <v>0</v>
      </c>
      <c r="G76" s="664"/>
      <c r="H76" s="664"/>
      <c r="I76" s="664"/>
    </row>
    <row r="77" spans="2:6" s="133" customFormat="1" ht="19.5" customHeight="1">
      <c r="B77" s="257"/>
      <c r="C77" s="258"/>
      <c r="D77" s="259"/>
      <c r="E77" s="259"/>
      <c r="F77" s="259"/>
    </row>
    <row r="78" spans="2:9" s="133" customFormat="1" ht="45.75" customHeight="1">
      <c r="B78" s="1235"/>
      <c r="C78" s="1235"/>
      <c r="D78" s="1235"/>
      <c r="E78" s="1235"/>
      <c r="F78" s="1235"/>
      <c r="G78" s="1235"/>
      <c r="H78" s="1235"/>
      <c r="I78" s="1235"/>
    </row>
    <row r="79" spans="2:9" s="133" customFormat="1" ht="19.5" customHeight="1">
      <c r="B79" s="1231"/>
      <c r="C79" s="1231"/>
      <c r="D79" s="1231"/>
      <c r="E79" s="1231"/>
      <c r="F79" s="1231"/>
      <c r="G79" s="1231"/>
      <c r="H79" s="1231"/>
      <c r="I79" s="1231"/>
    </row>
    <row r="80" spans="2:9" s="133" customFormat="1" ht="18.75" customHeight="1">
      <c r="B80" s="1231"/>
      <c r="C80" s="1231"/>
      <c r="D80" s="1231"/>
      <c r="E80" s="1231"/>
      <c r="F80" s="1231"/>
      <c r="G80" s="1231"/>
      <c r="H80" s="1231"/>
      <c r="I80" s="1231"/>
    </row>
    <row r="81" s="133" customFormat="1" ht="19.5" customHeight="1"/>
    <row r="82" s="133" customFormat="1" ht="19.5" customHeight="1"/>
    <row r="83" s="133" customFormat="1" ht="19.5" customHeight="1"/>
    <row r="84" s="133" customFormat="1" ht="19.5" customHeight="1"/>
    <row r="85" s="133" customFormat="1" ht="19.5" customHeight="1"/>
    <row r="86" s="133" customFormat="1" ht="19.5" customHeight="1"/>
    <row r="87" s="133" customFormat="1" ht="19.5" customHeight="1"/>
    <row r="88" s="133" customFormat="1" ht="19.5" customHeight="1"/>
    <row r="89" s="133" customFormat="1" ht="19.5" customHeight="1"/>
    <row r="90" s="133" customFormat="1" ht="19.5" customHeight="1"/>
    <row r="91" s="133" customFormat="1" ht="19.5" customHeight="1"/>
    <row r="92" s="133" customFormat="1" ht="19.5" customHeight="1"/>
    <row r="93" s="133" customFormat="1" ht="12.75"/>
    <row r="94" s="133" customFormat="1" ht="12.75"/>
    <row r="95" s="133" customFormat="1" ht="12.75"/>
    <row r="96" s="133" customFormat="1" ht="12.75"/>
    <row r="97" s="133" customFormat="1" ht="12.75"/>
    <row r="98" s="133" customFormat="1" ht="12.75"/>
    <row r="104" ht="12.75" hidden="1">
      <c r="D104" s="238" t="s">
        <v>605</v>
      </c>
    </row>
    <row r="105" ht="12.75" hidden="1">
      <c r="D105" s="238" t="s">
        <v>606</v>
      </c>
    </row>
    <row r="106" ht="12.75" hidden="1">
      <c r="D106" s="238" t="s">
        <v>607</v>
      </c>
    </row>
    <row r="107" ht="12.75" hidden="1">
      <c r="D107" s="238" t="s">
        <v>608</v>
      </c>
    </row>
    <row r="108" ht="12.75" hidden="1">
      <c r="D108" s="238" t="s">
        <v>609</v>
      </c>
    </row>
    <row r="109" ht="12.75" hidden="1">
      <c r="D109" s="238" t="s">
        <v>610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79:I79"/>
    <mergeCell ref="B80:I80"/>
    <mergeCell ref="B4:I4"/>
    <mergeCell ref="B78:I78"/>
    <mergeCell ref="G2:I2"/>
    <mergeCell ref="G3:I3"/>
    <mergeCell ref="B3:F3"/>
    <mergeCell ref="B2:F2"/>
  </mergeCells>
  <dataValidations count="3">
    <dataValidation type="list" allowBlank="1" showInputMessage="1" showErrorMessage="1" promptTitle="TENER EN CUENTA" prompt="Indicar Entidad Pública" sqref="D56:D63 D27:D52 D7:D17">
      <formula1>$D$104:$D$109</formula1>
    </dataValidation>
    <dataValidation type="list" allowBlank="1" showInputMessage="1" showErrorMessage="1" promptTitle="Especifique la Entidad" sqref="D104:E104">
      <formula1>$D$6:$D$11</formula1>
    </dataValidation>
    <dataValidation allowBlank="1" showInputMessage="1" showErrorMessage="1" promptTitle="ENTRADA" prompt="Antes de Estimar esta Celda debes incluir en Celda Naranja el Dato Inicial" sqref="E56:F56 F27:F35 F7"/>
  </dataValidations>
  <printOptions horizontalCentered="1" verticalCentered="1"/>
  <pageMargins left="0.5118110236220472" right="0.2755905511811024" top="0.6692913385826772" bottom="0.2755905511811024" header="0.5118110236220472" footer="0.2755905511811024"/>
  <pageSetup horizontalDpi="300" verticalDpi="300" orientation="portrait" paperSize="9" scale="45" r:id="rId1"/>
  <ignoredErrors>
    <ignoredError sqref="E19:E20 F19:F20" unlockedFormula="1"/>
    <ignoredError sqref="E76:F7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3:L29"/>
  <sheetViews>
    <sheetView zoomScalePageLayoutView="0" workbookViewId="0" topLeftCell="A1">
      <selection activeCell="F48" sqref="F48"/>
    </sheetView>
  </sheetViews>
  <sheetFormatPr defaultColWidth="11.57421875" defaultRowHeight="12.75"/>
  <cols>
    <col min="1" max="1" width="11.57421875" style="133" customWidth="1"/>
    <col min="2" max="2" width="2.28125" style="133" customWidth="1"/>
    <col min="3" max="6" width="11.57421875" style="133" customWidth="1"/>
    <col min="7" max="7" width="14.7109375" style="133" customWidth="1"/>
    <col min="8" max="8" width="11.57421875" style="133" customWidth="1"/>
    <col min="9" max="9" width="14.7109375" style="133" customWidth="1"/>
    <col min="10" max="16384" width="11.57421875" style="133" customWidth="1"/>
  </cols>
  <sheetData>
    <row r="2" ht="13.5" thickBot="1"/>
    <row r="3" spans="2:12" ht="21.75" customHeight="1">
      <c r="B3" s="1027" t="s">
        <v>322</v>
      </c>
      <c r="C3" s="1028"/>
      <c r="D3" s="1028"/>
      <c r="E3" s="1028"/>
      <c r="F3" s="1028"/>
      <c r="G3" s="1028"/>
      <c r="H3" s="1028"/>
      <c r="I3" s="1028"/>
      <c r="J3" s="1028"/>
      <c r="K3" s="1153"/>
      <c r="L3" s="1245">
        <v>2017</v>
      </c>
    </row>
    <row r="4" spans="2:12" ht="19.5" customHeight="1" thickBot="1">
      <c r="B4" s="1032" t="s">
        <v>343</v>
      </c>
      <c r="C4" s="1033"/>
      <c r="D4" s="1033"/>
      <c r="E4" s="1033"/>
      <c r="F4" s="1033"/>
      <c r="G4" s="1033"/>
      <c r="H4" s="1033"/>
      <c r="I4" s="1033"/>
      <c r="J4" s="1033"/>
      <c r="K4" s="1253"/>
      <c r="L4" s="1246"/>
    </row>
    <row r="5" spans="2:12" ht="27.75" customHeight="1" thickBot="1">
      <c r="B5" s="1247" t="str">
        <f>CPYG!B3</f>
        <v>ENTIDAD: INSTITUTO TECNOLOGICO Y DE ENERGIAS RENOVABLES S.A.</v>
      </c>
      <c r="C5" s="1248"/>
      <c r="D5" s="1248"/>
      <c r="E5" s="1248"/>
      <c r="F5" s="1248"/>
      <c r="G5" s="1248"/>
      <c r="H5" s="1248"/>
      <c r="I5" s="1249"/>
      <c r="J5" s="1259" t="s">
        <v>517</v>
      </c>
      <c r="K5" s="1259"/>
      <c r="L5" s="1260"/>
    </row>
    <row r="6" ht="13.5" thickBot="1"/>
    <row r="7" spans="2:12" ht="17.25" customHeight="1" thickBot="1">
      <c r="B7" s="1256" t="s">
        <v>518</v>
      </c>
      <c r="C7" s="1257"/>
      <c r="D7" s="1257"/>
      <c r="E7" s="1257"/>
      <c r="F7" s="1257"/>
      <c r="G7" s="1257"/>
      <c r="H7" s="1258"/>
      <c r="I7" s="1254" t="s">
        <v>519</v>
      </c>
      <c r="J7" s="1256" t="s">
        <v>520</v>
      </c>
      <c r="K7" s="1257"/>
      <c r="L7" s="1258"/>
    </row>
    <row r="8" spans="2:12" ht="30" customHeight="1" thickBot="1">
      <c r="B8" s="1263"/>
      <c r="C8" s="1264"/>
      <c r="D8" s="1264"/>
      <c r="E8" s="1264"/>
      <c r="F8" s="1264"/>
      <c r="G8" s="1264"/>
      <c r="H8" s="1265"/>
      <c r="I8" s="1255"/>
      <c r="J8" s="822">
        <v>43101</v>
      </c>
      <c r="K8" s="823">
        <v>43132</v>
      </c>
      <c r="L8" s="824">
        <v>43160</v>
      </c>
    </row>
    <row r="9" spans="2:12" ht="17.25" customHeight="1">
      <c r="B9" s="1250" t="s">
        <v>521</v>
      </c>
      <c r="C9" s="1251"/>
      <c r="D9" s="1251"/>
      <c r="E9" s="1251"/>
      <c r="F9" s="1251"/>
      <c r="G9" s="1251"/>
      <c r="H9" s="1252"/>
      <c r="I9" s="977">
        <v>3742836.190000001</v>
      </c>
      <c r="J9" s="939">
        <v>105698.76</v>
      </c>
      <c r="K9" s="940">
        <f>105822.33+55532.31</f>
        <v>161354.64</v>
      </c>
      <c r="L9" s="941">
        <v>105946.06</v>
      </c>
    </row>
    <row r="10" spans="2:12" ht="6.75" customHeight="1">
      <c r="B10" s="738"/>
      <c r="C10" s="737"/>
      <c r="D10" s="737"/>
      <c r="E10" s="737"/>
      <c r="F10" s="737"/>
      <c r="G10" s="737"/>
      <c r="H10" s="232"/>
      <c r="I10" s="231"/>
      <c r="J10" s="231"/>
      <c r="K10" s="158"/>
      <c r="L10" s="232"/>
    </row>
    <row r="11" spans="2:12" ht="17.25" customHeight="1">
      <c r="B11" s="1250" t="s">
        <v>522</v>
      </c>
      <c r="C11" s="1251"/>
      <c r="D11" s="1251"/>
      <c r="E11" s="1251"/>
      <c r="F11" s="1251"/>
      <c r="G11" s="1251"/>
      <c r="H11" s="1252"/>
      <c r="I11" s="939">
        <v>9632598.4</v>
      </c>
      <c r="J11" s="825"/>
      <c r="K11" s="826"/>
      <c r="L11" s="827"/>
    </row>
    <row r="12" spans="2:12" ht="6.75" customHeight="1">
      <c r="B12" s="828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523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524</v>
      </c>
      <c r="D14" s="158"/>
      <c r="E14" s="158"/>
      <c r="F14" s="158"/>
      <c r="G14" s="158"/>
      <c r="H14" s="232"/>
      <c r="I14" s="978">
        <v>9468711.17</v>
      </c>
      <c r="J14" s="231"/>
      <c r="K14" s="158"/>
      <c r="L14" s="232"/>
    </row>
    <row r="15" spans="2:12" ht="12.75">
      <c r="B15" s="231"/>
      <c r="C15" s="158" t="s">
        <v>525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531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337</v>
      </c>
      <c r="D17" s="158"/>
      <c r="E17" s="158"/>
      <c r="F17" s="158"/>
      <c r="G17" s="158"/>
      <c r="H17" s="232"/>
      <c r="I17" s="978">
        <v>163887.22999999998</v>
      </c>
      <c r="J17" s="231"/>
      <c r="K17" s="158"/>
      <c r="L17" s="232"/>
    </row>
    <row r="18" spans="2:12" ht="6.75" customHeight="1">
      <c r="B18" s="828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250" t="s">
        <v>526</v>
      </c>
      <c r="C19" s="1251"/>
      <c r="D19" s="1251"/>
      <c r="E19" s="1251"/>
      <c r="F19" s="1251"/>
      <c r="G19" s="1251"/>
      <c r="H19" s="1252"/>
      <c r="I19" s="825"/>
      <c r="J19" s="825"/>
      <c r="K19" s="826"/>
      <c r="L19" s="827"/>
    </row>
    <row r="20" spans="2:12" ht="6.75" customHeight="1">
      <c r="B20" s="828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266" t="s">
        <v>527</v>
      </c>
      <c r="D21" s="1266"/>
      <c r="E21" s="1266"/>
      <c r="F21" s="1266"/>
      <c r="G21" s="1266"/>
      <c r="H21" s="1267"/>
      <c r="I21" s="231"/>
      <c r="J21" s="231"/>
      <c r="K21" s="158"/>
      <c r="L21" s="232"/>
    </row>
    <row r="22" spans="2:12" ht="12.75">
      <c r="B22" s="231"/>
      <c r="C22" s="1266" t="s">
        <v>528</v>
      </c>
      <c r="D22" s="1266"/>
      <c r="E22" s="1266"/>
      <c r="F22" s="1266"/>
      <c r="G22" s="1266"/>
      <c r="H22" s="1267"/>
      <c r="I22" s="231"/>
      <c r="J22" s="231"/>
      <c r="K22" s="158"/>
      <c r="L22" s="232"/>
    </row>
    <row r="23" spans="2:12" ht="6.75" customHeight="1">
      <c r="B23" s="828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250" t="s">
        <v>529</v>
      </c>
      <c r="C24" s="1251"/>
      <c r="D24" s="1251"/>
      <c r="E24" s="1251"/>
      <c r="F24" s="1251"/>
      <c r="G24" s="1251"/>
      <c r="H24" s="1252"/>
      <c r="I24" s="825"/>
      <c r="J24" s="825"/>
      <c r="K24" s="826"/>
      <c r="L24" s="827"/>
    </row>
    <row r="25" spans="2:12" ht="6.75" customHeight="1">
      <c r="B25" s="828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266" t="s">
        <v>527</v>
      </c>
      <c r="D26" s="1266"/>
      <c r="E26" s="1266"/>
      <c r="F26" s="1266"/>
      <c r="G26" s="1266"/>
      <c r="H26" s="1267"/>
      <c r="I26" s="231"/>
      <c r="J26" s="231"/>
      <c r="K26" s="158"/>
      <c r="L26" s="232"/>
    </row>
    <row r="27" spans="2:12" ht="13.5" thickBot="1">
      <c r="B27" s="317"/>
      <c r="C27" s="1261" t="s">
        <v>528</v>
      </c>
      <c r="D27" s="1261"/>
      <c r="E27" s="1261"/>
      <c r="F27" s="1261"/>
      <c r="G27" s="1261"/>
      <c r="H27" s="1262"/>
      <c r="I27" s="317"/>
      <c r="J27" s="317"/>
      <c r="K27" s="314"/>
      <c r="L27" s="318"/>
    </row>
    <row r="29" ht="12.75">
      <c r="C29" s="673" t="s">
        <v>530</v>
      </c>
    </row>
  </sheetData>
  <sheetProtection/>
  <mergeCells count="16">
    <mergeCell ref="C27:H27"/>
    <mergeCell ref="B7:H8"/>
    <mergeCell ref="B24:H24"/>
    <mergeCell ref="C21:H21"/>
    <mergeCell ref="C22:H22"/>
    <mergeCell ref="C26:H26"/>
    <mergeCell ref="B9:H9"/>
    <mergeCell ref="L3:L4"/>
    <mergeCell ref="B5:I5"/>
    <mergeCell ref="B11:H11"/>
    <mergeCell ref="B19:H19"/>
    <mergeCell ref="B3:K3"/>
    <mergeCell ref="B4:K4"/>
    <mergeCell ref="I7:I8"/>
    <mergeCell ref="J7:L7"/>
    <mergeCell ref="J5:L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L13"/>
  <sheetViews>
    <sheetView zoomScalePageLayoutView="0" workbookViewId="0" topLeftCell="A7">
      <selection activeCell="B2" sqref="B2:L13"/>
    </sheetView>
  </sheetViews>
  <sheetFormatPr defaultColWidth="11.57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57421875" style="133" customWidth="1"/>
  </cols>
  <sheetData>
    <row r="1" ht="26.25" customHeight="1" thickBot="1"/>
    <row r="2" spans="2:12" ht="21.75" customHeight="1">
      <c r="B2" s="1027" t="s">
        <v>322</v>
      </c>
      <c r="C2" s="1028"/>
      <c r="D2" s="1028"/>
      <c r="E2" s="1028"/>
      <c r="F2" s="1028"/>
      <c r="G2" s="1028"/>
      <c r="H2" s="1028"/>
      <c r="I2" s="1028"/>
      <c r="J2" s="1028"/>
      <c r="K2" s="1153"/>
      <c r="L2" s="1245">
        <v>2017</v>
      </c>
    </row>
    <row r="3" spans="2:12" ht="19.5" customHeight="1" thickBot="1">
      <c r="B3" s="1032" t="s">
        <v>343</v>
      </c>
      <c r="C3" s="1033"/>
      <c r="D3" s="1033"/>
      <c r="E3" s="1033"/>
      <c r="F3" s="1033"/>
      <c r="G3" s="1033"/>
      <c r="H3" s="1033"/>
      <c r="I3" s="1033"/>
      <c r="J3" s="1033"/>
      <c r="K3" s="1253"/>
      <c r="L3" s="1246"/>
    </row>
    <row r="4" spans="2:12" ht="56.25" customHeight="1" thickBot="1">
      <c r="B4" s="1247" t="str">
        <f>CPYG!B3</f>
        <v>ENTIDAD: INSTITUTO TECNOLOGICO Y DE ENERGIAS RENOVABLES S.A.</v>
      </c>
      <c r="C4" s="1248"/>
      <c r="D4" s="1248"/>
      <c r="E4" s="1248"/>
      <c r="F4" s="1248"/>
      <c r="G4" s="1248"/>
      <c r="H4" s="1248"/>
      <c r="I4" s="1249"/>
      <c r="J4" s="1259" t="s">
        <v>534</v>
      </c>
      <c r="K4" s="1259"/>
      <c r="L4" s="1260"/>
    </row>
    <row r="5" spans="1:2" ht="18" customHeight="1" thickBot="1">
      <c r="A5" s="260"/>
      <c r="B5" s="260"/>
    </row>
    <row r="6" spans="1:12" ht="26.25" customHeight="1">
      <c r="A6" s="260"/>
      <c r="B6" s="1268" t="s">
        <v>518</v>
      </c>
      <c r="C6" s="1269" t="s">
        <v>535</v>
      </c>
      <c r="D6" s="1270"/>
      <c r="E6" s="1270"/>
      <c r="F6" s="1270"/>
      <c r="G6" s="1270"/>
      <c r="H6" s="1270"/>
      <c r="I6" s="1270"/>
      <c r="J6" s="1270"/>
      <c r="K6" s="1270"/>
      <c r="L6" s="1271"/>
    </row>
    <row r="7" spans="1:12" ht="27" customHeight="1" thickBot="1">
      <c r="A7" s="260"/>
      <c r="B7" s="1255"/>
      <c r="C7" s="724">
        <v>2017</v>
      </c>
      <c r="D7" s="724">
        <v>2018</v>
      </c>
      <c r="E7" s="724">
        <v>2019</v>
      </c>
      <c r="F7" s="724">
        <v>2020</v>
      </c>
      <c r="G7" s="724">
        <v>2021</v>
      </c>
      <c r="H7" s="724">
        <v>2022</v>
      </c>
      <c r="I7" s="724">
        <v>2023</v>
      </c>
      <c r="J7" s="724">
        <v>2024</v>
      </c>
      <c r="K7" s="724">
        <v>2025</v>
      </c>
      <c r="L7" s="829">
        <v>2026</v>
      </c>
    </row>
    <row r="8" spans="2:12" ht="21" customHeight="1">
      <c r="B8" s="206" t="s">
        <v>523</v>
      </c>
      <c r="C8" s="917"/>
      <c r="D8" s="917"/>
      <c r="E8" s="917"/>
      <c r="F8" s="917"/>
      <c r="G8" s="917"/>
      <c r="H8" s="917"/>
      <c r="I8" s="917"/>
      <c r="J8" s="917"/>
      <c r="K8" s="917"/>
      <c r="L8" s="918"/>
    </row>
    <row r="9" spans="2:12" ht="21" customHeight="1">
      <c r="B9" s="231" t="s">
        <v>532</v>
      </c>
      <c r="C9" s="919">
        <v>2122274.36</v>
      </c>
      <c r="D9" s="919">
        <v>1388209.51</v>
      </c>
      <c r="E9" s="919">
        <v>1408545.88</v>
      </c>
      <c r="F9" s="919">
        <v>1429184.6</v>
      </c>
      <c r="G9" s="919">
        <v>1450130.25</v>
      </c>
      <c r="H9" s="919">
        <v>1471387.5</v>
      </c>
      <c r="I9" s="919">
        <v>1492961.07</v>
      </c>
      <c r="J9" s="919">
        <v>1514855.76</v>
      </c>
      <c r="K9" s="919">
        <v>701646.68</v>
      </c>
      <c r="L9" s="920"/>
    </row>
    <row r="10" spans="2:12" ht="21" customHeight="1">
      <c r="B10" s="231" t="s">
        <v>336</v>
      </c>
      <c r="C10" s="919"/>
      <c r="D10" s="919"/>
      <c r="E10" s="919"/>
      <c r="F10" s="919"/>
      <c r="G10" s="919"/>
      <c r="H10" s="919"/>
      <c r="I10" s="919"/>
      <c r="J10" s="919"/>
      <c r="K10" s="919"/>
      <c r="L10" s="920"/>
    </row>
    <row r="11" spans="2:12" ht="21" customHeight="1">
      <c r="B11" s="231" t="s">
        <v>536</v>
      </c>
      <c r="C11" s="919"/>
      <c r="D11" s="919"/>
      <c r="E11" s="919"/>
      <c r="F11" s="919"/>
      <c r="G11" s="919"/>
      <c r="H11" s="919"/>
      <c r="I11" s="919"/>
      <c r="J11" s="919"/>
      <c r="K11" s="919"/>
      <c r="L11" s="920"/>
    </row>
    <row r="12" spans="2:12" ht="21" customHeight="1" thickBot="1">
      <c r="B12" s="317" t="s">
        <v>337</v>
      </c>
      <c r="C12" s="921">
        <v>2270357.47</v>
      </c>
      <c r="D12" s="921">
        <v>2208362.29</v>
      </c>
      <c r="E12" s="921">
        <v>48093.23</v>
      </c>
      <c r="F12" s="921">
        <v>47679.4</v>
      </c>
      <c r="G12" s="921"/>
      <c r="H12" s="921"/>
      <c r="I12" s="921"/>
      <c r="J12" s="921"/>
      <c r="K12" s="921"/>
      <c r="L12" s="922"/>
    </row>
    <row r="13" spans="2:12" ht="27" customHeight="1" thickBot="1">
      <c r="B13" s="830" t="s">
        <v>533</v>
      </c>
      <c r="C13" s="923">
        <f aca="true" t="shared" si="0" ref="C13:L13">SUM(C8:C12)</f>
        <v>4392631.83</v>
      </c>
      <c r="D13" s="923">
        <f t="shared" si="0"/>
        <v>3596571.8</v>
      </c>
      <c r="E13" s="923">
        <f t="shared" si="0"/>
        <v>1456639.1099999999</v>
      </c>
      <c r="F13" s="923">
        <f t="shared" si="0"/>
        <v>1476864</v>
      </c>
      <c r="G13" s="923">
        <f t="shared" si="0"/>
        <v>1450130.25</v>
      </c>
      <c r="H13" s="923">
        <f t="shared" si="0"/>
        <v>1471387.5</v>
      </c>
      <c r="I13" s="923">
        <f t="shared" si="0"/>
        <v>1492961.07</v>
      </c>
      <c r="J13" s="923">
        <f t="shared" si="0"/>
        <v>1514855.76</v>
      </c>
      <c r="K13" s="923">
        <f t="shared" si="0"/>
        <v>701646.68</v>
      </c>
      <c r="L13" s="924">
        <f t="shared" si="0"/>
        <v>0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7874015748031497" right="0.38" top="0.48" bottom="0.36" header="0" footer="0"/>
  <pageSetup horizontalDpi="600" verticalDpi="600" orientation="landscape" paperSize="9" scale="65" r:id="rId1"/>
  <ignoredErrors>
    <ignoredError sqref="C13:L1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B1:T33"/>
  <sheetViews>
    <sheetView zoomScale="75" zoomScaleNormal="75" zoomScalePageLayoutView="0" workbookViewId="0" topLeftCell="A7">
      <selection activeCell="B2" sqref="B2:P25"/>
    </sheetView>
  </sheetViews>
  <sheetFormatPr defaultColWidth="11.57421875" defaultRowHeight="12.75"/>
  <cols>
    <col min="1" max="1" width="3.28125" style="261" customWidth="1"/>
    <col min="2" max="2" width="10.28125" style="261" customWidth="1"/>
    <col min="3" max="3" width="19.8515625" style="261" hidden="1" customWidth="1"/>
    <col min="4" max="4" width="12.140625" style="261" customWidth="1"/>
    <col min="5" max="5" width="16.421875" style="261" customWidth="1"/>
    <col min="6" max="6" width="30.140625" style="261" customWidth="1"/>
    <col min="7" max="7" width="11.28125" style="261" customWidth="1"/>
    <col min="8" max="9" width="13.57421875" style="261" customWidth="1"/>
    <col min="10" max="10" width="16.57421875" style="261" customWidth="1"/>
    <col min="11" max="11" width="17.28125" style="261" customWidth="1"/>
    <col min="12" max="12" width="13.28125" style="261" customWidth="1"/>
    <col min="13" max="13" width="16.7109375" style="261" customWidth="1"/>
    <col min="14" max="14" width="15.57421875" style="261" customWidth="1"/>
    <col min="15" max="15" width="16.7109375" style="261" customWidth="1"/>
    <col min="16" max="16" width="12.57421875" style="261" customWidth="1"/>
    <col min="17" max="17" width="0" style="261" hidden="1" customWidth="1"/>
    <col min="18" max="18" width="17.140625" style="262" hidden="1" customWidth="1"/>
    <col min="19" max="19" width="17.421875" style="262" hidden="1" customWidth="1"/>
    <col min="20" max="20" width="0.9921875" style="262" hidden="1" customWidth="1"/>
    <col min="21" max="16384" width="11.57421875" style="261" customWidth="1"/>
  </cols>
  <sheetData>
    <row r="1" spans="2:15" ht="24.75" customHeight="1" thickBot="1">
      <c r="B1" s="299"/>
      <c r="O1" s="300"/>
    </row>
    <row r="2" spans="2:20" s="278" customFormat="1" ht="36" customHeight="1" thickBot="1">
      <c r="B2" s="1289" t="s">
        <v>599</v>
      </c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1"/>
      <c r="O2" s="1275">
        <f>CPYG!E2</f>
        <v>2017</v>
      </c>
      <c r="P2" s="1276"/>
      <c r="R2" s="280"/>
      <c r="S2" s="280"/>
      <c r="T2" s="280"/>
    </row>
    <row r="3" spans="2:16" ht="25.5" customHeight="1" thickBot="1">
      <c r="B3" s="1284" t="str">
        <f>CPYG!B3</f>
        <v>ENTIDAD: INSTITUTO TECNOLOGICO Y DE ENERGIAS RENOVABLES S.A.</v>
      </c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6"/>
      <c r="O3" s="1284" t="s">
        <v>200</v>
      </c>
      <c r="P3" s="1286"/>
    </row>
    <row r="4" spans="2:16" ht="24.75" customHeight="1">
      <c r="B4" s="1277" t="s">
        <v>144</v>
      </c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1278"/>
      <c r="N4" s="1278"/>
      <c r="O4" s="1278"/>
      <c r="P4" s="1279"/>
    </row>
    <row r="5" spans="2:17" ht="48" customHeight="1">
      <c r="B5" s="1287" t="s">
        <v>397</v>
      </c>
      <c r="C5" s="1288"/>
      <c r="D5" s="1283"/>
      <c r="E5" s="1281" t="s">
        <v>807</v>
      </c>
      <c r="F5" s="1283"/>
      <c r="G5" s="264" t="s">
        <v>808</v>
      </c>
      <c r="H5" s="1280" t="s">
        <v>809</v>
      </c>
      <c r="I5" s="1280"/>
      <c r="J5" s="1280"/>
      <c r="K5" s="1281" t="s">
        <v>810</v>
      </c>
      <c r="L5" s="1283"/>
      <c r="M5" s="1281" t="s">
        <v>537</v>
      </c>
      <c r="N5" s="1283"/>
      <c r="O5" s="1281" t="s">
        <v>538</v>
      </c>
      <c r="P5" s="1282"/>
      <c r="Q5" s="265"/>
    </row>
    <row r="6" spans="2:16" ht="19.5" customHeight="1">
      <c r="B6" s="1272"/>
      <c r="C6" s="1273"/>
      <c r="D6" s="1274"/>
      <c r="E6" s="1301"/>
      <c r="F6" s="1305"/>
      <c r="G6" s="266"/>
      <c r="H6" s="1292"/>
      <c r="I6" s="1293"/>
      <c r="J6" s="1294"/>
      <c r="K6" s="1301"/>
      <c r="L6" s="1305"/>
      <c r="M6" s="1301"/>
      <c r="N6" s="1305"/>
      <c r="O6" s="1301"/>
      <c r="P6" s="1302"/>
    </row>
    <row r="7" spans="2:16" ht="19.5" customHeight="1">
      <c r="B7" s="1272"/>
      <c r="C7" s="1273"/>
      <c r="D7" s="1274"/>
      <c r="E7" s="1301"/>
      <c r="F7" s="1305"/>
      <c r="G7" s="266"/>
      <c r="H7" s="1303"/>
      <c r="I7" s="1303"/>
      <c r="J7" s="1303"/>
      <c r="K7" s="1301"/>
      <c r="L7" s="1305"/>
      <c r="M7" s="1301"/>
      <c r="N7" s="1304"/>
      <c r="O7" s="1301"/>
      <c r="P7" s="1302"/>
    </row>
    <row r="8" spans="2:16" ht="19.5" customHeight="1">
      <c r="B8" s="1272"/>
      <c r="C8" s="1273"/>
      <c r="D8" s="1274"/>
      <c r="E8" s="1301"/>
      <c r="F8" s="1305"/>
      <c r="G8" s="266"/>
      <c r="H8" s="1303"/>
      <c r="I8" s="1303"/>
      <c r="J8" s="1303"/>
      <c r="K8" s="1301"/>
      <c r="L8" s="1305"/>
      <c r="M8" s="1301"/>
      <c r="N8" s="1304"/>
      <c r="O8" s="1301"/>
      <c r="P8" s="1302"/>
    </row>
    <row r="9" spans="2:16" ht="19.5" customHeight="1">
      <c r="B9" s="1272"/>
      <c r="C9" s="1273"/>
      <c r="D9" s="1274"/>
      <c r="E9" s="1301"/>
      <c r="F9" s="1305"/>
      <c r="G9" s="266"/>
      <c r="H9" s="1303"/>
      <c r="I9" s="1303"/>
      <c r="J9" s="1303"/>
      <c r="K9" s="1301"/>
      <c r="L9" s="1305"/>
      <c r="M9" s="1301"/>
      <c r="N9" s="1304"/>
      <c r="O9" s="1301"/>
      <c r="P9" s="1302"/>
    </row>
    <row r="10" spans="2:16" ht="19.5" customHeight="1">
      <c r="B10" s="1272"/>
      <c r="C10" s="1273"/>
      <c r="D10" s="1274"/>
      <c r="E10" s="1301"/>
      <c r="F10" s="1305"/>
      <c r="G10" s="268"/>
      <c r="H10" s="1303"/>
      <c r="I10" s="1303"/>
      <c r="J10" s="1303"/>
      <c r="K10" s="1301"/>
      <c r="L10" s="1305"/>
      <c r="M10" s="1301"/>
      <c r="N10" s="1304"/>
      <c r="O10" s="1301"/>
      <c r="P10" s="1302"/>
    </row>
    <row r="11" spans="2:16" ht="24.75" customHeight="1">
      <c r="B11" s="1297" t="s">
        <v>193</v>
      </c>
      <c r="C11" s="1298"/>
      <c r="D11" s="1298"/>
      <c r="E11" s="1298"/>
      <c r="F11" s="1298"/>
      <c r="G11" s="1298"/>
      <c r="H11" s="1298"/>
      <c r="I11" s="1298"/>
      <c r="J11" s="1298"/>
      <c r="K11" s="1298"/>
      <c r="L11" s="1298"/>
      <c r="M11" s="1298"/>
      <c r="N11" s="1298"/>
      <c r="O11" s="1298"/>
      <c r="P11" s="1299"/>
    </row>
    <row r="12" spans="2:16" ht="40.5" customHeight="1">
      <c r="B12" s="1300" t="s">
        <v>811</v>
      </c>
      <c r="C12" s="264"/>
      <c r="D12" s="1280" t="s">
        <v>812</v>
      </c>
      <c r="E12" s="1308" t="s">
        <v>813</v>
      </c>
      <c r="F12" s="1309"/>
      <c r="G12" s="1280" t="s">
        <v>814</v>
      </c>
      <c r="H12" s="1295" t="s">
        <v>394</v>
      </c>
      <c r="I12" s="1295" t="s">
        <v>395</v>
      </c>
      <c r="J12" s="1281" t="s">
        <v>539</v>
      </c>
      <c r="K12" s="1283"/>
      <c r="L12" s="1281" t="s">
        <v>464</v>
      </c>
      <c r="M12" s="1288"/>
      <c r="N12" s="1283"/>
      <c r="O12" s="1280" t="s">
        <v>540</v>
      </c>
      <c r="P12" s="1312"/>
    </row>
    <row r="13" spans="2:20" ht="60" customHeight="1">
      <c r="B13" s="1300"/>
      <c r="C13" s="264"/>
      <c r="D13" s="1280"/>
      <c r="E13" s="1310"/>
      <c r="F13" s="1311"/>
      <c r="G13" s="1280"/>
      <c r="H13" s="1296"/>
      <c r="I13" s="1296"/>
      <c r="J13" s="269" t="s">
        <v>600</v>
      </c>
      <c r="K13" s="269" t="s">
        <v>541</v>
      </c>
      <c r="L13" s="264" t="s">
        <v>542</v>
      </c>
      <c r="M13" s="264" t="s">
        <v>543</v>
      </c>
      <c r="N13" s="263" t="s">
        <v>544</v>
      </c>
      <c r="O13" s="263" t="s">
        <v>545</v>
      </c>
      <c r="P13" s="270" t="s">
        <v>0</v>
      </c>
      <c r="R13" s="271" t="s">
        <v>139</v>
      </c>
      <c r="S13" s="262" t="s">
        <v>614</v>
      </c>
      <c r="T13" s="262" t="s">
        <v>615</v>
      </c>
    </row>
    <row r="14" spans="2:20" s="278" customFormat="1" ht="19.5" customHeight="1">
      <c r="B14" s="281"/>
      <c r="C14" s="273"/>
      <c r="D14" s="273">
        <v>170</v>
      </c>
      <c r="E14" s="1306" t="s">
        <v>899</v>
      </c>
      <c r="F14" s="1307"/>
      <c r="G14" s="905" t="s">
        <v>905</v>
      </c>
      <c r="H14" s="274"/>
      <c r="I14" s="274"/>
      <c r="J14" s="274">
        <v>18000000</v>
      </c>
      <c r="K14" s="275">
        <v>10025238.75</v>
      </c>
      <c r="L14" s="275"/>
      <c r="M14" s="275">
        <v>-1276573.18</v>
      </c>
      <c r="N14" s="275">
        <v>150240.93</v>
      </c>
      <c r="O14" s="276">
        <f>K14+M14</f>
        <v>8748665.57</v>
      </c>
      <c r="P14" s="277"/>
      <c r="Q14" s="278" t="e">
        <f>+#REF!+1</f>
        <v>#REF!</v>
      </c>
      <c r="R14" s="279" t="e">
        <f aca="true" t="shared" si="0" ref="R14:R19">+T14-S14</f>
        <v>#REF!</v>
      </c>
      <c r="S14" s="280">
        <v>492841.42</v>
      </c>
      <c r="T14" s="280" t="e">
        <f>+#REF!</f>
        <v>#REF!</v>
      </c>
    </row>
    <row r="15" spans="2:20" s="278" customFormat="1" ht="19.5" customHeight="1">
      <c r="B15" s="281"/>
      <c r="C15" s="273"/>
      <c r="D15" s="273">
        <v>170</v>
      </c>
      <c r="E15" s="1306" t="s">
        <v>901</v>
      </c>
      <c r="F15" s="1307"/>
      <c r="G15" s="278" t="s">
        <v>905</v>
      </c>
      <c r="H15" s="274"/>
      <c r="I15" s="274"/>
      <c r="J15" s="274">
        <v>1300000</v>
      </c>
      <c r="K15" s="275">
        <v>831681.93</v>
      </c>
      <c r="L15" s="275"/>
      <c r="M15" s="275">
        <v>-111636.33</v>
      </c>
      <c r="N15" s="275">
        <v>18816.2</v>
      </c>
      <c r="O15" s="276">
        <f>K15+M15</f>
        <v>720045.6000000001</v>
      </c>
      <c r="P15" s="277"/>
      <c r="Q15" s="278" t="e">
        <f>+#REF!+1</f>
        <v>#REF!</v>
      </c>
      <c r="R15" s="279" t="e">
        <f t="shared" si="0"/>
        <v>#REF!</v>
      </c>
      <c r="S15" s="280">
        <v>324162.58</v>
      </c>
      <c r="T15" s="280" t="e">
        <f>+#REF!</f>
        <v>#REF!</v>
      </c>
    </row>
    <row r="16" spans="2:20" s="278" customFormat="1" ht="19.5" customHeight="1">
      <c r="B16" s="281"/>
      <c r="C16" s="273"/>
      <c r="D16" s="273">
        <v>171</v>
      </c>
      <c r="E16" s="1306" t="s">
        <v>902</v>
      </c>
      <c r="F16" s="1307"/>
      <c r="G16" s="267"/>
      <c r="H16" s="267"/>
      <c r="I16" s="267"/>
      <c r="J16" s="282"/>
      <c r="K16" s="275">
        <v>1908150.29</v>
      </c>
      <c r="L16" s="282"/>
      <c r="M16" s="275">
        <v>-1744263.06</v>
      </c>
      <c r="N16" s="282"/>
      <c r="O16" s="915">
        <f>K16+M16</f>
        <v>163887.22999999998</v>
      </c>
      <c r="P16" s="277"/>
      <c r="Q16" s="278" t="e">
        <f>+#REF!+1</f>
        <v>#REF!</v>
      </c>
      <c r="R16" s="279" t="e">
        <f t="shared" si="0"/>
        <v>#REF!</v>
      </c>
      <c r="S16" s="280">
        <v>195299.75</v>
      </c>
      <c r="T16" s="280" t="e">
        <f>+#REF!</f>
        <v>#REF!</v>
      </c>
    </row>
    <row r="17" spans="2:20" s="278" customFormat="1" ht="19.5" customHeight="1">
      <c r="B17" s="281"/>
      <c r="C17" s="273"/>
      <c r="D17" s="273">
        <v>173</v>
      </c>
      <c r="E17" s="1306" t="s">
        <v>903</v>
      </c>
      <c r="F17" s="1307"/>
      <c r="G17" s="267"/>
      <c r="H17" s="267"/>
      <c r="I17" s="267"/>
      <c r="J17" s="282"/>
      <c r="K17" s="275">
        <v>49158.34</v>
      </c>
      <c r="L17" s="282"/>
      <c r="M17" s="275">
        <v>-49158.34</v>
      </c>
      <c r="N17" s="282"/>
      <c r="O17" s="915">
        <f>K17+M17</f>
        <v>0</v>
      </c>
      <c r="P17" s="277"/>
      <c r="Q17" s="278" t="e">
        <f>+Q16+1</f>
        <v>#REF!</v>
      </c>
      <c r="R17" s="279">
        <f t="shared" si="0"/>
        <v>69918.59</v>
      </c>
      <c r="S17" s="280">
        <v>125381.16</v>
      </c>
      <c r="T17" s="280">
        <f>+S16</f>
        <v>195299.75</v>
      </c>
    </row>
    <row r="18" spans="2:20" s="278" customFormat="1" ht="19.5" customHeight="1">
      <c r="B18" s="281"/>
      <c r="C18" s="273"/>
      <c r="D18" s="273">
        <v>171</v>
      </c>
      <c r="E18" s="1306" t="s">
        <v>904</v>
      </c>
      <c r="F18" s="1307"/>
      <c r="G18" s="267"/>
      <c r="H18" s="267"/>
      <c r="I18" s="267"/>
      <c r="J18" s="282"/>
      <c r="K18" s="275">
        <v>400000</v>
      </c>
      <c r="L18" s="282"/>
      <c r="M18" s="275">
        <v>-400000</v>
      </c>
      <c r="N18" s="282"/>
      <c r="O18" s="915">
        <f>K18+M18</f>
        <v>0</v>
      </c>
      <c r="P18" s="277"/>
      <c r="Q18" s="278" t="e">
        <f>+Q17+1</f>
        <v>#REF!</v>
      </c>
      <c r="R18" s="279">
        <f t="shared" si="0"/>
        <v>73852.37</v>
      </c>
      <c r="S18" s="280">
        <v>51528.79</v>
      </c>
      <c r="T18" s="280">
        <f>+S17</f>
        <v>125381.16</v>
      </c>
    </row>
    <row r="19" spans="2:20" s="278" customFormat="1" ht="19.5" customHeight="1" thickBot="1">
      <c r="B19" s="283"/>
      <c r="C19" s="273"/>
      <c r="D19" s="284"/>
      <c r="E19" s="1315"/>
      <c r="F19" s="1316"/>
      <c r="G19" s="285"/>
      <c r="H19" s="285"/>
      <c r="I19" s="285"/>
      <c r="J19" s="286"/>
      <c r="K19" s="286"/>
      <c r="L19" s="286"/>
      <c r="M19" s="286"/>
      <c r="N19" s="286"/>
      <c r="O19" s="287"/>
      <c r="P19" s="288"/>
      <c r="Q19" s="278" t="e">
        <f>+Q18+1</f>
        <v>#REF!</v>
      </c>
      <c r="R19" s="279">
        <f t="shared" si="0"/>
        <v>51528.79</v>
      </c>
      <c r="S19" s="280">
        <v>0</v>
      </c>
      <c r="T19" s="280">
        <f>+S18</f>
        <v>51528.79</v>
      </c>
    </row>
    <row r="20" spans="2:20" s="278" customFormat="1" ht="19.5" customHeight="1" thickBot="1">
      <c r="B20" s="289" t="s">
        <v>145</v>
      </c>
      <c r="C20" s="290"/>
      <c r="D20" s="291"/>
      <c r="E20" s="1313"/>
      <c r="F20" s="1314"/>
      <c r="G20" s="292"/>
      <c r="H20" s="292"/>
      <c r="I20" s="292"/>
      <c r="J20" s="757">
        <f aca="true" t="shared" si="1" ref="J20:O20">SUM(J14:J19)</f>
        <v>19300000</v>
      </c>
      <c r="K20" s="757">
        <f t="shared" si="1"/>
        <v>13214229.309999999</v>
      </c>
      <c r="L20" s="757">
        <f t="shared" si="1"/>
        <v>0</v>
      </c>
      <c r="M20" s="757">
        <f t="shared" si="1"/>
        <v>-3581630.91</v>
      </c>
      <c r="N20" s="757">
        <f t="shared" si="1"/>
        <v>169057.13</v>
      </c>
      <c r="O20" s="757">
        <f t="shared" si="1"/>
        <v>9632598.4</v>
      </c>
      <c r="P20" s="293"/>
      <c r="R20" s="280"/>
      <c r="S20" s="280"/>
      <c r="T20" s="280"/>
    </row>
    <row r="21" spans="2:16" ht="12.75">
      <c r="B21" s="294"/>
      <c r="C21" s="295"/>
      <c r="D21" s="295"/>
      <c r="E21" s="296"/>
      <c r="F21" s="294"/>
      <c r="G21" s="294"/>
      <c r="H21" s="294"/>
      <c r="I21" s="294"/>
      <c r="J21" s="294"/>
      <c r="K21" s="294"/>
      <c r="L21" s="294"/>
      <c r="M21" s="294"/>
      <c r="N21" s="294"/>
      <c r="O21" s="297"/>
      <c r="P21" s="298"/>
    </row>
    <row r="22" spans="2:15" ht="12.75">
      <c r="B22" s="261" t="s">
        <v>141</v>
      </c>
      <c r="O22" s="262"/>
    </row>
    <row r="23" ht="12.75">
      <c r="B23" s="261" t="s">
        <v>396</v>
      </c>
    </row>
    <row r="24" ht="12.75">
      <c r="B24" s="261" t="s">
        <v>194</v>
      </c>
    </row>
    <row r="25" ht="12.75">
      <c r="B25" s="261" t="s">
        <v>601</v>
      </c>
    </row>
    <row r="30" ht="12.75">
      <c r="B30" s="133"/>
    </row>
    <row r="31" ht="12.75">
      <c r="B31" s="133"/>
    </row>
    <row r="32" ht="12.75">
      <c r="B32" s="133"/>
    </row>
    <row r="33" ht="12.75">
      <c r="B33" s="133"/>
    </row>
  </sheetData>
  <sheetProtection/>
  <mergeCells count="58">
    <mergeCell ref="E15:F15"/>
    <mergeCell ref="E20:F20"/>
    <mergeCell ref="E16:F16"/>
    <mergeCell ref="E17:F17"/>
    <mergeCell ref="E18:F18"/>
    <mergeCell ref="E19:F19"/>
    <mergeCell ref="O10:P10"/>
    <mergeCell ref="O9:P9"/>
    <mergeCell ref="K10:L10"/>
    <mergeCell ref="K9:L9"/>
    <mergeCell ref="E14:F14"/>
    <mergeCell ref="H9:J9"/>
    <mergeCell ref="M10:N10"/>
    <mergeCell ref="J12:K12"/>
    <mergeCell ref="E12:F13"/>
    <mergeCell ref="O12:P12"/>
    <mergeCell ref="I12:I13"/>
    <mergeCell ref="H10:J10"/>
    <mergeCell ref="L12:N12"/>
    <mergeCell ref="E9:F9"/>
    <mergeCell ref="E10:F10"/>
    <mergeCell ref="O8:P8"/>
    <mergeCell ref="E6:F6"/>
    <mergeCell ref="K6:L6"/>
    <mergeCell ref="M6:N6"/>
    <mergeCell ref="O7:P7"/>
    <mergeCell ref="E7:F7"/>
    <mergeCell ref="E8:F8"/>
    <mergeCell ref="K7:L7"/>
    <mergeCell ref="K8:L8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B7:D7"/>
    <mergeCell ref="B8:D8"/>
    <mergeCell ref="B9:D9"/>
    <mergeCell ref="M9:N9"/>
    <mergeCell ref="M7:N7"/>
    <mergeCell ref="H7:J7"/>
    <mergeCell ref="B6:D6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B2:N2"/>
  </mergeCells>
  <dataValidations count="4">
    <dataValidation allowBlank="1" showInputMessage="1" showErrorMessage="1" prompt="LO QUE QUEDA POR PAGAR SIN INTERESES. RESPECTO DE PÓLIZAS DE CRÉDITOS ES LO QUE ESTÁ DISPUESTO A ESA FECHA." sqref="K16:K20"/>
    <dataValidation type="list" allowBlank="1" showInputMessage="1" showErrorMessage="1" promptTitle="Tipo" prompt="Deberá indicar seleccionar el mismo&#10;" sqref="G16:G20">
      <formula1>$F$30:$F$33</formula1>
    </dataValidation>
    <dataValidation allowBlank="1" showInputMessage="1" showErrorMessage="1" prompt="Este número está correlacionado con el Aval del Cabildo, en su caso.&#10;" sqref="H14:I20"/>
    <dataValidation allowBlank="1" showInputMessage="1" showErrorMessage="1" promptTitle="Epígrafe Pasivo Balance" prompt="Incluir en dónde figura del Pasivo del Balance la disposición o reducción de pólizas y préstamos" sqref="D14:D20"/>
  </dataValidations>
  <printOptions horizontalCentered="1" verticalCentered="1"/>
  <pageMargins left="0.5511811023622047" right="0.15748031496062992" top="0.7874015748031497" bottom="0.2362204724409449" header="0.5118110236220472" footer="0.2362204724409449"/>
  <pageSetup horizontalDpi="300" verticalDpi="300" orientation="landscape" paperSize="9" scale="65" r:id="rId1"/>
  <ignoredErrors>
    <ignoredError sqref="J20:O20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320" t="s">
        <v>97</v>
      </c>
      <c r="B1" s="1321"/>
      <c r="C1" s="1321"/>
      <c r="D1" s="1321"/>
      <c r="E1" s="1321"/>
      <c r="F1" s="1321"/>
      <c r="G1" s="1322"/>
      <c r="H1" s="108">
        <v>2011</v>
      </c>
      <c r="I1"/>
      <c r="J1"/>
    </row>
    <row r="2" spans="1:10" s="110" customFormat="1" ht="17.25" thickBot="1">
      <c r="A2" s="1323" t="s">
        <v>98</v>
      </c>
      <c r="B2" s="1324"/>
      <c r="C2" s="1324"/>
      <c r="D2" s="1324"/>
      <c r="E2" s="1324"/>
      <c r="F2" s="1324"/>
      <c r="G2" s="1325"/>
      <c r="H2" s="120" t="s">
        <v>611</v>
      </c>
      <c r="I2"/>
      <c r="J2"/>
    </row>
    <row r="3" spans="1:8" ht="13.5" customHeight="1" thickBot="1">
      <c r="A3" s="1326" t="s">
        <v>99</v>
      </c>
      <c r="B3" s="1327"/>
      <c r="C3" s="1327"/>
      <c r="D3" s="1327"/>
      <c r="E3" s="1327"/>
      <c r="F3" s="1327"/>
      <c r="G3" s="1327"/>
      <c r="H3" s="1328"/>
    </row>
    <row r="4" spans="3:8" ht="20.25" customHeight="1">
      <c r="C4" s="1329">
        <v>2009</v>
      </c>
      <c r="D4" s="1329"/>
      <c r="E4" s="1329" t="s">
        <v>694</v>
      </c>
      <c r="F4" s="1329"/>
      <c r="G4" s="1329" t="s">
        <v>693</v>
      </c>
      <c r="H4" s="1329"/>
    </row>
    <row r="5" spans="1:8" ht="24.75">
      <c r="A5" s="111" t="s">
        <v>100</v>
      </c>
      <c r="B5" s="111" t="s">
        <v>612</v>
      </c>
      <c r="C5" s="112" t="s">
        <v>101</v>
      </c>
      <c r="D5" s="112" t="s">
        <v>102</v>
      </c>
      <c r="E5" s="112" t="s">
        <v>101</v>
      </c>
      <c r="F5" s="112" t="s">
        <v>102</v>
      </c>
      <c r="G5" s="112" t="s">
        <v>101</v>
      </c>
      <c r="H5" s="112" t="s">
        <v>102</v>
      </c>
    </row>
    <row r="6" spans="1:8" ht="15.75">
      <c r="A6" s="111" t="s">
        <v>103</v>
      </c>
      <c r="B6" s="111" t="s">
        <v>104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103</v>
      </c>
      <c r="B7" s="111" t="s">
        <v>105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318" t="s">
        <v>145</v>
      </c>
      <c r="B15" s="1319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317">
        <v>2009</v>
      </c>
      <c r="D17" s="1317"/>
      <c r="E17" s="1317" t="s">
        <v>694</v>
      </c>
      <c r="F17" s="1317"/>
      <c r="G17" s="1317" t="s">
        <v>693</v>
      </c>
      <c r="H17" s="1317"/>
    </row>
    <row r="18" spans="1:8" ht="24.75">
      <c r="A18" s="111" t="s">
        <v>106</v>
      </c>
      <c r="B18" s="111" t="s">
        <v>612</v>
      </c>
      <c r="C18" s="112" t="s">
        <v>107</v>
      </c>
      <c r="D18" s="112" t="s">
        <v>102</v>
      </c>
      <c r="E18" s="112" t="s">
        <v>107</v>
      </c>
      <c r="F18" s="112" t="s">
        <v>102</v>
      </c>
      <c r="G18" s="112" t="s">
        <v>107</v>
      </c>
      <c r="H18" s="112" t="s">
        <v>102</v>
      </c>
    </row>
    <row r="19" spans="1:8" ht="15.75">
      <c r="A19" s="111" t="s">
        <v>108</v>
      </c>
      <c r="B19" s="111" t="s">
        <v>109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110</v>
      </c>
      <c r="B20" s="111" t="s">
        <v>109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111</v>
      </c>
      <c r="B21" s="111" t="s">
        <v>112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113</v>
      </c>
      <c r="B22" s="111" t="s">
        <v>114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115</v>
      </c>
      <c r="B23" s="111" t="s">
        <v>116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103</v>
      </c>
      <c r="B24" s="111" t="s">
        <v>104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103</v>
      </c>
      <c r="B25" s="111" t="s">
        <v>117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318" t="s">
        <v>145</v>
      </c>
      <c r="B28" s="1319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613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S30"/>
  <sheetViews>
    <sheetView zoomScale="70" zoomScaleNormal="70" zoomScalePageLayoutView="0" workbookViewId="0" topLeftCell="A1">
      <selection activeCell="A2" sqref="A2:O22"/>
    </sheetView>
  </sheetViews>
  <sheetFormatPr defaultColWidth="11.57421875" defaultRowHeight="12.75"/>
  <cols>
    <col min="1" max="1" width="10.28125" style="261" customWidth="1"/>
    <col min="2" max="2" width="19.8515625" style="261" hidden="1" customWidth="1"/>
    <col min="3" max="3" width="26.28125" style="261" customWidth="1"/>
    <col min="4" max="4" width="13.28125" style="261" customWidth="1"/>
    <col min="5" max="5" width="21.00390625" style="261" customWidth="1"/>
    <col min="6" max="6" width="13.8515625" style="261" customWidth="1"/>
    <col min="7" max="8" width="15.7109375" style="261" customWidth="1"/>
    <col min="9" max="9" width="20.00390625" style="261" bestFit="1" customWidth="1"/>
    <col min="10" max="10" width="19.421875" style="261" bestFit="1" customWidth="1"/>
    <col min="11" max="11" width="14.28125" style="261" customWidth="1"/>
    <col min="12" max="12" width="17.421875" style="261" bestFit="1" customWidth="1"/>
    <col min="13" max="13" width="19.421875" style="261" bestFit="1" customWidth="1"/>
    <col min="14" max="14" width="17.421875" style="261" bestFit="1" customWidth="1"/>
    <col min="15" max="15" width="13.7109375" style="261" bestFit="1" customWidth="1"/>
    <col min="16" max="16" width="0" style="261" hidden="1" customWidth="1"/>
    <col min="17" max="17" width="17.140625" style="262" hidden="1" customWidth="1"/>
    <col min="18" max="18" width="17.421875" style="262" hidden="1" customWidth="1"/>
    <col min="19" max="19" width="0.9921875" style="262" hidden="1" customWidth="1"/>
    <col min="20" max="16384" width="11.57421875" style="261" customWidth="1"/>
  </cols>
  <sheetData>
    <row r="1" spans="1:14" ht="13.5" thickBot="1">
      <c r="A1" s="299"/>
      <c r="N1" s="300"/>
    </row>
    <row r="2" spans="1:19" s="278" customFormat="1" ht="36" customHeight="1" thickBot="1">
      <c r="A2" s="1289" t="s">
        <v>599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1"/>
      <c r="N2" s="1275">
        <f>CPYG!E2</f>
        <v>2017</v>
      </c>
      <c r="O2" s="1276"/>
      <c r="Q2" s="280"/>
      <c r="R2" s="280"/>
      <c r="S2" s="280"/>
    </row>
    <row r="3" spans="1:15" ht="34.5" customHeight="1" thickBot="1">
      <c r="A3" s="1284" t="str">
        <f>CPYG!B3</f>
        <v>ENTIDAD: INSTITUTO TECNOLOGICO Y DE ENERGIAS RENOVABLES S.A.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6"/>
      <c r="N3" s="1284" t="s">
        <v>199</v>
      </c>
      <c r="O3" s="1286"/>
    </row>
    <row r="4" spans="1:15" ht="24.75" customHeight="1">
      <c r="A4" s="1330" t="s">
        <v>195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  <c r="N4" s="1296"/>
      <c r="O4" s="1331"/>
    </row>
    <row r="5" spans="1:15" ht="40.5" customHeight="1">
      <c r="A5" s="1332" t="s">
        <v>811</v>
      </c>
      <c r="B5" s="264"/>
      <c r="C5" s="1280" t="s">
        <v>812</v>
      </c>
      <c r="D5" s="1308" t="s">
        <v>813</v>
      </c>
      <c r="E5" s="1309"/>
      <c r="F5" s="1280" t="s">
        <v>814</v>
      </c>
      <c r="G5" s="1295" t="s">
        <v>394</v>
      </c>
      <c r="H5" s="1295" t="s">
        <v>395</v>
      </c>
      <c r="I5" s="1281" t="s">
        <v>546</v>
      </c>
      <c r="J5" s="1288"/>
      <c r="K5" s="1283"/>
      <c r="L5" s="1281" t="s">
        <v>547</v>
      </c>
      <c r="M5" s="1288"/>
      <c r="N5" s="1288"/>
      <c r="O5" s="1282"/>
    </row>
    <row r="6" spans="1:19" ht="73.5" customHeight="1">
      <c r="A6" s="1330"/>
      <c r="B6" s="264"/>
      <c r="C6" s="1280"/>
      <c r="D6" s="1310"/>
      <c r="E6" s="1311"/>
      <c r="F6" s="1280"/>
      <c r="G6" s="1296"/>
      <c r="H6" s="1296"/>
      <c r="I6" s="269" t="s">
        <v>600</v>
      </c>
      <c r="J6" s="269" t="s">
        <v>548</v>
      </c>
      <c r="K6" s="263" t="s">
        <v>196</v>
      </c>
      <c r="L6" s="269" t="s">
        <v>549</v>
      </c>
      <c r="M6" s="264" t="s">
        <v>550</v>
      </c>
      <c r="N6" s="263" t="s">
        <v>545</v>
      </c>
      <c r="O6" s="270" t="s">
        <v>196</v>
      </c>
      <c r="Q6" s="271" t="s">
        <v>139</v>
      </c>
      <c r="R6" s="262" t="s">
        <v>614</v>
      </c>
      <c r="S6" s="262" t="s">
        <v>615</v>
      </c>
    </row>
    <row r="7" spans="1:19" s="278" customFormat="1" ht="19.5" customHeight="1">
      <c r="A7" s="272"/>
      <c r="B7" s="273"/>
      <c r="C7" s="273">
        <v>520</v>
      </c>
      <c r="D7" s="1306" t="s">
        <v>899</v>
      </c>
      <c r="E7" s="1307"/>
      <c r="F7" s="267"/>
      <c r="G7" s="274"/>
      <c r="H7" s="274"/>
      <c r="I7" s="274">
        <v>18000000</v>
      </c>
      <c r="J7" s="275">
        <v>1258798.23</v>
      </c>
      <c r="K7" s="651"/>
      <c r="L7" s="275">
        <v>1276573.18</v>
      </c>
      <c r="M7" s="275">
        <v>-1258798.23</v>
      </c>
      <c r="N7" s="669">
        <f>J7+L7+M7</f>
        <v>1276573.1800000002</v>
      </c>
      <c r="O7" s="277"/>
      <c r="Q7" s="279"/>
      <c r="R7" s="280"/>
      <c r="S7" s="280"/>
    </row>
    <row r="8" spans="1:19" s="278" customFormat="1" ht="19.5" customHeight="1">
      <c r="A8" s="281"/>
      <c r="B8" s="273"/>
      <c r="C8" s="273">
        <v>520</v>
      </c>
      <c r="D8" s="1306" t="s">
        <v>900</v>
      </c>
      <c r="E8" s="1307"/>
      <c r="F8" s="267"/>
      <c r="G8" s="274"/>
      <c r="H8" s="274"/>
      <c r="I8" s="274">
        <v>600000</v>
      </c>
      <c r="J8" s="275">
        <v>600000</v>
      </c>
      <c r="K8" s="651"/>
      <c r="L8" s="275"/>
      <c r="M8" s="275">
        <v>-600000</v>
      </c>
      <c r="N8" s="669">
        <f aca="true" t="shared" si="0" ref="N8:N16">J8+L8+M8</f>
        <v>0</v>
      </c>
      <c r="O8" s="277"/>
      <c r="Q8" s="279"/>
      <c r="R8" s="280"/>
      <c r="S8" s="280"/>
    </row>
    <row r="9" spans="1:19" s="278" customFormat="1" ht="19.5" customHeight="1">
      <c r="A9" s="281"/>
      <c r="B9" s="273"/>
      <c r="C9" s="273">
        <v>520</v>
      </c>
      <c r="D9" s="1306" t="s">
        <v>900</v>
      </c>
      <c r="E9" s="1307"/>
      <c r="F9" s="267"/>
      <c r="G9" s="274"/>
      <c r="H9" s="274"/>
      <c r="I9" s="274">
        <v>700000</v>
      </c>
      <c r="J9" s="275">
        <v>154103.38</v>
      </c>
      <c r="K9" s="578"/>
      <c r="L9" s="275"/>
      <c r="M9" s="275">
        <v>-154103.38</v>
      </c>
      <c r="N9" s="669">
        <f t="shared" si="0"/>
        <v>0</v>
      </c>
      <c r="O9" s="277"/>
      <c r="P9" s="278">
        <f>+P8+1</f>
        <v>1</v>
      </c>
      <c r="Q9" s="279">
        <f aca="true" t="shared" si="1" ref="Q9:Q16">+S9-R9</f>
        <v>-439663.17</v>
      </c>
      <c r="R9" s="280">
        <v>439663.17</v>
      </c>
      <c r="S9" s="280">
        <f>+R8</f>
        <v>0</v>
      </c>
    </row>
    <row r="10" spans="1:19" s="278" customFormat="1" ht="19.5" customHeight="1" thickBot="1">
      <c r="A10" s="281"/>
      <c r="B10" s="273"/>
      <c r="C10" s="273">
        <v>520</v>
      </c>
      <c r="D10" s="1306" t="s">
        <v>906</v>
      </c>
      <c r="E10" s="1307"/>
      <c r="F10" s="267"/>
      <c r="G10" s="267"/>
      <c r="H10" s="267"/>
      <c r="I10" s="274">
        <v>1300000</v>
      </c>
      <c r="J10" s="275">
        <v>109372.76</v>
      </c>
      <c r="K10" s="578"/>
      <c r="L10" s="275">
        <v>111636.33</v>
      </c>
      <c r="M10" s="275">
        <v>-109372.76</v>
      </c>
      <c r="N10" s="669">
        <f t="shared" si="0"/>
        <v>111636.33</v>
      </c>
      <c r="O10" s="277"/>
      <c r="P10" s="278" t="e">
        <f>+#REF!+1</f>
        <v>#REF!</v>
      </c>
      <c r="Q10" s="279" t="e">
        <f t="shared" si="1"/>
        <v>#REF!</v>
      </c>
      <c r="R10" s="280">
        <v>195299.75</v>
      </c>
      <c r="S10" s="280" t="e">
        <f>+#REF!</f>
        <v>#REF!</v>
      </c>
    </row>
    <row r="11" spans="1:19" s="278" customFormat="1" ht="19.5" customHeight="1" thickBot="1">
      <c r="A11" s="289" t="s">
        <v>145</v>
      </c>
      <c r="B11" s="290"/>
      <c r="C11" s="291"/>
      <c r="D11" s="1313"/>
      <c r="E11" s="1314"/>
      <c r="F11" s="292"/>
      <c r="G11" s="292"/>
      <c r="H11" s="292"/>
      <c r="I11" s="757">
        <f>SUM(I7:I10)</f>
        <v>20600000</v>
      </c>
      <c r="J11" s="757">
        <f>SUM(J7:J10)</f>
        <v>2122274.3699999996</v>
      </c>
      <c r="K11" s="757"/>
      <c r="L11" s="757">
        <f>SUM(L7:L10)</f>
        <v>1388209.51</v>
      </c>
      <c r="M11" s="757">
        <f>SUM(M7:M10)</f>
        <v>-2122274.3699999996</v>
      </c>
      <c r="N11" s="757">
        <f>SUM(N7:N10)</f>
        <v>1388209.5100000002</v>
      </c>
      <c r="O11" s="757"/>
      <c r="P11" s="278" t="e">
        <f>+P10+1</f>
        <v>#REF!</v>
      </c>
      <c r="Q11" s="279">
        <f t="shared" si="1"/>
        <v>69918.59</v>
      </c>
      <c r="R11" s="280">
        <v>125381.16</v>
      </c>
      <c r="S11" s="280">
        <f>+R10</f>
        <v>195299.75</v>
      </c>
    </row>
    <row r="12" spans="1:19" s="278" customFormat="1" ht="19.5" customHeight="1">
      <c r="A12" s="281"/>
      <c r="B12" s="273"/>
      <c r="C12" s="273">
        <v>521</v>
      </c>
      <c r="D12" s="1306" t="s">
        <v>907</v>
      </c>
      <c r="E12" s="1307"/>
      <c r="F12" s="267"/>
      <c r="G12" s="267"/>
      <c r="H12" s="267"/>
      <c r="I12" s="282"/>
      <c r="J12" s="282">
        <v>1806258.77</v>
      </c>
      <c r="K12" s="578"/>
      <c r="L12" s="282">
        <v>1744263.59</v>
      </c>
      <c r="M12" s="275">
        <v>-1806258.77</v>
      </c>
      <c r="N12" s="669">
        <f t="shared" si="0"/>
        <v>1744263.5900000003</v>
      </c>
      <c r="O12" s="277"/>
      <c r="P12" s="278" t="e">
        <f>+P11+1</f>
        <v>#REF!</v>
      </c>
      <c r="Q12" s="279">
        <f t="shared" si="1"/>
        <v>73852.37</v>
      </c>
      <c r="R12" s="280">
        <v>51528.79</v>
      </c>
      <c r="S12" s="280">
        <f>+R11</f>
        <v>125381.16</v>
      </c>
    </row>
    <row r="13" spans="1:19" s="278" customFormat="1" ht="19.5" customHeight="1">
      <c r="A13" s="283"/>
      <c r="B13" s="273"/>
      <c r="C13" s="284">
        <v>521.8</v>
      </c>
      <c r="D13" s="1306" t="s">
        <v>908</v>
      </c>
      <c r="E13" s="1307"/>
      <c r="F13" s="285"/>
      <c r="G13" s="285"/>
      <c r="H13" s="285"/>
      <c r="I13" s="286"/>
      <c r="J13" s="286">
        <v>400000</v>
      </c>
      <c r="K13" s="579"/>
      <c r="L13" s="286">
        <v>400000</v>
      </c>
      <c r="M13" s="275">
        <v>-400000</v>
      </c>
      <c r="N13" s="669">
        <f t="shared" si="0"/>
        <v>400000</v>
      </c>
      <c r="O13" s="288"/>
      <c r="Q13" s="279"/>
      <c r="R13" s="280"/>
      <c r="S13" s="280"/>
    </row>
    <row r="14" spans="1:19" s="278" customFormat="1" ht="19.5" customHeight="1">
      <c r="A14" s="283"/>
      <c r="B14" s="273"/>
      <c r="C14" s="284">
        <v>523</v>
      </c>
      <c r="D14" s="1306" t="s">
        <v>909</v>
      </c>
      <c r="E14" s="1307" t="s">
        <v>909</v>
      </c>
      <c r="F14" s="285"/>
      <c r="G14" s="285"/>
      <c r="H14" s="285"/>
      <c r="I14" s="286"/>
      <c r="J14" s="286">
        <v>64098.7</v>
      </c>
      <c r="K14" s="579"/>
      <c r="L14" s="286">
        <v>49158.34</v>
      </c>
      <c r="M14" s="275">
        <v>-49158.34</v>
      </c>
      <c r="N14" s="916">
        <f t="shared" si="0"/>
        <v>64098.7</v>
      </c>
      <c r="O14" s="288"/>
      <c r="Q14" s="279"/>
      <c r="R14" s="280"/>
      <c r="S14" s="280"/>
    </row>
    <row r="15" spans="1:19" s="278" customFormat="1" ht="19.5" customHeight="1">
      <c r="A15" s="283"/>
      <c r="B15" s="273"/>
      <c r="C15" s="284" t="s">
        <v>910</v>
      </c>
      <c r="D15" s="1306" t="s">
        <v>911</v>
      </c>
      <c r="E15" s="1307"/>
      <c r="F15" s="285"/>
      <c r="G15" s="285"/>
      <c r="H15" s="285"/>
      <c r="I15" s="286"/>
      <c r="J15" s="286">
        <v>146264.39</v>
      </c>
      <c r="K15" s="579"/>
      <c r="L15" s="286"/>
      <c r="M15" s="286"/>
      <c r="N15" s="916">
        <f t="shared" si="0"/>
        <v>146264.39</v>
      </c>
      <c r="O15" s="288"/>
      <c r="Q15" s="279"/>
      <c r="R15" s="280"/>
      <c r="S15" s="280"/>
    </row>
    <row r="16" spans="1:19" s="278" customFormat="1" ht="19.5" customHeight="1" thickBot="1">
      <c r="A16" s="283"/>
      <c r="B16" s="273"/>
      <c r="C16" s="284">
        <v>194</v>
      </c>
      <c r="D16" s="1306" t="s">
        <v>913</v>
      </c>
      <c r="E16" s="1307"/>
      <c r="F16" s="285"/>
      <c r="G16" s="285"/>
      <c r="H16" s="285"/>
      <c r="I16" s="286"/>
      <c r="J16" s="286">
        <v>999943.8</v>
      </c>
      <c r="K16" s="579"/>
      <c r="L16" s="286"/>
      <c r="M16" s="275">
        <v>-999943.8</v>
      </c>
      <c r="N16" s="916">
        <f t="shared" si="0"/>
        <v>0</v>
      </c>
      <c r="O16" s="288"/>
      <c r="P16" s="278" t="e">
        <f>+P12+1</f>
        <v>#REF!</v>
      </c>
      <c r="Q16" s="279">
        <f t="shared" si="1"/>
        <v>51528.79</v>
      </c>
      <c r="R16" s="280">
        <v>0</v>
      </c>
      <c r="S16" s="280">
        <f>+R12</f>
        <v>51528.79</v>
      </c>
    </row>
    <row r="17" spans="1:19" s="278" customFormat="1" ht="19.5" customHeight="1" thickBot="1">
      <c r="A17" s="289" t="s">
        <v>145</v>
      </c>
      <c r="B17" s="290"/>
      <c r="C17" s="291"/>
      <c r="D17" s="1313"/>
      <c r="E17" s="1314"/>
      <c r="F17" s="292"/>
      <c r="G17" s="292"/>
      <c r="H17" s="292"/>
      <c r="I17" s="757">
        <f>SUM(I12:I16)</f>
        <v>0</v>
      </c>
      <c r="J17" s="757">
        <f>SUM(J12:J16)</f>
        <v>3416565.66</v>
      </c>
      <c r="K17" s="519"/>
      <c r="L17" s="757">
        <f>SUM(L12:L16)</f>
        <v>2193421.9299999997</v>
      </c>
      <c r="M17" s="757">
        <f>SUM(M12:M16)</f>
        <v>-3255360.91</v>
      </c>
      <c r="N17" s="757">
        <f>SUM(N12:N16)</f>
        <v>2354626.6800000006</v>
      </c>
      <c r="O17" s="293"/>
      <c r="Q17" s="280"/>
      <c r="R17" s="280"/>
      <c r="S17" s="280"/>
    </row>
    <row r="18" spans="1:15" ht="12.75">
      <c r="A18" s="294"/>
      <c r="B18" s="295"/>
      <c r="C18" s="295"/>
      <c r="D18" s="296"/>
      <c r="E18" s="294"/>
      <c r="F18" s="294"/>
      <c r="G18" s="294"/>
      <c r="H18" s="294"/>
      <c r="I18" s="294"/>
      <c r="J18" s="294"/>
      <c r="K18" s="294"/>
      <c r="L18" s="294"/>
      <c r="M18" s="294"/>
      <c r="N18" s="297"/>
      <c r="O18" s="298"/>
    </row>
    <row r="19" ht="12.75">
      <c r="A19" s="261" t="s">
        <v>141</v>
      </c>
    </row>
    <row r="20" spans="1:15" ht="12.75">
      <c r="A20" s="261" t="s">
        <v>396</v>
      </c>
      <c r="N20" s="262"/>
      <c r="O20" s="262"/>
    </row>
    <row r="21" ht="12.75">
      <c r="A21" s="261" t="s">
        <v>206</v>
      </c>
    </row>
    <row r="22" ht="12.75">
      <c r="A22" s="261" t="s">
        <v>601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7:E7"/>
    <mergeCell ref="D17:E17"/>
    <mergeCell ref="D10:E10"/>
    <mergeCell ref="D11:E11"/>
    <mergeCell ref="D12:E12"/>
    <mergeCell ref="D16:E16"/>
    <mergeCell ref="D14:E14"/>
    <mergeCell ref="D15:E15"/>
    <mergeCell ref="A2:M2"/>
    <mergeCell ref="N2:O2"/>
    <mergeCell ref="A3:M3"/>
    <mergeCell ref="N3:O3"/>
    <mergeCell ref="D13:E13"/>
    <mergeCell ref="C5:C6"/>
    <mergeCell ref="G5:G6"/>
    <mergeCell ref="A4:O4"/>
    <mergeCell ref="A5:A6"/>
    <mergeCell ref="F5:F6"/>
    <mergeCell ref="D5:E6"/>
    <mergeCell ref="I5:K5"/>
    <mergeCell ref="L5:O5"/>
    <mergeCell ref="D9:E9"/>
    <mergeCell ref="H5:H6"/>
    <mergeCell ref="D8:E8"/>
  </mergeCells>
  <dataValidations count="5">
    <dataValidation type="list" allowBlank="1" showInputMessage="1" showErrorMessage="1" promptTitle="Tipo" prompt="Deberá indicar seleccionar el mismo&#10;" sqref="F7:F10 F12:F17">
      <formula1>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0 J12:J14 J16:J17"/>
    <dataValidation allowBlank="1" showInputMessage="1" showErrorMessage="1" promptTitle="Epígrafe Pasivo Balance" prompt="Incluir en dónde figura del Pasivo del Balance la disposición o reducción de pólizas y préstamos" sqref="C7:C17"/>
    <dataValidation type="list" allowBlank="1" showInputMessage="1" showErrorMessage="1" promptTitle="Tipo" prompt="Deberá indicar seleccionar el mismo&#10;" sqref="F11">
      <formula1>$E$43:$E$46</formula1>
    </dataValidation>
  </dataValidations>
  <printOptions horizontalCentered="1" verticalCentered="1"/>
  <pageMargins left="0.3937007874015748" right="0.15748031496062992" top="0.7874015748031497" bottom="0.2362204724409449" header="0.5118110236220472" footer="0.2362204724409449"/>
  <pageSetup horizontalDpi="300" verticalDpi="300" orientation="landscape" paperSize="9" scale="60" r:id="rId1"/>
  <ignoredErrors>
    <ignoredError sqref="I11:M11 I17:N17" unlockedFormula="1"/>
    <ignoredError sqref="N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3:I15"/>
  <sheetViews>
    <sheetView zoomScalePageLayoutView="0" workbookViewId="0" topLeftCell="A1">
      <selection activeCell="B3" sqref="B3:I15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1020" t="s">
        <v>642</v>
      </c>
      <c r="C3" s="1021"/>
      <c r="D3" s="1021"/>
      <c r="E3" s="1021"/>
      <c r="F3" s="1021"/>
      <c r="G3" s="1021"/>
      <c r="H3" s="1021"/>
      <c r="I3" s="740">
        <v>2017</v>
      </c>
    </row>
    <row r="4" spans="2:9" s="741" customFormat="1" ht="27.75" customHeight="1">
      <c r="B4" s="1022" t="s">
        <v>912</v>
      </c>
      <c r="C4" s="1023"/>
      <c r="D4" s="1023"/>
      <c r="E4" s="1023"/>
      <c r="F4" s="1023"/>
      <c r="G4" s="1023"/>
      <c r="H4" s="1023"/>
      <c r="I4" s="1024"/>
    </row>
    <row r="5" spans="2:9" ht="12.75">
      <c r="B5" s="742"/>
      <c r="C5" s="743"/>
      <c r="D5" s="743"/>
      <c r="E5" s="743"/>
      <c r="F5" s="743"/>
      <c r="G5" s="743"/>
      <c r="H5" s="743"/>
      <c r="I5" s="744"/>
    </row>
    <row r="6" spans="2:9" ht="15.75">
      <c r="B6" s="745" t="s">
        <v>366</v>
      </c>
      <c r="C6" s="746"/>
      <c r="D6" s="746"/>
      <c r="E6" s="743"/>
      <c r="F6" s="743"/>
      <c r="G6" s="743"/>
      <c r="H6" s="743"/>
      <c r="I6" s="744"/>
    </row>
    <row r="7" spans="2:9" ht="12.75">
      <c r="B7" s="742"/>
      <c r="C7" s="743"/>
      <c r="D7" s="743"/>
      <c r="E7" s="743"/>
      <c r="F7" s="743"/>
      <c r="G7" s="743"/>
      <c r="H7" s="743"/>
      <c r="I7" s="744"/>
    </row>
    <row r="8" spans="2:9" ht="12.75">
      <c r="B8" s="747" t="s">
        <v>635</v>
      </c>
      <c r="C8" s="746"/>
      <c r="D8" s="746"/>
      <c r="E8" s="743"/>
      <c r="F8" s="743"/>
      <c r="G8" s="743"/>
      <c r="H8" s="743"/>
      <c r="I8" s="943">
        <v>9</v>
      </c>
    </row>
    <row r="9" spans="2:9" ht="12.75">
      <c r="B9" s="742"/>
      <c r="C9" s="743"/>
      <c r="D9" s="743"/>
      <c r="E9" s="743"/>
      <c r="F9" s="743"/>
      <c r="G9" s="743"/>
      <c r="H9" s="743"/>
      <c r="I9" s="944"/>
    </row>
    <row r="10" spans="2:9" ht="12.75">
      <c r="B10" s="742"/>
      <c r="C10" s="743" t="s">
        <v>636</v>
      </c>
      <c r="D10" s="743"/>
      <c r="E10" s="743"/>
      <c r="F10" s="743"/>
      <c r="G10" s="743"/>
      <c r="H10" s="743"/>
      <c r="I10" s="943">
        <v>9</v>
      </c>
    </row>
    <row r="11" spans="2:9" ht="12.75">
      <c r="B11" s="742"/>
      <c r="C11" s="748" t="s">
        <v>637</v>
      </c>
      <c r="D11" s="743" t="s">
        <v>638</v>
      </c>
      <c r="E11" s="743"/>
      <c r="F11" s="743"/>
      <c r="G11" s="743"/>
      <c r="H11" s="743"/>
      <c r="I11" s="943">
        <v>9</v>
      </c>
    </row>
    <row r="12" spans="2:9" ht="12.75">
      <c r="B12" s="742"/>
      <c r="C12" s="748" t="s">
        <v>639</v>
      </c>
      <c r="D12" s="743" t="s">
        <v>640</v>
      </c>
      <c r="E12" s="743"/>
      <c r="F12" s="743"/>
      <c r="G12" s="743"/>
      <c r="H12" s="743"/>
      <c r="I12" s="943"/>
    </row>
    <row r="13" spans="2:9" ht="7.5" customHeight="1">
      <c r="B13" s="742"/>
      <c r="C13" s="743"/>
      <c r="D13" s="743"/>
      <c r="E13" s="743"/>
      <c r="F13" s="743"/>
      <c r="G13" s="743"/>
      <c r="H13" s="743"/>
      <c r="I13" s="944"/>
    </row>
    <row r="14" spans="2:9" ht="12.75">
      <c r="B14" s="742"/>
      <c r="C14" s="743" t="s">
        <v>641</v>
      </c>
      <c r="D14" s="743"/>
      <c r="E14" s="743"/>
      <c r="F14" s="743"/>
      <c r="G14" s="743"/>
      <c r="H14" s="743"/>
      <c r="I14" s="943"/>
    </row>
    <row r="15" spans="2:9" ht="13.5" thickBot="1">
      <c r="B15" s="750"/>
      <c r="C15" s="751"/>
      <c r="D15" s="751"/>
      <c r="E15" s="751"/>
      <c r="F15" s="751"/>
      <c r="G15" s="751"/>
      <c r="H15" s="751"/>
      <c r="I15" s="752"/>
    </row>
  </sheetData>
  <sheetProtection/>
  <mergeCells count="2">
    <mergeCell ref="B3:H3"/>
    <mergeCell ref="B4:I4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B2:L54"/>
  <sheetViews>
    <sheetView zoomScalePageLayoutView="0" workbookViewId="0" topLeftCell="A37">
      <selection activeCell="H33" sqref="H33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57421875" style="133" customWidth="1"/>
  </cols>
  <sheetData>
    <row r="1" ht="13.5" thickBot="1"/>
    <row r="2" spans="2:9" ht="14.25">
      <c r="B2" s="1363" t="s">
        <v>322</v>
      </c>
      <c r="C2" s="1364"/>
      <c r="D2" s="1364"/>
      <c r="E2" s="1364"/>
      <c r="F2" s="1364"/>
      <c r="G2" s="1364"/>
      <c r="H2" s="1364"/>
      <c r="I2" s="1361">
        <v>2017</v>
      </c>
    </row>
    <row r="3" spans="2:9" ht="24.75" customHeight="1" thickBot="1">
      <c r="B3" s="1365" t="s">
        <v>343</v>
      </c>
      <c r="C3" s="1366"/>
      <c r="D3" s="1366"/>
      <c r="E3" s="1366"/>
      <c r="F3" s="1366"/>
      <c r="G3" s="1366"/>
      <c r="H3" s="1366"/>
      <c r="I3" s="1362"/>
    </row>
    <row r="4" spans="2:9" ht="33" customHeight="1" thickBot="1">
      <c r="B4" s="1367" t="str">
        <f>CPYG!B3</f>
        <v>ENTIDAD: INSTITUTO TECNOLOGICO Y DE ENERGIAS RENOVABLES S.A.</v>
      </c>
      <c r="C4" s="1368"/>
      <c r="D4" s="1368"/>
      <c r="E4" s="1368"/>
      <c r="F4" s="1368"/>
      <c r="G4" s="1368"/>
      <c r="H4" s="1369"/>
      <c r="I4" s="301" t="s">
        <v>198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371" t="s">
        <v>344</v>
      </c>
      <c r="D6" s="1371"/>
      <c r="E6" s="1371"/>
      <c r="F6" s="1371"/>
      <c r="G6" s="1371"/>
      <c r="H6" s="1371"/>
      <c r="I6" s="1372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347" t="s">
        <v>345</v>
      </c>
      <c r="C8" s="1348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2" t="s">
        <v>387</v>
      </c>
      <c r="C10" s="303" t="s">
        <v>346</v>
      </c>
      <c r="D10" s="303"/>
      <c r="E10" s="303"/>
      <c r="F10" s="158"/>
      <c r="G10" s="158"/>
      <c r="H10" s="158"/>
      <c r="I10" s="232"/>
    </row>
    <row r="11" spans="2:9" ht="12.75">
      <c r="B11" s="302"/>
      <c r="C11" s="303" t="s">
        <v>347</v>
      </c>
      <c r="D11" s="303"/>
      <c r="E11" s="303"/>
      <c r="F11" s="158"/>
      <c r="G11" s="158"/>
      <c r="H11" s="158"/>
      <c r="I11" s="232"/>
    </row>
    <row r="12" spans="2:9" ht="12.75">
      <c r="B12" s="302"/>
      <c r="C12" s="303" t="s">
        <v>349</v>
      </c>
      <c r="D12" s="303"/>
      <c r="E12" s="303"/>
      <c r="F12" s="158"/>
      <c r="G12" s="158"/>
      <c r="H12" s="158"/>
      <c r="I12" s="232"/>
    </row>
    <row r="13" spans="2:9" ht="12.75">
      <c r="B13" s="302"/>
      <c r="C13" s="303" t="s">
        <v>350</v>
      </c>
      <c r="D13" s="303"/>
      <c r="E13" s="303"/>
      <c r="F13" s="158"/>
      <c r="G13" s="158"/>
      <c r="H13" s="158"/>
      <c r="I13" s="232"/>
    </row>
    <row r="14" spans="2:9" ht="12.75">
      <c r="B14" s="302"/>
      <c r="C14" s="303" t="s">
        <v>351</v>
      </c>
      <c r="D14" s="303"/>
      <c r="E14" s="303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347" t="s">
        <v>352</v>
      </c>
      <c r="C16" s="1348"/>
      <c r="D16" s="1348"/>
      <c r="E16" s="1348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373" t="s">
        <v>353</v>
      </c>
      <c r="C18" s="1374"/>
      <c r="D18" s="1374"/>
      <c r="E18" s="1374"/>
      <c r="F18" s="1375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370" t="s">
        <v>354</v>
      </c>
      <c r="H20" s="1370"/>
      <c r="I20" s="925">
        <f>D36</f>
        <v>272</v>
      </c>
    </row>
    <row r="21" spans="2:12" ht="12.75">
      <c r="B21" s="231"/>
      <c r="C21" s="158"/>
      <c r="D21" s="158"/>
      <c r="E21" s="158"/>
      <c r="F21" s="158"/>
      <c r="G21" s="1370" t="s">
        <v>355</v>
      </c>
      <c r="H21" s="1370"/>
      <c r="I21" s="925">
        <f>I36+I44</f>
        <v>5723353.604675088</v>
      </c>
      <c r="L21" s="169"/>
    </row>
    <row r="22" spans="2:9" ht="12.75">
      <c r="B22" s="231"/>
      <c r="C22" s="158"/>
      <c r="D22" s="158"/>
      <c r="E22" s="158"/>
      <c r="F22" s="158"/>
      <c r="G22" s="158"/>
      <c r="H22" s="158"/>
      <c r="I22" s="232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652"/>
    </row>
    <row r="25" spans="2:9" ht="12.75">
      <c r="B25" s="1347" t="s">
        <v>356</v>
      </c>
      <c r="C25" s="1348"/>
      <c r="D25" s="1348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268" t="s">
        <v>357</v>
      </c>
      <c r="C27" s="1357"/>
      <c r="D27" s="1356" t="s">
        <v>358</v>
      </c>
      <c r="E27" s="1356" t="s">
        <v>359</v>
      </c>
      <c r="F27" s="1356"/>
      <c r="G27" s="1356"/>
      <c r="H27" s="1356"/>
      <c r="I27" s="1356"/>
    </row>
    <row r="28" spans="2:9" ht="13.5" thickBot="1">
      <c r="B28" s="1358"/>
      <c r="C28" s="1359"/>
      <c r="D28" s="1356"/>
      <c r="E28" s="1356" t="s">
        <v>360</v>
      </c>
      <c r="F28" s="1356" t="s">
        <v>361</v>
      </c>
      <c r="G28" s="1356" t="s">
        <v>362</v>
      </c>
      <c r="H28" s="1356" t="s">
        <v>363</v>
      </c>
      <c r="I28" s="1356" t="s">
        <v>365</v>
      </c>
    </row>
    <row r="29" spans="2:9" ht="13.5" thickBot="1">
      <c r="B29" s="1255"/>
      <c r="C29" s="1360"/>
      <c r="D29" s="1356"/>
      <c r="E29" s="1356"/>
      <c r="F29" s="1356"/>
      <c r="G29" s="1356"/>
      <c r="H29" s="1356"/>
      <c r="I29" s="1356"/>
    </row>
    <row r="30" spans="2:9" ht="15" customHeight="1">
      <c r="B30" s="1342" t="s">
        <v>366</v>
      </c>
      <c r="C30" s="1343"/>
      <c r="D30" s="948">
        <v>9</v>
      </c>
      <c r="E30" s="305">
        <v>14109.01</v>
      </c>
      <c r="F30" s="305"/>
      <c r="G30" s="305"/>
      <c r="H30" s="305"/>
      <c r="I30" s="306">
        <f aca="true" t="shared" si="0" ref="I30:I35">E30+F30+G30+H30</f>
        <v>14109.01</v>
      </c>
    </row>
    <row r="31" spans="2:9" ht="15" customHeight="1">
      <c r="B31" s="1342" t="s">
        <v>367</v>
      </c>
      <c r="C31" s="1343"/>
      <c r="D31" s="926">
        <v>1</v>
      </c>
      <c r="E31" s="307">
        <v>70112.98</v>
      </c>
      <c r="F31" s="307">
        <v>20000</v>
      </c>
      <c r="G31" s="307"/>
      <c r="H31" s="307"/>
      <c r="I31" s="308">
        <f t="shared" si="0"/>
        <v>90112.98</v>
      </c>
    </row>
    <row r="32" spans="2:9" ht="15" customHeight="1">
      <c r="B32" s="1342" t="s">
        <v>368</v>
      </c>
      <c r="C32" s="1343"/>
      <c r="D32" s="926">
        <v>4</v>
      </c>
      <c r="E32" s="307">
        <v>197484.32</v>
      </c>
      <c r="F32" s="307">
        <v>22262.32</v>
      </c>
      <c r="G32" s="307"/>
      <c r="H32" s="307"/>
      <c r="I32" s="308">
        <f t="shared" si="0"/>
        <v>219746.64</v>
      </c>
    </row>
    <row r="33" spans="2:9" ht="15" customHeight="1">
      <c r="B33" s="1342" t="s">
        <v>369</v>
      </c>
      <c r="C33" s="1343"/>
      <c r="D33" s="926">
        <v>72</v>
      </c>
      <c r="E33" s="307">
        <v>1710659.5840000003</v>
      </c>
      <c r="F33" s="307">
        <v>30862.16</v>
      </c>
      <c r="G33" s="307"/>
      <c r="H33" s="307"/>
      <c r="I33" s="308">
        <f t="shared" si="0"/>
        <v>1741521.7440000002</v>
      </c>
    </row>
    <row r="34" spans="2:9" ht="15" customHeight="1">
      <c r="B34" s="1342" t="s">
        <v>370</v>
      </c>
      <c r="C34" s="1343"/>
      <c r="D34" s="926">
        <v>88</v>
      </c>
      <c r="E34" s="307">
        <v>1133447.5732375688</v>
      </c>
      <c r="F34" s="307">
        <v>21208.16</v>
      </c>
      <c r="G34" s="307"/>
      <c r="H34" s="307"/>
      <c r="I34" s="308">
        <f t="shared" si="0"/>
        <v>1154655.7332375688</v>
      </c>
    </row>
    <row r="35" spans="2:9" ht="15" customHeight="1">
      <c r="B35" s="1342" t="s">
        <v>42</v>
      </c>
      <c r="C35" s="1343"/>
      <c r="D35" s="926">
        <v>98</v>
      </c>
      <c r="E35" s="307">
        <v>1090159.7250387596</v>
      </c>
      <c r="F35" s="307"/>
      <c r="G35" s="307"/>
      <c r="H35" s="307"/>
      <c r="I35" s="308">
        <f t="shared" si="0"/>
        <v>1090159.7250387596</v>
      </c>
    </row>
    <row r="36" spans="2:10" ht="15" customHeight="1" thickBot="1">
      <c r="B36" s="1345" t="s">
        <v>627</v>
      </c>
      <c r="C36" s="1346"/>
      <c r="D36" s="309">
        <f aca="true" t="shared" si="1" ref="D36:I36">D30+D31+D32+D33+D34+D35</f>
        <v>272</v>
      </c>
      <c r="E36" s="309">
        <f t="shared" si="1"/>
        <v>4215973.192276329</v>
      </c>
      <c r="F36" s="309">
        <f t="shared" si="1"/>
        <v>94332.64</v>
      </c>
      <c r="G36" s="309">
        <f t="shared" si="1"/>
        <v>0</v>
      </c>
      <c r="H36" s="309">
        <f t="shared" si="1"/>
        <v>0</v>
      </c>
      <c r="I36" s="310">
        <f t="shared" si="1"/>
        <v>4310305.8322763285</v>
      </c>
      <c r="J36" s="169"/>
    </row>
    <row r="37" spans="2:9" ht="12.75">
      <c r="B37" s="231"/>
      <c r="C37" s="158"/>
      <c r="D37" s="158"/>
      <c r="E37" s="158"/>
      <c r="F37" s="158"/>
      <c r="G37" s="158"/>
      <c r="H37" s="158"/>
      <c r="I37" s="232"/>
    </row>
    <row r="38" spans="2:9" ht="12.75">
      <c r="B38" s="231"/>
      <c r="C38" s="158"/>
      <c r="D38" s="158"/>
      <c r="E38" s="158"/>
      <c r="F38" s="158"/>
      <c r="G38" s="158"/>
      <c r="H38" s="158"/>
      <c r="I38" s="232"/>
    </row>
    <row r="39" spans="2:9" ht="12.75">
      <c r="B39" s="1347" t="s">
        <v>371</v>
      </c>
      <c r="C39" s="1348"/>
      <c r="D39" s="1348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349" t="s">
        <v>612</v>
      </c>
      <c r="C41" s="1350"/>
      <c r="D41" s="1350"/>
      <c r="E41" s="1351"/>
      <c r="F41" s="1353" t="s">
        <v>120</v>
      </c>
      <c r="G41" s="1354"/>
      <c r="H41" s="1354"/>
      <c r="I41" s="1355"/>
    </row>
    <row r="42" spans="2:9" ht="15" customHeight="1">
      <c r="B42" s="1342" t="s">
        <v>388</v>
      </c>
      <c r="C42" s="1344"/>
      <c r="D42" s="304"/>
      <c r="E42" s="158"/>
      <c r="F42" s="158"/>
      <c r="G42" s="158"/>
      <c r="H42" s="158"/>
      <c r="I42" s="311">
        <f>12000+8000+290000+12000</f>
        <v>322000</v>
      </c>
    </row>
    <row r="43" spans="2:9" ht="15" customHeight="1">
      <c r="B43" s="1342" t="s">
        <v>372</v>
      </c>
      <c r="C43" s="1344"/>
      <c r="D43" s="304"/>
      <c r="E43" s="158"/>
      <c r="F43" s="158"/>
      <c r="G43" s="158"/>
      <c r="H43" s="158"/>
      <c r="I43" s="312">
        <v>1091047.77239876</v>
      </c>
    </row>
    <row r="44" spans="2:9" ht="15" customHeight="1" thickBot="1">
      <c r="B44" s="1345" t="s">
        <v>373</v>
      </c>
      <c r="C44" s="1352"/>
      <c r="D44" s="313"/>
      <c r="E44" s="314"/>
      <c r="F44" s="314"/>
      <c r="G44" s="314"/>
      <c r="H44" s="314"/>
      <c r="I44" s="315">
        <f>I42+I43</f>
        <v>1413047.77239876</v>
      </c>
    </row>
    <row r="45" spans="2:9" ht="12.75">
      <c r="B45" s="231"/>
      <c r="C45" s="158"/>
      <c r="D45" s="158"/>
      <c r="E45" s="158"/>
      <c r="F45" s="158"/>
      <c r="G45" s="158"/>
      <c r="H45" s="158"/>
      <c r="I45" s="652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6" t="s">
        <v>374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333" t="s">
        <v>43</v>
      </c>
      <c r="C49" s="1334"/>
      <c r="D49" s="1334"/>
      <c r="E49" s="1334"/>
      <c r="F49" s="1334"/>
      <c r="G49" s="1334"/>
      <c r="H49" s="1334"/>
      <c r="I49" s="1335"/>
    </row>
    <row r="50" spans="2:9" ht="12.75">
      <c r="B50" s="1336"/>
      <c r="C50" s="1337"/>
      <c r="D50" s="1337"/>
      <c r="E50" s="1337"/>
      <c r="F50" s="1337"/>
      <c r="G50" s="1337"/>
      <c r="H50" s="1337"/>
      <c r="I50" s="1338"/>
    </row>
    <row r="51" spans="2:9" ht="12.75">
      <c r="B51" s="1336"/>
      <c r="C51" s="1337"/>
      <c r="D51" s="1337"/>
      <c r="E51" s="1337"/>
      <c r="F51" s="1337"/>
      <c r="G51" s="1337"/>
      <c r="H51" s="1337"/>
      <c r="I51" s="1338"/>
    </row>
    <row r="52" spans="2:9" ht="12.75">
      <c r="B52" s="1336"/>
      <c r="C52" s="1337"/>
      <c r="D52" s="1337"/>
      <c r="E52" s="1337"/>
      <c r="F52" s="1337"/>
      <c r="G52" s="1337"/>
      <c r="H52" s="1337"/>
      <c r="I52" s="1338"/>
    </row>
    <row r="53" spans="2:9" ht="12.75">
      <c r="B53" s="1339"/>
      <c r="C53" s="1340"/>
      <c r="D53" s="1340"/>
      <c r="E53" s="1340"/>
      <c r="F53" s="1340"/>
      <c r="G53" s="1340"/>
      <c r="H53" s="1340"/>
      <c r="I53" s="1341"/>
    </row>
    <row r="54" spans="2:9" ht="13.5" thickBot="1">
      <c r="B54" s="317"/>
      <c r="C54" s="314"/>
      <c r="D54" s="314"/>
      <c r="E54" s="314"/>
      <c r="F54" s="314"/>
      <c r="G54" s="314"/>
      <c r="H54" s="314"/>
      <c r="I54" s="318"/>
    </row>
  </sheetData>
  <sheetProtection/>
  <mergeCells count="33">
    <mergeCell ref="I2:I3"/>
    <mergeCell ref="B2:H2"/>
    <mergeCell ref="B3:H3"/>
    <mergeCell ref="B4:H4"/>
    <mergeCell ref="G21:H21"/>
    <mergeCell ref="C6:I6"/>
    <mergeCell ref="G20:H20"/>
    <mergeCell ref="B8:C8"/>
    <mergeCell ref="B16:E16"/>
    <mergeCell ref="B18:F18"/>
    <mergeCell ref="B25:D25"/>
    <mergeCell ref="D27:D29"/>
    <mergeCell ref="E28:E29"/>
    <mergeCell ref="H28:H29"/>
    <mergeCell ref="I28:I29"/>
    <mergeCell ref="F28:F29"/>
    <mergeCell ref="G28:G29"/>
    <mergeCell ref="B27:C29"/>
    <mergeCell ref="E27:I27"/>
    <mergeCell ref="B49:I53"/>
    <mergeCell ref="B30:C30"/>
    <mergeCell ref="B31:C31"/>
    <mergeCell ref="B32:C32"/>
    <mergeCell ref="B33:C33"/>
    <mergeCell ref="B35:C35"/>
    <mergeCell ref="B42:C42"/>
    <mergeCell ref="B36:C36"/>
    <mergeCell ref="B39:D39"/>
    <mergeCell ref="B41:E41"/>
    <mergeCell ref="B34:C34"/>
    <mergeCell ref="B43:C43"/>
    <mergeCell ref="B44:C44"/>
    <mergeCell ref="F41:I41"/>
  </mergeCells>
  <printOptions horizontalCentered="1" verticalCentered="1"/>
  <pageMargins left="0.4724409448818898" right="0.4724409448818898" top="0.984251968503937" bottom="0.984251968503937" header="0" footer="0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B2:P12"/>
  <sheetViews>
    <sheetView zoomScalePageLayoutView="0" workbookViewId="0" topLeftCell="A1">
      <selection activeCell="F27" sqref="F27"/>
    </sheetView>
  </sheetViews>
  <sheetFormatPr defaultColWidth="11.57421875" defaultRowHeight="12.75"/>
  <cols>
    <col min="1" max="1" width="2.28125" style="851" customWidth="1"/>
    <col min="2" max="2" width="9.00390625" style="851" customWidth="1"/>
    <col min="3" max="3" width="14.140625" style="851" bestFit="1" customWidth="1"/>
    <col min="4" max="4" width="8.140625" style="851" customWidth="1"/>
    <col min="5" max="5" width="10.7109375" style="851" customWidth="1"/>
    <col min="6" max="6" width="12.28125" style="851" customWidth="1"/>
    <col min="7" max="7" width="11.57421875" style="851" customWidth="1"/>
    <col min="8" max="8" width="15.28125" style="851" customWidth="1"/>
    <col min="9" max="9" width="13.28125" style="851" customWidth="1"/>
    <col min="10" max="10" width="20.421875" style="851" customWidth="1"/>
    <col min="11" max="11" width="21.00390625" style="851" customWidth="1"/>
    <col min="12" max="12" width="9.28125" style="851" bestFit="1" customWidth="1"/>
    <col min="13" max="13" width="7.57421875" style="851" customWidth="1"/>
    <col min="14" max="14" width="15.8515625" style="851" customWidth="1"/>
    <col min="15" max="15" width="11.57421875" style="851" customWidth="1"/>
    <col min="16" max="16" width="18.7109375" style="851" customWidth="1"/>
    <col min="17" max="16384" width="11.57421875" style="851" customWidth="1"/>
  </cols>
  <sheetData>
    <row r="1" ht="19.5" customHeight="1"/>
    <row r="2" spans="2:16" s="839" customFormat="1" ht="11.25">
      <c r="B2" s="1376" t="s">
        <v>815</v>
      </c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838"/>
      <c r="O2" s="838"/>
      <c r="P2" s="838"/>
    </row>
    <row r="3" s="840" customFormat="1" ht="11.25"/>
    <row r="4" spans="2:3" s="840" customFormat="1" ht="11.25">
      <c r="B4" s="841" t="s">
        <v>816</v>
      </c>
      <c r="C4" s="840" t="s">
        <v>982</v>
      </c>
    </row>
    <row r="5" s="840" customFormat="1" ht="11.25">
      <c r="B5" s="841"/>
    </row>
    <row r="6" spans="2:16" s="840" customFormat="1" ht="11.25">
      <c r="B6" s="838" t="s">
        <v>817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42"/>
      <c r="O6" s="842"/>
      <c r="P6" s="842"/>
    </row>
    <row r="7" spans="2:16" s="840" customFormat="1" ht="11.25" customHeight="1" thickBot="1"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</row>
    <row r="8" spans="2:14" s="841" customFormat="1" ht="27" customHeight="1" thickBot="1">
      <c r="B8" s="844"/>
      <c r="C8" s="844"/>
      <c r="D8" s="844"/>
      <c r="E8" s="844"/>
      <c r="F8" s="1377" t="s">
        <v>818</v>
      </c>
      <c r="G8" s="1378"/>
      <c r="H8" s="844"/>
      <c r="I8" s="844"/>
      <c r="J8" s="1379" t="s">
        <v>819</v>
      </c>
      <c r="K8" s="1380"/>
      <c r="L8" s="929"/>
      <c r="M8" s="844"/>
      <c r="N8" s="844"/>
    </row>
    <row r="9" spans="2:14" s="849" customFormat="1" ht="27" customHeight="1">
      <c r="B9" s="845" t="s">
        <v>820</v>
      </c>
      <c r="C9" s="846" t="s">
        <v>821</v>
      </c>
      <c r="D9" s="847" t="s">
        <v>822</v>
      </c>
      <c r="E9" s="847" t="s">
        <v>823</v>
      </c>
      <c r="F9" s="852">
        <v>2016</v>
      </c>
      <c r="G9" s="853">
        <v>2017</v>
      </c>
      <c r="H9" s="847" t="s">
        <v>824</v>
      </c>
      <c r="I9" s="847" t="s">
        <v>825</v>
      </c>
      <c r="J9" s="847" t="s">
        <v>914</v>
      </c>
      <c r="K9" s="847" t="s">
        <v>915</v>
      </c>
      <c r="L9" s="847" t="s">
        <v>826</v>
      </c>
      <c r="M9" s="847" t="s">
        <v>145</v>
      </c>
      <c r="N9" s="848" t="s">
        <v>827</v>
      </c>
    </row>
    <row r="10" spans="2:14" s="843" customFormat="1" ht="11.25">
      <c r="B10" s="854">
        <v>1</v>
      </c>
      <c r="C10" s="850" t="s">
        <v>916</v>
      </c>
      <c r="D10" s="850"/>
      <c r="E10" s="931">
        <v>60096.84</v>
      </c>
      <c r="F10" s="931"/>
      <c r="G10" s="931"/>
      <c r="H10" s="931">
        <v>10016.14</v>
      </c>
      <c r="I10" s="931">
        <v>20000</v>
      </c>
      <c r="J10" s="931"/>
      <c r="K10" s="931"/>
      <c r="L10" s="931">
        <v>13504.560000000001</v>
      </c>
      <c r="M10" s="931">
        <v>90112.98</v>
      </c>
      <c r="N10" s="855"/>
    </row>
    <row r="11" spans="2:14" ht="12">
      <c r="B11" s="854">
        <v>4</v>
      </c>
      <c r="C11" s="850" t="s">
        <v>917</v>
      </c>
      <c r="D11" s="850"/>
      <c r="E11" s="931">
        <v>161760</v>
      </c>
      <c r="F11" s="931"/>
      <c r="G11" s="931"/>
      <c r="H11" s="931">
        <v>26960</v>
      </c>
      <c r="I11" s="931">
        <v>22262.32</v>
      </c>
      <c r="J11" s="931">
        <v>8764.32</v>
      </c>
      <c r="K11" s="931"/>
      <c r="L11" s="931">
        <v>54018.240000000005</v>
      </c>
      <c r="M11" s="931">
        <v>219746.64</v>
      </c>
      <c r="N11" s="856"/>
    </row>
    <row r="12" spans="2:14" ht="12.75" thickBot="1">
      <c r="B12" s="857"/>
      <c r="C12" s="858"/>
      <c r="D12" s="858"/>
      <c r="E12" s="858"/>
      <c r="F12" s="858"/>
      <c r="G12" s="858"/>
      <c r="H12" s="858"/>
      <c r="I12" s="858"/>
      <c r="J12" s="858"/>
      <c r="K12" s="858"/>
      <c r="L12" s="858"/>
      <c r="M12" s="858"/>
      <c r="N12" s="859"/>
    </row>
  </sheetData>
  <sheetProtection/>
  <mergeCells count="3">
    <mergeCell ref="B2:M2"/>
    <mergeCell ref="F8:G8"/>
    <mergeCell ref="J8:K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B2:Q22"/>
  <sheetViews>
    <sheetView zoomScalePageLayoutView="0" workbookViewId="0" topLeftCell="A1">
      <selection activeCell="E22" sqref="E22"/>
    </sheetView>
  </sheetViews>
  <sheetFormatPr defaultColWidth="11.57421875" defaultRowHeight="12.75"/>
  <cols>
    <col min="1" max="1" width="2.7109375" style="851" customWidth="1"/>
    <col min="2" max="2" width="9.00390625" style="851" customWidth="1"/>
    <col min="3" max="3" width="32.140625" style="851" bestFit="1" customWidth="1"/>
    <col min="4" max="4" width="8.140625" style="851" customWidth="1"/>
    <col min="5" max="5" width="10.7109375" style="851" customWidth="1"/>
    <col min="6" max="6" width="12.28125" style="851" customWidth="1"/>
    <col min="7" max="7" width="11.57421875" style="851" customWidth="1"/>
    <col min="8" max="8" width="15.28125" style="851" customWidth="1"/>
    <col min="9" max="9" width="13.57421875" style="851" customWidth="1"/>
    <col min="10" max="12" width="15.7109375" style="851" customWidth="1"/>
    <col min="13" max="13" width="9.28125" style="851" bestFit="1" customWidth="1"/>
    <col min="14" max="14" width="8.7109375" style="851" bestFit="1" customWidth="1"/>
    <col min="15" max="15" width="15.8515625" style="851" customWidth="1"/>
    <col min="16" max="16" width="11.57421875" style="851" customWidth="1"/>
    <col min="17" max="17" width="18.7109375" style="851" customWidth="1"/>
    <col min="18" max="16384" width="11.57421875" style="851" customWidth="1"/>
  </cols>
  <sheetData>
    <row r="1" ht="25.5" customHeight="1"/>
    <row r="2" spans="2:17" s="839" customFormat="1" ht="11.25">
      <c r="B2" s="1376" t="s">
        <v>815</v>
      </c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1376"/>
      <c r="O2" s="838"/>
      <c r="P2" s="838"/>
      <c r="Q2" s="838"/>
    </row>
    <row r="3" s="840" customFormat="1" ht="11.25"/>
    <row r="4" spans="2:3" s="840" customFormat="1" ht="11.25">
      <c r="B4" s="841" t="s">
        <v>816</v>
      </c>
      <c r="C4" s="840" t="s">
        <v>982</v>
      </c>
    </row>
    <row r="5" s="840" customFormat="1" ht="11.25">
      <c r="B5" s="841"/>
    </row>
    <row r="6" spans="2:17" s="840" customFormat="1" ht="11.25">
      <c r="B6" s="838" t="s">
        <v>828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42"/>
      <c r="P6" s="842"/>
      <c r="Q6" s="842"/>
    </row>
    <row r="7" spans="2:17" s="840" customFormat="1" ht="12" thickBot="1"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</row>
    <row r="8" spans="2:15" s="841" customFormat="1" ht="27" customHeight="1" thickBot="1">
      <c r="B8" s="844"/>
      <c r="C8" s="844"/>
      <c r="D8" s="844"/>
      <c r="E8" s="844"/>
      <c r="F8" s="1377" t="s">
        <v>818</v>
      </c>
      <c r="G8" s="1378"/>
      <c r="H8" s="844"/>
      <c r="I8" s="844"/>
      <c r="J8" s="1379" t="s">
        <v>819</v>
      </c>
      <c r="K8" s="1380"/>
      <c r="L8" s="1381"/>
      <c r="M8" s="844"/>
      <c r="N8" s="844"/>
      <c r="O8" s="844"/>
    </row>
    <row r="9" spans="2:15" s="849" customFormat="1" ht="27" customHeight="1">
      <c r="B9" s="845" t="s">
        <v>829</v>
      </c>
      <c r="C9" s="846" t="s">
        <v>821</v>
      </c>
      <c r="D9" s="847" t="s">
        <v>822</v>
      </c>
      <c r="E9" s="847" t="s">
        <v>823</v>
      </c>
      <c r="F9" s="852">
        <v>2016</v>
      </c>
      <c r="G9" s="853">
        <v>2017</v>
      </c>
      <c r="H9" s="847" t="s">
        <v>824</v>
      </c>
      <c r="I9" s="847" t="s">
        <v>825</v>
      </c>
      <c r="J9" s="847" t="s">
        <v>918</v>
      </c>
      <c r="K9" s="847" t="s">
        <v>919</v>
      </c>
      <c r="L9" s="847" t="s">
        <v>920</v>
      </c>
      <c r="M9" s="847" t="s">
        <v>826</v>
      </c>
      <c r="N9" s="847" t="s">
        <v>145</v>
      </c>
      <c r="O9" s="848" t="s">
        <v>827</v>
      </c>
    </row>
    <row r="10" spans="2:15" s="843" customFormat="1" ht="11.25">
      <c r="B10" s="854">
        <v>6</v>
      </c>
      <c r="C10" s="850" t="s">
        <v>921</v>
      </c>
      <c r="D10" s="850">
        <v>5</v>
      </c>
      <c r="E10" s="931">
        <v>52452</v>
      </c>
      <c r="F10" s="931"/>
      <c r="G10" s="931">
        <v>1573.56</v>
      </c>
      <c r="H10" s="931">
        <v>9004.260000000002</v>
      </c>
      <c r="I10" s="931"/>
      <c r="J10" s="931">
        <v>8118.63</v>
      </c>
      <c r="K10" s="931">
        <v>15990.24</v>
      </c>
      <c r="L10" s="931"/>
      <c r="M10" s="931">
        <v>27697.491530000003</v>
      </c>
      <c r="N10" s="931">
        <v>87138.69</v>
      </c>
      <c r="O10" s="932"/>
    </row>
    <row r="11" spans="2:15" ht="12">
      <c r="B11" s="854">
        <v>11</v>
      </c>
      <c r="C11" s="850" t="s">
        <v>922</v>
      </c>
      <c r="D11" s="850">
        <v>4</v>
      </c>
      <c r="E11" s="931">
        <v>139200.76799999998</v>
      </c>
      <c r="F11" s="931"/>
      <c r="G11" s="931">
        <v>3441.352319999999</v>
      </c>
      <c r="H11" s="931">
        <v>23773.68672</v>
      </c>
      <c r="I11" s="931"/>
      <c r="J11" s="931">
        <v>14988.24</v>
      </c>
      <c r="K11" s="931">
        <v>40093.6</v>
      </c>
      <c r="L11" s="931">
        <v>5916.32</v>
      </c>
      <c r="M11" s="931">
        <v>70341.91165535999</v>
      </c>
      <c r="N11" s="931">
        <v>227413.96704</v>
      </c>
      <c r="O11" s="933"/>
    </row>
    <row r="12" spans="2:15" ht="12">
      <c r="B12" s="854">
        <v>6</v>
      </c>
      <c r="C12" s="850" t="s">
        <v>923</v>
      </c>
      <c r="D12" s="850">
        <v>3</v>
      </c>
      <c r="E12" s="931">
        <v>95586.75</v>
      </c>
      <c r="F12" s="931"/>
      <c r="G12" s="931">
        <v>2409.75</v>
      </c>
      <c r="H12" s="931">
        <v>16332.75</v>
      </c>
      <c r="I12" s="931"/>
      <c r="J12" s="931">
        <v>8257.44</v>
      </c>
      <c r="K12" s="931">
        <v>10561.199999999992</v>
      </c>
      <c r="L12" s="931">
        <v>1000</v>
      </c>
      <c r="M12" s="931">
        <v>45495.442455</v>
      </c>
      <c r="N12" s="931">
        <v>134147.88999999998</v>
      </c>
      <c r="O12" s="933"/>
    </row>
    <row r="13" spans="2:15" ht="12">
      <c r="B13" s="854">
        <v>3</v>
      </c>
      <c r="C13" s="850" t="s">
        <v>924</v>
      </c>
      <c r="D13" s="850">
        <v>2</v>
      </c>
      <c r="E13" s="931">
        <v>50797.938</v>
      </c>
      <c r="F13" s="931"/>
      <c r="G13" s="931">
        <v>1523.9381399999997</v>
      </c>
      <c r="H13" s="931">
        <v>8720.312689999999</v>
      </c>
      <c r="I13" s="931"/>
      <c r="J13" s="931">
        <v>4094.01</v>
      </c>
      <c r="K13" s="931">
        <v>2000</v>
      </c>
      <c r="L13" s="931"/>
      <c r="M13" s="931">
        <v>20745.085438470003</v>
      </c>
      <c r="N13" s="931">
        <v>67136.19883000001</v>
      </c>
      <c r="O13" s="933"/>
    </row>
    <row r="14" spans="2:15" ht="12">
      <c r="B14" s="854">
        <v>14</v>
      </c>
      <c r="C14" s="850" t="s">
        <v>925</v>
      </c>
      <c r="D14" s="850" t="s">
        <v>926</v>
      </c>
      <c r="E14" s="931">
        <v>254630.03399999996</v>
      </c>
      <c r="F14" s="931"/>
      <c r="G14" s="931">
        <v>6590.96514</v>
      </c>
      <c r="H14" s="931">
        <v>43536.83318999999</v>
      </c>
      <c r="I14" s="931"/>
      <c r="J14" s="931">
        <v>19221.030000000002</v>
      </c>
      <c r="K14" s="931">
        <v>19435.8</v>
      </c>
      <c r="L14" s="931">
        <v>1500</v>
      </c>
      <c r="M14" s="931">
        <v>105325.32665997</v>
      </c>
      <c r="N14" s="931">
        <v>344914.66232999996</v>
      </c>
      <c r="O14" s="933"/>
    </row>
    <row r="15" spans="2:15" ht="12">
      <c r="B15" s="854">
        <v>7</v>
      </c>
      <c r="C15" s="850" t="s">
        <v>925</v>
      </c>
      <c r="D15" s="850" t="s">
        <v>927</v>
      </c>
      <c r="E15" s="931">
        <v>151976.16</v>
      </c>
      <c r="F15" s="931"/>
      <c r="G15" s="931">
        <v>4559.2848</v>
      </c>
      <c r="H15" s="931">
        <v>26089.2408</v>
      </c>
      <c r="I15" s="931"/>
      <c r="J15" s="931">
        <v>9714.599999999999</v>
      </c>
      <c r="K15" s="931">
        <v>22759.96</v>
      </c>
      <c r="L15" s="931"/>
      <c r="M15" s="931">
        <v>66465.66689040001</v>
      </c>
      <c r="N15" s="931">
        <v>215099.2456</v>
      </c>
      <c r="O15" s="933"/>
    </row>
    <row r="16" spans="2:15" ht="12">
      <c r="B16" s="854">
        <v>8</v>
      </c>
      <c r="C16" s="850" t="s">
        <v>928</v>
      </c>
      <c r="D16" s="850" t="s">
        <v>929</v>
      </c>
      <c r="E16" s="931">
        <v>198102.87</v>
      </c>
      <c r="F16" s="931"/>
      <c r="G16" s="931">
        <v>5232.906</v>
      </c>
      <c r="H16" s="931">
        <v>33889.296</v>
      </c>
      <c r="I16" s="931">
        <v>17737.68</v>
      </c>
      <c r="J16" s="931">
        <v>11033.009999999998</v>
      </c>
      <c r="K16" s="931">
        <v>44563.44</v>
      </c>
      <c r="L16" s="931"/>
      <c r="M16" s="931">
        <v>97933.04976899999</v>
      </c>
      <c r="N16" s="931">
        <v>310559.202</v>
      </c>
      <c r="O16" s="933"/>
    </row>
    <row r="17" spans="2:15" ht="12">
      <c r="B17" s="854">
        <v>13</v>
      </c>
      <c r="C17" s="850" t="s">
        <v>930</v>
      </c>
      <c r="D17" s="850" t="s">
        <v>931</v>
      </c>
      <c r="E17" s="931">
        <v>182287.32000000007</v>
      </c>
      <c r="F17" s="931"/>
      <c r="G17" s="931">
        <v>5468.619600000001</v>
      </c>
      <c r="H17" s="931">
        <v>31292.65659999999</v>
      </c>
      <c r="I17" s="931"/>
      <c r="J17" s="931">
        <v>17972.040000000005</v>
      </c>
      <c r="K17" s="931">
        <v>26592.600000000002</v>
      </c>
      <c r="L17" s="931">
        <v>4708.16</v>
      </c>
      <c r="M17" s="931">
        <v>93682.09020919997</v>
      </c>
      <c r="N17" s="931">
        <v>268321.3962</v>
      </c>
      <c r="O17" s="933"/>
    </row>
    <row r="18" spans="2:15" ht="12">
      <c r="B18" s="854">
        <v>4</v>
      </c>
      <c r="C18" s="850" t="s">
        <v>932</v>
      </c>
      <c r="D18" s="850" t="s">
        <v>933</v>
      </c>
      <c r="E18" s="931">
        <v>59623.200000000004</v>
      </c>
      <c r="F18" s="931"/>
      <c r="G18" s="931">
        <v>1788.696</v>
      </c>
      <c r="H18" s="931">
        <v>10235.316</v>
      </c>
      <c r="I18" s="931"/>
      <c r="J18" s="931">
        <v>5551.200000000001</v>
      </c>
      <c r="K18" s="931">
        <v>9592.08</v>
      </c>
      <c r="L18" s="931"/>
      <c r="M18" s="931">
        <v>31765.320072000002</v>
      </c>
      <c r="N18" s="931">
        <v>86790.49200000001</v>
      </c>
      <c r="O18" s="933"/>
    </row>
    <row r="19" spans="2:15" ht="12.75" thickBot="1">
      <c r="B19" s="857"/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9"/>
    </row>
    <row r="22" ht="12">
      <c r="E22" s="996"/>
    </row>
  </sheetData>
  <sheetProtection/>
  <mergeCells count="3">
    <mergeCell ref="B2:N2"/>
    <mergeCell ref="F8:G8"/>
    <mergeCell ref="J8:L8"/>
  </mergeCells>
  <printOptions horizontalCentered="1" verticalCentered="1"/>
  <pageMargins left="0.51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B2:R52"/>
  <sheetViews>
    <sheetView zoomScale="85" zoomScaleNormal="85" zoomScalePageLayoutView="0" workbookViewId="0" topLeftCell="A10">
      <selection activeCell="M52" sqref="M52"/>
    </sheetView>
  </sheetViews>
  <sheetFormatPr defaultColWidth="11.57421875" defaultRowHeight="12.75"/>
  <cols>
    <col min="1" max="1" width="2.421875" style="851" customWidth="1"/>
    <col min="2" max="2" width="6.28125" style="851" customWidth="1"/>
    <col min="3" max="3" width="21.7109375" style="851" bestFit="1" customWidth="1"/>
    <col min="4" max="4" width="6.28125" style="851" bestFit="1" customWidth="1"/>
    <col min="5" max="5" width="10.7109375" style="851" customWidth="1"/>
    <col min="6" max="6" width="12.28125" style="851" customWidth="1"/>
    <col min="7" max="7" width="11.57421875" style="851" customWidth="1"/>
    <col min="8" max="8" width="15.7109375" style="851" customWidth="1"/>
    <col min="9" max="9" width="14.00390625" style="851" customWidth="1"/>
    <col min="10" max="12" width="15.7109375" style="851" customWidth="1"/>
    <col min="13" max="14" width="10.421875" style="851" bestFit="1" customWidth="1"/>
    <col min="15" max="15" width="40.00390625" style="851" bestFit="1" customWidth="1"/>
    <col min="16" max="16" width="23.57421875" style="851" bestFit="1" customWidth="1"/>
    <col min="17" max="17" width="11.57421875" style="851" customWidth="1"/>
    <col min="18" max="18" width="18.7109375" style="851" customWidth="1"/>
    <col min="19" max="16384" width="11.57421875" style="851" customWidth="1"/>
  </cols>
  <sheetData>
    <row r="1" ht="22.5" customHeight="1"/>
    <row r="2" spans="2:18" s="839" customFormat="1" ht="11.25">
      <c r="B2" s="1376" t="s">
        <v>815</v>
      </c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1376"/>
      <c r="O2" s="837"/>
      <c r="P2" s="838"/>
      <c r="Q2" s="838"/>
      <c r="R2" s="838"/>
    </row>
    <row r="3" s="840" customFormat="1" ht="11.25"/>
    <row r="4" spans="2:3" s="840" customFormat="1" ht="11.25">
      <c r="B4" s="841" t="s">
        <v>816</v>
      </c>
      <c r="C4" s="840" t="s">
        <v>982</v>
      </c>
    </row>
    <row r="5" s="840" customFormat="1" ht="11.25">
      <c r="B5" s="841"/>
    </row>
    <row r="6" spans="2:18" s="840" customFormat="1" ht="11.25">
      <c r="B6" s="838" t="s">
        <v>830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42"/>
      <c r="Q6" s="842"/>
      <c r="R6" s="842"/>
    </row>
    <row r="7" spans="2:18" s="840" customFormat="1" ht="12" thickBot="1"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</row>
    <row r="8" spans="2:16" s="841" customFormat="1" ht="27" customHeight="1" thickBot="1">
      <c r="B8" s="844"/>
      <c r="C8" s="844"/>
      <c r="D8" s="844"/>
      <c r="E8" s="844"/>
      <c r="F8" s="1377" t="s">
        <v>818</v>
      </c>
      <c r="G8" s="1378"/>
      <c r="H8" s="844"/>
      <c r="I8" s="844"/>
      <c r="J8" s="1379" t="s">
        <v>819</v>
      </c>
      <c r="K8" s="1380"/>
      <c r="L8" s="1381"/>
      <c r="M8" s="844"/>
      <c r="N8" s="844"/>
      <c r="O8" s="844"/>
      <c r="P8" s="844"/>
    </row>
    <row r="9" spans="2:16" s="849" customFormat="1" ht="27" customHeight="1">
      <c r="B9" s="845" t="s">
        <v>820</v>
      </c>
      <c r="C9" s="846" t="s">
        <v>821</v>
      </c>
      <c r="D9" s="847" t="s">
        <v>822</v>
      </c>
      <c r="E9" s="847" t="s">
        <v>823</v>
      </c>
      <c r="F9" s="852">
        <v>2016</v>
      </c>
      <c r="G9" s="853">
        <v>2017</v>
      </c>
      <c r="H9" s="847" t="s">
        <v>824</v>
      </c>
      <c r="I9" s="847" t="s">
        <v>825</v>
      </c>
      <c r="J9" s="934" t="s">
        <v>918</v>
      </c>
      <c r="K9" s="934" t="s">
        <v>934</v>
      </c>
      <c r="L9" s="934" t="s">
        <v>920</v>
      </c>
      <c r="M9" s="847" t="s">
        <v>826</v>
      </c>
      <c r="N9" s="847" t="s">
        <v>145</v>
      </c>
      <c r="O9" s="860" t="s">
        <v>831</v>
      </c>
      <c r="P9" s="848" t="s">
        <v>827</v>
      </c>
    </row>
    <row r="10" spans="2:16" s="843" customFormat="1" ht="11.25">
      <c r="B10" s="854">
        <v>3</v>
      </c>
      <c r="C10" s="850" t="s">
        <v>935</v>
      </c>
      <c r="D10" s="850">
        <v>5</v>
      </c>
      <c r="E10" s="930">
        <v>26210.399999999998</v>
      </c>
      <c r="F10" s="930"/>
      <c r="G10" s="930">
        <v>233.64</v>
      </c>
      <c r="H10" s="930">
        <v>4407.34</v>
      </c>
      <c r="I10" s="930"/>
      <c r="J10" s="930">
        <v>3955.2300000000005</v>
      </c>
      <c r="K10" s="930">
        <v>4465.92</v>
      </c>
      <c r="L10" s="930"/>
      <c r="M10" s="930">
        <v>12606.48213</v>
      </c>
      <c r="N10" s="930">
        <v>39272.53</v>
      </c>
      <c r="O10" s="850" t="s">
        <v>936</v>
      </c>
      <c r="P10" s="855"/>
    </row>
    <row r="11" spans="2:16" ht="12">
      <c r="B11" s="854">
        <v>3</v>
      </c>
      <c r="C11" s="850" t="s">
        <v>937</v>
      </c>
      <c r="D11" s="850">
        <v>5</v>
      </c>
      <c r="E11" s="930">
        <v>6908.4</v>
      </c>
      <c r="F11" s="930"/>
      <c r="G11" s="930"/>
      <c r="H11" s="930">
        <v>1151.3999999999999</v>
      </c>
      <c r="I11" s="930"/>
      <c r="J11" s="930">
        <v>988.8075000000001</v>
      </c>
      <c r="K11" s="930">
        <v>1943.4599999999998</v>
      </c>
      <c r="L11" s="930"/>
      <c r="M11" s="930">
        <v>4155.001514999999</v>
      </c>
      <c r="N11" s="930">
        <v>10992.0675</v>
      </c>
      <c r="O11" s="850" t="s">
        <v>938</v>
      </c>
      <c r="P11" s="855" t="s">
        <v>939</v>
      </c>
    </row>
    <row r="12" spans="2:16" ht="12">
      <c r="B12" s="854">
        <v>1</v>
      </c>
      <c r="C12" s="850" t="s">
        <v>940</v>
      </c>
      <c r="D12" s="850">
        <v>4</v>
      </c>
      <c r="E12" s="930">
        <v>12244.511999999999</v>
      </c>
      <c r="F12" s="930"/>
      <c r="G12" s="930">
        <v>367.3353599999999</v>
      </c>
      <c r="H12" s="930">
        <v>2101.9745599999997</v>
      </c>
      <c r="I12" s="930"/>
      <c r="J12" s="930">
        <v>1318.41</v>
      </c>
      <c r="K12" s="930">
        <v>396</v>
      </c>
      <c r="L12" s="930"/>
      <c r="M12" s="930">
        <v>1576.4036632799991</v>
      </c>
      <c r="N12" s="930">
        <v>16428.23192</v>
      </c>
      <c r="O12" s="850" t="s">
        <v>941</v>
      </c>
      <c r="P12" s="855"/>
    </row>
    <row r="13" spans="2:16" ht="12">
      <c r="B13" s="854">
        <v>3</v>
      </c>
      <c r="C13" s="850" t="s">
        <v>942</v>
      </c>
      <c r="D13" s="850">
        <v>4</v>
      </c>
      <c r="E13" s="930">
        <v>36733.53599999999</v>
      </c>
      <c r="F13" s="930"/>
      <c r="G13" s="930"/>
      <c r="H13" s="930">
        <v>6122.255999999999</v>
      </c>
      <c r="I13" s="930"/>
      <c r="J13" s="930">
        <v>3955.2300000000005</v>
      </c>
      <c r="K13" s="930">
        <v>7688.77</v>
      </c>
      <c r="L13" s="930">
        <v>16500</v>
      </c>
      <c r="M13" s="930">
        <v>23731.433232</v>
      </c>
      <c r="N13" s="930">
        <v>70999.792</v>
      </c>
      <c r="O13" s="850" t="s">
        <v>943</v>
      </c>
      <c r="P13" s="855"/>
    </row>
    <row r="14" spans="2:16" ht="12">
      <c r="B14" s="854">
        <v>1</v>
      </c>
      <c r="C14" s="850" t="s">
        <v>944</v>
      </c>
      <c r="D14" s="850">
        <v>4</v>
      </c>
      <c r="E14" s="930">
        <v>6510.374478527607</v>
      </c>
      <c r="F14" s="930"/>
      <c r="G14" s="930"/>
      <c r="H14" s="930">
        <v>1085.0624130879344</v>
      </c>
      <c r="I14" s="930"/>
      <c r="J14" s="930">
        <v>1318.41</v>
      </c>
      <c r="K14" s="930"/>
      <c r="L14" s="930"/>
      <c r="M14" s="930">
        <v>2861.3448522085882</v>
      </c>
      <c r="N14" s="930">
        <v>8913.846891615542</v>
      </c>
      <c r="O14" s="850" t="s">
        <v>945</v>
      </c>
      <c r="P14" s="855" t="s">
        <v>946</v>
      </c>
    </row>
    <row r="15" spans="2:16" ht="12">
      <c r="B15" s="854">
        <v>1</v>
      </c>
      <c r="C15" s="850" t="s">
        <v>947</v>
      </c>
      <c r="D15" s="850">
        <v>4</v>
      </c>
      <c r="E15" s="930">
        <v>12888.96</v>
      </c>
      <c r="F15" s="930"/>
      <c r="G15" s="930">
        <v>386.6687999999999</v>
      </c>
      <c r="H15" s="930">
        <v>2212.6048</v>
      </c>
      <c r="I15" s="930"/>
      <c r="J15" s="930">
        <v>1387.8000000000002</v>
      </c>
      <c r="K15" s="930"/>
      <c r="L15" s="930"/>
      <c r="M15" s="930">
        <v>6379.140700800001</v>
      </c>
      <c r="N15" s="930">
        <v>16876.0336</v>
      </c>
      <c r="O15" s="850" t="s">
        <v>948</v>
      </c>
      <c r="P15" s="855"/>
    </row>
    <row r="16" spans="2:16" ht="12">
      <c r="B16" s="854">
        <v>1</v>
      </c>
      <c r="C16" s="850" t="s">
        <v>949</v>
      </c>
      <c r="D16" s="850">
        <v>4</v>
      </c>
      <c r="E16" s="930">
        <v>12888.96</v>
      </c>
      <c r="F16" s="930"/>
      <c r="G16" s="930">
        <v>386.6687999999999</v>
      </c>
      <c r="H16" s="930">
        <v>2212.6048</v>
      </c>
      <c r="I16" s="930"/>
      <c r="J16" s="930">
        <v>1387.8000000000002</v>
      </c>
      <c r="K16" s="930">
        <v>2436</v>
      </c>
      <c r="L16" s="930"/>
      <c r="M16" s="930">
        <v>7299.9487008</v>
      </c>
      <c r="N16" s="930">
        <v>19312.0336</v>
      </c>
      <c r="O16" s="850" t="s">
        <v>950</v>
      </c>
      <c r="P16" s="855"/>
    </row>
    <row r="17" spans="2:16" ht="12">
      <c r="B17" s="854">
        <v>1</v>
      </c>
      <c r="C17" s="850" t="s">
        <v>942</v>
      </c>
      <c r="D17" s="850">
        <v>4</v>
      </c>
      <c r="E17" s="930">
        <v>12888.96</v>
      </c>
      <c r="F17" s="930"/>
      <c r="G17" s="930">
        <v>386.6687999999999</v>
      </c>
      <c r="H17" s="930">
        <v>2212.6048</v>
      </c>
      <c r="I17" s="930"/>
      <c r="J17" s="930">
        <v>1387.8000000000002</v>
      </c>
      <c r="K17" s="930">
        <v>3575.2799999999997</v>
      </c>
      <c r="L17" s="930"/>
      <c r="M17" s="930">
        <v>6564.871665600001</v>
      </c>
      <c r="N17" s="930">
        <v>20451.313599999998</v>
      </c>
      <c r="O17" s="850" t="s">
        <v>951</v>
      </c>
      <c r="P17" s="855"/>
    </row>
    <row r="18" spans="2:16" ht="12">
      <c r="B18" s="854">
        <v>1</v>
      </c>
      <c r="C18" s="850" t="s">
        <v>923</v>
      </c>
      <c r="D18" s="850">
        <v>3</v>
      </c>
      <c r="E18" s="930">
        <v>15261.75</v>
      </c>
      <c r="F18" s="930"/>
      <c r="G18" s="930"/>
      <c r="H18" s="930">
        <v>2543.625</v>
      </c>
      <c r="I18" s="930"/>
      <c r="J18" s="930">
        <v>1318.41</v>
      </c>
      <c r="K18" s="930"/>
      <c r="L18" s="930"/>
      <c r="M18" s="930">
        <v>6138.734985</v>
      </c>
      <c r="N18" s="930">
        <v>19123.785</v>
      </c>
      <c r="O18" s="850" t="s">
        <v>952</v>
      </c>
      <c r="P18" s="855"/>
    </row>
    <row r="19" spans="2:16" ht="12">
      <c r="B19" s="854">
        <v>2</v>
      </c>
      <c r="C19" s="850" t="s">
        <v>923</v>
      </c>
      <c r="D19" s="850">
        <v>3</v>
      </c>
      <c r="E19" s="930">
        <v>32130</v>
      </c>
      <c r="F19" s="930"/>
      <c r="G19" s="930">
        <v>963.9000000000001</v>
      </c>
      <c r="H19" s="930">
        <v>5515.65</v>
      </c>
      <c r="I19" s="930"/>
      <c r="J19" s="930">
        <v>2775.6000000000004</v>
      </c>
      <c r="K19" s="930">
        <v>7652</v>
      </c>
      <c r="L19" s="930"/>
      <c r="M19" s="930">
        <v>15740.92515</v>
      </c>
      <c r="N19" s="930">
        <v>49037.15</v>
      </c>
      <c r="O19" s="850" t="s">
        <v>953</v>
      </c>
      <c r="P19" s="855"/>
    </row>
    <row r="20" spans="2:16" ht="12">
      <c r="B20" s="854">
        <v>1</v>
      </c>
      <c r="C20" s="850" t="s">
        <v>924</v>
      </c>
      <c r="D20" s="850">
        <v>2</v>
      </c>
      <c r="E20" s="930">
        <v>16358.658</v>
      </c>
      <c r="F20" s="930"/>
      <c r="G20" s="930">
        <v>490.7597399999999</v>
      </c>
      <c r="H20" s="930">
        <v>2808.23629</v>
      </c>
      <c r="I20" s="930"/>
      <c r="J20" s="930">
        <v>1318.41</v>
      </c>
      <c r="K20" s="930"/>
      <c r="L20" s="930"/>
      <c r="M20" s="930">
        <v>6733.31655363</v>
      </c>
      <c r="N20" s="930">
        <v>20976.06403</v>
      </c>
      <c r="O20" s="850" t="s">
        <v>954</v>
      </c>
      <c r="P20" s="855"/>
    </row>
    <row r="21" spans="2:16" ht="12">
      <c r="B21" s="854">
        <v>2</v>
      </c>
      <c r="C21" s="850" t="s">
        <v>924</v>
      </c>
      <c r="D21" s="850">
        <v>2</v>
      </c>
      <c r="E21" s="930">
        <v>34439.28</v>
      </c>
      <c r="F21" s="930"/>
      <c r="G21" s="930">
        <v>1033.1783999999998</v>
      </c>
      <c r="H21" s="930">
        <v>5912.0764</v>
      </c>
      <c r="I21" s="930"/>
      <c r="J21" s="930">
        <v>2775.6000000000004</v>
      </c>
      <c r="K21" s="930"/>
      <c r="L21" s="930"/>
      <c r="M21" s="930">
        <v>14175.403270800001</v>
      </c>
      <c r="N21" s="930">
        <v>44160.13479999999</v>
      </c>
      <c r="O21" s="850" t="s">
        <v>951</v>
      </c>
      <c r="P21" s="855"/>
    </row>
    <row r="22" spans="2:16" ht="12">
      <c r="B22" s="854">
        <v>2</v>
      </c>
      <c r="C22" s="850" t="s">
        <v>925</v>
      </c>
      <c r="D22" s="850" t="s">
        <v>926</v>
      </c>
      <c r="E22" s="930">
        <v>34931.195999999996</v>
      </c>
      <c r="F22" s="930"/>
      <c r="G22" s="930">
        <v>1047.9358799999998</v>
      </c>
      <c r="H22" s="930">
        <v>5996.521979999999</v>
      </c>
      <c r="I22" s="930"/>
      <c r="J22" s="930">
        <v>2636.82</v>
      </c>
      <c r="K22" s="930"/>
      <c r="L22" s="930"/>
      <c r="M22" s="930">
        <v>14320.604109059997</v>
      </c>
      <c r="N22" s="930">
        <v>44612.47385999999</v>
      </c>
      <c r="O22" s="850" t="s">
        <v>954</v>
      </c>
      <c r="P22" s="855"/>
    </row>
    <row r="23" spans="2:16" ht="12">
      <c r="B23" s="854">
        <v>1</v>
      </c>
      <c r="C23" s="850" t="s">
        <v>925</v>
      </c>
      <c r="D23" s="850" t="s">
        <v>926</v>
      </c>
      <c r="E23" s="930">
        <v>17465.597999999998</v>
      </c>
      <c r="F23" s="930"/>
      <c r="G23" s="930">
        <v>523.9679399999999</v>
      </c>
      <c r="H23" s="930">
        <v>2998.2609899999993</v>
      </c>
      <c r="I23" s="930"/>
      <c r="J23" s="930">
        <v>1318.41</v>
      </c>
      <c r="K23" s="930"/>
      <c r="L23" s="930"/>
      <c r="M23" s="930">
        <v>7160.302054529999</v>
      </c>
      <c r="N23" s="930">
        <v>22306.236929999995</v>
      </c>
      <c r="O23" s="850" t="s">
        <v>955</v>
      </c>
      <c r="P23" s="855"/>
    </row>
    <row r="24" spans="2:16" ht="12">
      <c r="B24" s="854">
        <v>1</v>
      </c>
      <c r="C24" s="850" t="s">
        <v>925</v>
      </c>
      <c r="D24" s="850" t="s">
        <v>926</v>
      </c>
      <c r="E24" s="930">
        <v>17465.597999999998</v>
      </c>
      <c r="F24" s="930"/>
      <c r="G24" s="930">
        <v>523.9679399999999</v>
      </c>
      <c r="H24" s="930">
        <v>2998.2609899999993</v>
      </c>
      <c r="I24" s="930"/>
      <c r="J24" s="930">
        <v>1318.41</v>
      </c>
      <c r="K24" s="930"/>
      <c r="L24" s="930"/>
      <c r="M24" s="930">
        <v>7160.302054529999</v>
      </c>
      <c r="N24" s="930">
        <v>22306.236929999995</v>
      </c>
      <c r="O24" s="850" t="s">
        <v>956</v>
      </c>
      <c r="P24" s="855"/>
    </row>
    <row r="25" spans="2:16" ht="12">
      <c r="B25" s="854">
        <v>2</v>
      </c>
      <c r="C25" s="850" t="s">
        <v>925</v>
      </c>
      <c r="D25" s="850" t="s">
        <v>926</v>
      </c>
      <c r="E25" s="930">
        <v>34931.195999999996</v>
      </c>
      <c r="F25" s="930"/>
      <c r="G25" s="930">
        <v>523.9679399999999</v>
      </c>
      <c r="H25" s="930">
        <v>5909.193989999999</v>
      </c>
      <c r="I25" s="930"/>
      <c r="J25" s="930">
        <v>2636.82</v>
      </c>
      <c r="K25" s="930"/>
      <c r="L25" s="930"/>
      <c r="M25" s="930">
        <v>14124.378115529998</v>
      </c>
      <c r="N25" s="930">
        <v>44001.17793</v>
      </c>
      <c r="O25" s="850" t="s">
        <v>952</v>
      </c>
      <c r="P25" s="855"/>
    </row>
    <row r="26" spans="2:16" ht="12">
      <c r="B26" s="854">
        <v>2</v>
      </c>
      <c r="C26" s="850" t="s">
        <v>925</v>
      </c>
      <c r="D26" s="850" t="s">
        <v>926</v>
      </c>
      <c r="E26" s="930">
        <v>35850.437999999995</v>
      </c>
      <c r="F26" s="930"/>
      <c r="G26" s="930">
        <v>1075.51314</v>
      </c>
      <c r="H26" s="930">
        <v>6154.325189999999</v>
      </c>
      <c r="I26" s="930"/>
      <c r="J26" s="930">
        <v>2706.21</v>
      </c>
      <c r="K26" s="930"/>
      <c r="L26" s="930"/>
      <c r="M26" s="930">
        <v>14697.462111929999</v>
      </c>
      <c r="N26" s="930">
        <v>45786.48632999999</v>
      </c>
      <c r="O26" s="850" t="s">
        <v>936</v>
      </c>
      <c r="P26" s="855"/>
    </row>
    <row r="27" spans="2:16" ht="12">
      <c r="B27" s="854">
        <v>1</v>
      </c>
      <c r="C27" s="850" t="s">
        <v>925</v>
      </c>
      <c r="D27" s="850" t="s">
        <v>927</v>
      </c>
      <c r="E27" s="930">
        <v>21710.88</v>
      </c>
      <c r="F27" s="930"/>
      <c r="G27" s="930">
        <v>651.3264</v>
      </c>
      <c r="H27" s="930">
        <v>3727.0344000000005</v>
      </c>
      <c r="I27" s="930"/>
      <c r="J27" s="930">
        <v>1387.8000000000002</v>
      </c>
      <c r="K27" s="930">
        <v>2592</v>
      </c>
      <c r="L27" s="930"/>
      <c r="M27" s="930">
        <v>9652.1620968</v>
      </c>
      <c r="N27" s="930">
        <v>30069.040800000002</v>
      </c>
      <c r="O27" s="850" t="s">
        <v>950</v>
      </c>
      <c r="P27" s="855"/>
    </row>
    <row r="28" spans="2:16" ht="12">
      <c r="B28" s="854">
        <v>3</v>
      </c>
      <c r="C28" s="850" t="s">
        <v>930</v>
      </c>
      <c r="D28" s="850" t="s">
        <v>931</v>
      </c>
      <c r="E28" s="930">
        <v>10029.329999999998</v>
      </c>
      <c r="F28" s="930"/>
      <c r="G28" s="930"/>
      <c r="H28" s="930">
        <v>1671.5699999999997</v>
      </c>
      <c r="I28" s="930"/>
      <c r="J28" s="930">
        <v>988.83</v>
      </c>
      <c r="K28" s="930">
        <v>527.97</v>
      </c>
      <c r="L28" s="930"/>
      <c r="M28" s="930">
        <v>4996.290599999999</v>
      </c>
      <c r="N28" s="930">
        <v>13217.699999999997</v>
      </c>
      <c r="O28" s="850" t="s">
        <v>938</v>
      </c>
      <c r="P28" s="855" t="s">
        <v>939</v>
      </c>
    </row>
    <row r="29" spans="2:16" ht="12">
      <c r="B29" s="854">
        <v>4</v>
      </c>
      <c r="C29" s="850" t="s">
        <v>930</v>
      </c>
      <c r="D29" s="850" t="s">
        <v>931</v>
      </c>
      <c r="E29" s="930">
        <v>56304.96</v>
      </c>
      <c r="F29" s="930"/>
      <c r="G29" s="930">
        <v>1689.1488</v>
      </c>
      <c r="H29" s="930">
        <v>9665.684799999999</v>
      </c>
      <c r="I29" s="930"/>
      <c r="J29" s="930">
        <v>5551.200000000001</v>
      </c>
      <c r="K29" s="930">
        <v>4507.68</v>
      </c>
      <c r="L29" s="930"/>
      <c r="M29" s="930">
        <v>29377.6586208</v>
      </c>
      <c r="N29" s="930">
        <v>77718.67360000001</v>
      </c>
      <c r="O29" s="850" t="s">
        <v>950</v>
      </c>
      <c r="P29" s="855"/>
    </row>
    <row r="30" spans="2:16" ht="12">
      <c r="B30" s="854">
        <v>11</v>
      </c>
      <c r="C30" s="850" t="s">
        <v>930</v>
      </c>
      <c r="D30" s="850" t="s">
        <v>931</v>
      </c>
      <c r="E30" s="930">
        <v>154838.64000000004</v>
      </c>
      <c r="F30" s="930"/>
      <c r="G30" s="930">
        <v>4645.1592</v>
      </c>
      <c r="H30" s="930">
        <v>26580.6332</v>
      </c>
      <c r="I30" s="930"/>
      <c r="J30" s="930">
        <v>15265.800000000001</v>
      </c>
      <c r="K30" s="930">
        <v>12396.119999999997</v>
      </c>
      <c r="L30" s="930">
        <v>4708.16</v>
      </c>
      <c r="M30" s="930">
        <v>82568.24568719999</v>
      </c>
      <c r="N30" s="930">
        <v>218434.51240000004</v>
      </c>
      <c r="O30" s="850" t="s">
        <v>948</v>
      </c>
      <c r="P30" s="855"/>
    </row>
    <row r="31" spans="2:16" ht="12">
      <c r="B31" s="854">
        <v>2</v>
      </c>
      <c r="C31" s="850" t="s">
        <v>932</v>
      </c>
      <c r="D31" s="850" t="s">
        <v>933</v>
      </c>
      <c r="E31" s="930">
        <v>29811.600000000002</v>
      </c>
      <c r="F31" s="930"/>
      <c r="G31" s="930">
        <v>894.348</v>
      </c>
      <c r="H31" s="930">
        <v>5117.658</v>
      </c>
      <c r="I31" s="930"/>
      <c r="J31" s="930">
        <v>2775.6000000000004</v>
      </c>
      <c r="K31" s="930">
        <v>2386.8</v>
      </c>
      <c r="L31" s="930"/>
      <c r="M31" s="930">
        <v>15492.710268000003</v>
      </c>
      <c r="N31" s="930">
        <v>40986.00600000001</v>
      </c>
      <c r="O31" s="850" t="s">
        <v>957</v>
      </c>
      <c r="P31" s="855"/>
    </row>
    <row r="32" spans="2:16" ht="12">
      <c r="B32" s="854">
        <v>80</v>
      </c>
      <c r="C32" s="850" t="s">
        <v>958</v>
      </c>
      <c r="D32" s="850"/>
      <c r="E32" s="930">
        <v>814665.6</v>
      </c>
      <c r="F32" s="930"/>
      <c r="G32" s="930"/>
      <c r="H32" s="930"/>
      <c r="I32" s="930"/>
      <c r="J32" s="930"/>
      <c r="K32" s="930"/>
      <c r="L32" s="930"/>
      <c r="M32" s="930">
        <v>33830.4</v>
      </c>
      <c r="N32" s="930">
        <v>814665.6</v>
      </c>
      <c r="O32" s="850" t="s">
        <v>959</v>
      </c>
      <c r="P32" s="855"/>
    </row>
    <row r="33" spans="2:16" ht="12">
      <c r="B33" s="854">
        <v>2</v>
      </c>
      <c r="C33" s="850" t="s">
        <v>960</v>
      </c>
      <c r="D33" s="850"/>
      <c r="E33" s="930">
        <v>80620.1550387597</v>
      </c>
      <c r="F33" s="930"/>
      <c r="G33" s="930"/>
      <c r="H33" s="930"/>
      <c r="I33" s="930"/>
      <c r="J33" s="930"/>
      <c r="K33" s="930"/>
      <c r="L33" s="930"/>
      <c r="M33" s="930">
        <v>23379.844961240306</v>
      </c>
      <c r="N33" s="930">
        <v>80620.1550387597</v>
      </c>
      <c r="O33" s="850" t="s">
        <v>961</v>
      </c>
      <c r="P33" s="855"/>
    </row>
    <row r="34" spans="2:16" ht="12">
      <c r="B34" s="854">
        <v>3</v>
      </c>
      <c r="C34" s="850" t="s">
        <v>962</v>
      </c>
      <c r="D34" s="850" t="s">
        <v>963</v>
      </c>
      <c r="E34" s="930">
        <v>42228.72</v>
      </c>
      <c r="F34" s="930"/>
      <c r="G34" s="930"/>
      <c r="H34" s="930"/>
      <c r="I34" s="930"/>
      <c r="J34" s="930"/>
      <c r="K34" s="930"/>
      <c r="L34" s="930"/>
      <c r="M34" s="930">
        <v>1272.2400000000002</v>
      </c>
      <c r="N34" s="930">
        <v>42228.72</v>
      </c>
      <c r="O34" s="850" t="s">
        <v>964</v>
      </c>
      <c r="P34" s="855"/>
    </row>
    <row r="35" spans="2:16" ht="12">
      <c r="B35" s="854">
        <v>31</v>
      </c>
      <c r="C35" s="850" t="s">
        <v>937</v>
      </c>
      <c r="D35" s="850">
        <v>5</v>
      </c>
      <c r="E35" s="930">
        <v>118978</v>
      </c>
      <c r="F35" s="930"/>
      <c r="G35" s="930"/>
      <c r="H35" s="930">
        <v>19829.666666666668</v>
      </c>
      <c r="I35" s="930"/>
      <c r="J35" s="930">
        <v>17029.850000000002</v>
      </c>
      <c r="K35" s="930">
        <v>16944.6</v>
      </c>
      <c r="L35" s="930"/>
      <c r="M35" s="930">
        <v>65311.64009999999</v>
      </c>
      <c r="N35" s="930">
        <v>172782.11666666667</v>
      </c>
      <c r="O35" s="850" t="s">
        <v>965</v>
      </c>
      <c r="P35" s="855" t="s">
        <v>966</v>
      </c>
    </row>
    <row r="36" spans="2:16" ht="12">
      <c r="B36" s="854">
        <v>1</v>
      </c>
      <c r="C36" s="850" t="s">
        <v>967</v>
      </c>
      <c r="D36" s="850">
        <v>4</v>
      </c>
      <c r="E36" s="930">
        <v>12244.56</v>
      </c>
      <c r="F36" s="930"/>
      <c r="G36" s="930"/>
      <c r="H36" s="930">
        <v>2040.76</v>
      </c>
      <c r="I36" s="930"/>
      <c r="J36" s="930">
        <v>1318.44</v>
      </c>
      <c r="K36" s="930">
        <v>1247.108251324754</v>
      </c>
      <c r="L36" s="930"/>
      <c r="M36" s="930">
        <v>5409.128708675246</v>
      </c>
      <c r="N36" s="930">
        <v>16850.868251324755</v>
      </c>
      <c r="O36" s="850" t="s">
        <v>968</v>
      </c>
      <c r="P36" s="855"/>
    </row>
    <row r="37" spans="2:16" ht="12">
      <c r="B37" s="854">
        <v>1</v>
      </c>
      <c r="C37" s="850" t="s">
        <v>942</v>
      </c>
      <c r="D37" s="850">
        <v>5</v>
      </c>
      <c r="E37" s="930">
        <v>9211.2</v>
      </c>
      <c r="F37" s="930"/>
      <c r="G37" s="930"/>
      <c r="H37" s="930">
        <v>1535.2</v>
      </c>
      <c r="I37" s="930"/>
      <c r="J37" s="930">
        <v>1318.44</v>
      </c>
      <c r="K37" s="930">
        <v>3192.5435276305834</v>
      </c>
      <c r="L37" s="930"/>
      <c r="M37" s="930">
        <v>4897.620112369418</v>
      </c>
      <c r="N37" s="930">
        <v>15257.383527630585</v>
      </c>
      <c r="O37" s="850" t="s">
        <v>969</v>
      </c>
      <c r="P37" s="855"/>
    </row>
    <row r="38" spans="2:16" ht="12">
      <c r="B38" s="854">
        <v>4</v>
      </c>
      <c r="C38" s="850" t="s">
        <v>962</v>
      </c>
      <c r="D38" s="850" t="s">
        <v>970</v>
      </c>
      <c r="E38" s="930">
        <v>48214.56</v>
      </c>
      <c r="F38" s="930"/>
      <c r="G38" s="930"/>
      <c r="H38" s="930"/>
      <c r="I38" s="930"/>
      <c r="J38" s="930"/>
      <c r="K38" s="930"/>
      <c r="L38" s="930"/>
      <c r="M38" s="930">
        <v>1696.3200000000002</v>
      </c>
      <c r="N38" s="930">
        <v>48214.56</v>
      </c>
      <c r="O38" s="850" t="s">
        <v>971</v>
      </c>
      <c r="P38" s="855"/>
    </row>
    <row r="39" spans="2:16" ht="12">
      <c r="B39" s="854">
        <v>6</v>
      </c>
      <c r="C39" s="850" t="s">
        <v>962</v>
      </c>
      <c r="D39" s="850" t="s">
        <v>963</v>
      </c>
      <c r="E39" s="930">
        <v>77310</v>
      </c>
      <c r="F39" s="930"/>
      <c r="G39" s="930"/>
      <c r="H39" s="930"/>
      <c r="I39" s="930"/>
      <c r="J39" s="930"/>
      <c r="K39" s="930"/>
      <c r="L39" s="930"/>
      <c r="M39" s="930">
        <v>2544.4800000000005</v>
      </c>
      <c r="N39" s="930">
        <v>77310</v>
      </c>
      <c r="O39" s="850" t="s">
        <v>971</v>
      </c>
      <c r="P39" s="855"/>
    </row>
    <row r="40" spans="2:16" ht="12">
      <c r="B40" s="854">
        <v>1</v>
      </c>
      <c r="C40" s="850" t="s">
        <v>967</v>
      </c>
      <c r="D40" s="850">
        <v>4</v>
      </c>
      <c r="E40" s="930">
        <v>12244.56</v>
      </c>
      <c r="F40" s="930"/>
      <c r="G40" s="930"/>
      <c r="H40" s="930">
        <v>2040.76</v>
      </c>
      <c r="I40" s="930"/>
      <c r="J40" s="930">
        <v>1318.44</v>
      </c>
      <c r="K40" s="930"/>
      <c r="L40" s="930"/>
      <c r="M40" s="930">
        <v>5008.80696</v>
      </c>
      <c r="N40" s="930">
        <v>15603.76</v>
      </c>
      <c r="O40" s="850" t="s">
        <v>972</v>
      </c>
      <c r="P40" s="855"/>
    </row>
    <row r="41" spans="2:16" ht="12">
      <c r="B41" s="854">
        <v>1</v>
      </c>
      <c r="C41" s="850" t="s">
        <v>967</v>
      </c>
      <c r="D41" s="850">
        <v>4</v>
      </c>
      <c r="E41" s="930">
        <v>5101.9</v>
      </c>
      <c r="F41" s="930"/>
      <c r="G41" s="930"/>
      <c r="H41" s="930">
        <v>850.3166666666666</v>
      </c>
      <c r="I41" s="930"/>
      <c r="J41" s="930">
        <v>549.35</v>
      </c>
      <c r="K41" s="930"/>
      <c r="L41" s="930"/>
      <c r="M41" s="930">
        <v>2087.0029</v>
      </c>
      <c r="N41" s="930">
        <v>6501.566666666667</v>
      </c>
      <c r="O41" s="850" t="s">
        <v>973</v>
      </c>
      <c r="P41" s="855" t="s">
        <v>974</v>
      </c>
    </row>
    <row r="42" spans="2:16" ht="12">
      <c r="B42" s="854">
        <v>1</v>
      </c>
      <c r="C42" s="850" t="s">
        <v>962</v>
      </c>
      <c r="D42" s="850" t="s">
        <v>970</v>
      </c>
      <c r="E42" s="930">
        <v>9040.23</v>
      </c>
      <c r="F42" s="930"/>
      <c r="G42" s="930"/>
      <c r="H42" s="930"/>
      <c r="I42" s="930"/>
      <c r="J42" s="930"/>
      <c r="K42" s="930"/>
      <c r="L42" s="930"/>
      <c r="M42" s="930">
        <v>318.06000000000006</v>
      </c>
      <c r="N42" s="930">
        <v>9040.23</v>
      </c>
      <c r="O42" s="850"/>
      <c r="P42" s="855" t="s">
        <v>975</v>
      </c>
    </row>
    <row r="43" spans="2:16" ht="12">
      <c r="B43" s="854">
        <v>1</v>
      </c>
      <c r="C43" s="850" t="s">
        <v>925</v>
      </c>
      <c r="D43" s="850" t="s">
        <v>926</v>
      </c>
      <c r="E43" s="930">
        <v>4366.41</v>
      </c>
      <c r="F43" s="930"/>
      <c r="G43" s="930"/>
      <c r="H43" s="930">
        <v>727.735</v>
      </c>
      <c r="I43" s="930"/>
      <c r="J43" s="930">
        <v>329.61</v>
      </c>
      <c r="K43" s="930"/>
      <c r="L43" s="930"/>
      <c r="M43" s="930">
        <v>1741.0253549999998</v>
      </c>
      <c r="N43" s="930">
        <v>5423.754999999999</v>
      </c>
      <c r="O43" s="850" t="s">
        <v>976</v>
      </c>
      <c r="P43" s="855" t="s">
        <v>977</v>
      </c>
    </row>
    <row r="44" spans="2:16" ht="12">
      <c r="B44" s="854">
        <v>1</v>
      </c>
      <c r="C44" s="850" t="s">
        <v>962</v>
      </c>
      <c r="D44" s="850" t="s">
        <v>970</v>
      </c>
      <c r="E44" s="930">
        <v>9040.23</v>
      </c>
      <c r="F44" s="930"/>
      <c r="G44" s="930"/>
      <c r="H44" s="930"/>
      <c r="I44" s="930"/>
      <c r="J44" s="930"/>
      <c r="K44" s="930"/>
      <c r="L44" s="930"/>
      <c r="M44" s="930">
        <v>318.06000000000006</v>
      </c>
      <c r="N44" s="930">
        <v>9040.23</v>
      </c>
      <c r="O44" s="850"/>
      <c r="P44" s="855" t="s">
        <v>975</v>
      </c>
    </row>
    <row r="45" spans="2:16" ht="12">
      <c r="B45" s="854">
        <v>1</v>
      </c>
      <c r="C45" s="850" t="s">
        <v>925</v>
      </c>
      <c r="D45" s="850" t="s">
        <v>927</v>
      </c>
      <c r="E45" s="930">
        <v>5156.34</v>
      </c>
      <c r="F45" s="930"/>
      <c r="G45" s="930"/>
      <c r="H45" s="930">
        <v>859.39</v>
      </c>
      <c r="I45" s="930"/>
      <c r="J45" s="930">
        <v>329.61</v>
      </c>
      <c r="K45" s="930"/>
      <c r="L45" s="930"/>
      <c r="M45" s="930">
        <v>2036.8541400000001</v>
      </c>
      <c r="N45" s="930">
        <v>6345.34</v>
      </c>
      <c r="O45" s="850" t="s">
        <v>976</v>
      </c>
      <c r="P45" s="855" t="s">
        <v>977</v>
      </c>
    </row>
    <row r="46" spans="2:16" ht="12">
      <c r="B46" s="854">
        <v>1</v>
      </c>
      <c r="C46" s="850" t="s">
        <v>925</v>
      </c>
      <c r="D46" s="850" t="s">
        <v>927</v>
      </c>
      <c r="E46" s="930">
        <v>5156.34</v>
      </c>
      <c r="F46" s="930"/>
      <c r="G46" s="930"/>
      <c r="H46" s="930">
        <v>859.39</v>
      </c>
      <c r="I46" s="930"/>
      <c r="J46" s="930">
        <v>329.61</v>
      </c>
      <c r="K46" s="930">
        <v>1564.0726722180164</v>
      </c>
      <c r="L46" s="930"/>
      <c r="M46" s="930">
        <v>2538.921467781983</v>
      </c>
      <c r="N46" s="930">
        <v>7909.412672218016</v>
      </c>
      <c r="O46" s="850" t="s">
        <v>978</v>
      </c>
      <c r="P46" s="855" t="s">
        <v>977</v>
      </c>
    </row>
    <row r="47" spans="2:16" ht="12">
      <c r="B47" s="854">
        <v>1</v>
      </c>
      <c r="C47" s="850" t="s">
        <v>925</v>
      </c>
      <c r="D47" s="850" t="s">
        <v>979</v>
      </c>
      <c r="E47" s="930">
        <v>5582.882341240157</v>
      </c>
      <c r="F47" s="930"/>
      <c r="G47" s="930"/>
      <c r="H47" s="930">
        <v>930.4803902066928</v>
      </c>
      <c r="I47" s="930"/>
      <c r="J47" s="930">
        <v>1318.44</v>
      </c>
      <c r="K47" s="930">
        <v>4168.2</v>
      </c>
      <c r="L47" s="930"/>
      <c r="M47" s="930">
        <v>3852.0008767944387</v>
      </c>
      <c r="N47" s="930">
        <v>12000.00273144685</v>
      </c>
      <c r="O47" s="850" t="s">
        <v>980</v>
      </c>
      <c r="P47" s="855" t="s">
        <v>981</v>
      </c>
    </row>
    <row r="48" spans="2:16" ht="12">
      <c r="B48" s="854">
        <v>1</v>
      </c>
      <c r="C48" s="850" t="s">
        <v>962</v>
      </c>
      <c r="D48" s="850" t="s">
        <v>970</v>
      </c>
      <c r="E48" s="930">
        <v>9040.23</v>
      </c>
      <c r="F48" s="930"/>
      <c r="G48" s="930"/>
      <c r="H48" s="930"/>
      <c r="I48" s="930"/>
      <c r="J48" s="930"/>
      <c r="K48" s="930"/>
      <c r="L48" s="930"/>
      <c r="M48" s="930">
        <v>318.06000000000006</v>
      </c>
      <c r="N48" s="930">
        <v>9040.23</v>
      </c>
      <c r="O48" s="850"/>
      <c r="P48" s="855" t="s">
        <v>975</v>
      </c>
    </row>
    <row r="49" spans="2:16" ht="12.75" thickBot="1">
      <c r="B49" s="857"/>
      <c r="C49" s="858"/>
      <c r="D49" s="858"/>
      <c r="E49" s="858"/>
      <c r="F49" s="858"/>
      <c r="G49" s="858"/>
      <c r="H49" s="858"/>
      <c r="I49" s="858"/>
      <c r="J49" s="858"/>
      <c r="K49" s="858"/>
      <c r="L49" s="858"/>
      <c r="M49" s="858"/>
      <c r="N49" s="858"/>
      <c r="O49" s="858"/>
      <c r="P49" s="859"/>
    </row>
    <row r="52" spans="5:13" ht="12">
      <c r="E52" s="997"/>
      <c r="M52" s="997"/>
    </row>
  </sheetData>
  <sheetProtection/>
  <mergeCells count="3">
    <mergeCell ref="B2:N2"/>
    <mergeCell ref="F8:G8"/>
    <mergeCell ref="J8:L8"/>
  </mergeCells>
  <printOptions horizontalCentered="1" verticalCentered="1"/>
  <pageMargins left="0.41" right="0.4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B2:D17"/>
  <sheetViews>
    <sheetView zoomScalePageLayoutView="0" workbookViewId="0" topLeftCell="A1">
      <selection activeCell="B2" sqref="B2:D17"/>
    </sheetView>
  </sheetViews>
  <sheetFormatPr defaultColWidth="11.421875" defaultRowHeight="12.75"/>
  <cols>
    <col min="1" max="1" width="2.140625" style="0" customWidth="1"/>
    <col min="2" max="2" width="53.28125" style="0" customWidth="1"/>
  </cols>
  <sheetData>
    <row r="2" ht="15">
      <c r="B2" s="861" t="s">
        <v>832</v>
      </c>
    </row>
    <row r="3" ht="12.75">
      <c r="B3" s="986" t="s">
        <v>982</v>
      </c>
    </row>
    <row r="4" spans="2:4" s="863" customFormat="1" ht="15">
      <c r="B4" s="862" t="s">
        <v>833</v>
      </c>
      <c r="C4" s="862">
        <v>2016</v>
      </c>
      <c r="D4" s="862">
        <v>2017</v>
      </c>
    </row>
    <row r="5" spans="2:4" ht="12.75">
      <c r="B5" s="864" t="s">
        <v>834</v>
      </c>
      <c r="C5" s="865"/>
      <c r="D5" s="865"/>
    </row>
    <row r="6" spans="2:4" ht="15">
      <c r="B6" s="866" t="s">
        <v>835</v>
      </c>
      <c r="C6" s="865"/>
      <c r="D6" s="865"/>
    </row>
    <row r="7" spans="2:4" ht="15">
      <c r="B7" s="867" t="s">
        <v>145</v>
      </c>
      <c r="C7" s="868">
        <f>SUM(C5:C6)</f>
        <v>0</v>
      </c>
      <c r="D7" s="868">
        <f>SUM(D5:D6)</f>
        <v>0</v>
      </c>
    </row>
    <row r="8" spans="2:4" ht="15">
      <c r="B8" s="869"/>
      <c r="C8" s="870"/>
      <c r="D8" s="870"/>
    </row>
    <row r="11" spans="2:4" s="872" customFormat="1" ht="15">
      <c r="B11" s="871" t="s">
        <v>836</v>
      </c>
      <c r="C11" s="871">
        <v>2016</v>
      </c>
      <c r="D11" s="871">
        <v>2017</v>
      </c>
    </row>
    <row r="12" spans="2:4" ht="12.75">
      <c r="B12" s="873" t="s">
        <v>837</v>
      </c>
      <c r="C12" s="874">
        <v>5464.09</v>
      </c>
      <c r="D12" s="874">
        <v>8000</v>
      </c>
    </row>
    <row r="13" spans="2:4" ht="12.75">
      <c r="B13" s="873" t="s">
        <v>838</v>
      </c>
      <c r="C13" s="753">
        <v>245439.95999999996</v>
      </c>
      <c r="D13" s="874">
        <v>290000</v>
      </c>
    </row>
    <row r="14" spans="2:4" ht="15">
      <c r="B14" s="873" t="s">
        <v>839</v>
      </c>
      <c r="C14" s="874"/>
      <c r="D14" s="874"/>
    </row>
    <row r="15" spans="2:4" ht="12.75">
      <c r="B15" s="873" t="s">
        <v>840</v>
      </c>
      <c r="C15" s="874"/>
      <c r="D15" s="874"/>
    </row>
    <row r="16" spans="2:4" ht="30">
      <c r="B16" s="864" t="s">
        <v>841</v>
      </c>
      <c r="C16" s="874">
        <f>10258.86+10319.87</f>
        <v>20578.730000000003</v>
      </c>
      <c r="D16" s="874">
        <f>12000+12000</f>
        <v>24000</v>
      </c>
    </row>
    <row r="17" spans="2:4" ht="15">
      <c r="B17" s="867" t="s">
        <v>145</v>
      </c>
      <c r="C17" s="868">
        <f>SUM(C12:C16)</f>
        <v>271482.77999999997</v>
      </c>
      <c r="D17" s="868">
        <f>SUM(D12:D16)</f>
        <v>322000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C7:D7 C17:D17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B3:H15"/>
  <sheetViews>
    <sheetView zoomScalePageLayoutView="0" workbookViewId="0" topLeftCell="A1">
      <selection activeCell="B3" sqref="B3:F14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5" width="14.421875" style="0" bestFit="1" customWidth="1"/>
    <col min="6" max="6" width="21.7109375" style="0" customWidth="1"/>
    <col min="8" max="8" width="11.8515625" style="0" bestFit="1" customWidth="1"/>
  </cols>
  <sheetData>
    <row r="2" ht="13.5" thickBot="1"/>
    <row r="3" spans="2:6" ht="15.75" thickBot="1">
      <c r="B3" s="875" t="s">
        <v>842</v>
      </c>
      <c r="C3" s="876"/>
      <c r="D3" s="876"/>
      <c r="E3" s="876"/>
      <c r="F3" s="877"/>
    </row>
    <row r="4" ht="12.75">
      <c r="B4" t="s">
        <v>982</v>
      </c>
    </row>
    <row r="5" ht="13.5" thickBot="1"/>
    <row r="6" spans="4:6" s="872" customFormat="1" ht="15.75" thickBot="1">
      <c r="D6" s="878">
        <v>2017</v>
      </c>
      <c r="E6" s="879">
        <v>2016</v>
      </c>
      <c r="F6" s="880" t="s">
        <v>415</v>
      </c>
    </row>
    <row r="7" spans="2:6" ht="15">
      <c r="B7" s="881" t="s">
        <v>843</v>
      </c>
      <c r="C7" s="882"/>
      <c r="D7" s="965">
        <f>4247783.59513633+14109.01</f>
        <v>4261892.60513633</v>
      </c>
      <c r="E7" s="965">
        <f>3870118.95032583+30524.9</f>
        <v>3900643.85032583</v>
      </c>
      <c r="F7" s="883"/>
    </row>
    <row r="8" spans="2:6" ht="15">
      <c r="B8" s="884" t="s">
        <v>818</v>
      </c>
      <c r="C8" s="885"/>
      <c r="D8" s="966">
        <f>'[1]LF 2017 (Personal)'!G1+'[1]LT 2017 (Personal)'!G1</f>
        <v>48413.22714</v>
      </c>
      <c r="E8" s="966">
        <f>'[1]Antiguedad y  conceptos 2016'!I2539</f>
        <v>48526.62000000006</v>
      </c>
      <c r="F8" s="749"/>
    </row>
    <row r="9" spans="2:6" ht="15">
      <c r="B9" s="884" t="s">
        <v>825</v>
      </c>
      <c r="C9" s="885"/>
      <c r="D9" s="966"/>
      <c r="E9" s="966"/>
      <c r="F9" s="749"/>
    </row>
    <row r="10" spans="2:8" ht="15">
      <c r="B10" s="886" t="s">
        <v>844</v>
      </c>
      <c r="C10" s="887"/>
      <c r="D10" s="967">
        <f>12000+8000+290000+12000</f>
        <v>322000</v>
      </c>
      <c r="E10" s="967">
        <v>271482.78</v>
      </c>
      <c r="F10" s="888"/>
      <c r="H10" s="949"/>
    </row>
    <row r="11" spans="2:8" ht="15.75" thickBot="1">
      <c r="B11" s="889" t="s">
        <v>845</v>
      </c>
      <c r="C11" s="887"/>
      <c r="D11" s="967">
        <f>'[1]Personal'!I43</f>
        <v>1091047.77239876</v>
      </c>
      <c r="E11" s="967">
        <v>939350.17</v>
      </c>
      <c r="F11" s="890"/>
      <c r="H11" s="753"/>
    </row>
    <row r="12" spans="2:8" ht="15.75" thickBot="1">
      <c r="B12" s="861"/>
      <c r="C12" s="891" t="s">
        <v>145</v>
      </c>
      <c r="D12" s="935">
        <f>SUM(D7:D11)</f>
        <v>5723353.60467509</v>
      </c>
      <c r="E12" s="936">
        <f>SUM(E7:E11)</f>
        <v>5160003.42032583</v>
      </c>
      <c r="H12" s="950"/>
    </row>
    <row r="13" spans="2:5" ht="15.75" thickBot="1">
      <c r="B13" s="861"/>
      <c r="C13" s="861"/>
      <c r="E13" s="753"/>
    </row>
    <row r="14" spans="2:5" ht="13.5" thickBot="1">
      <c r="B14" s="984" t="s">
        <v>1064</v>
      </c>
      <c r="C14" s="876"/>
      <c r="D14" s="877"/>
      <c r="E14" s="985">
        <f>(D12-E12)/E12</f>
        <v>0.10917631994780488</v>
      </c>
    </row>
    <row r="15" spans="2:3" ht="15">
      <c r="B15" s="861"/>
      <c r="C15" s="861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B2:J66"/>
  <sheetViews>
    <sheetView zoomScale="75" zoomScaleNormal="75" zoomScalePageLayoutView="0" workbookViewId="0" topLeftCell="A1">
      <selection activeCell="J1" sqref="J1:J65536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57421875" style="214" customWidth="1"/>
    <col min="7" max="7" width="11.8515625" style="214" bestFit="1" customWidth="1"/>
    <col min="8" max="9" width="11.57421875" style="214" customWidth="1"/>
    <col min="10" max="10" width="0" style="214" hidden="1" customWidth="1"/>
    <col min="11" max="16384" width="11.57421875" style="214" customWidth="1"/>
  </cols>
  <sheetData>
    <row r="1" ht="13.5" thickBot="1"/>
    <row r="2" spans="2:5" ht="49.5" customHeight="1">
      <c r="B2" s="1390" t="s">
        <v>603</v>
      </c>
      <c r="C2" s="1391"/>
      <c r="D2" s="1392"/>
      <c r="E2" s="236">
        <f>CPYG!E2</f>
        <v>2017</v>
      </c>
    </row>
    <row r="3" spans="2:5" ht="42.75" customHeight="1">
      <c r="B3" s="1393" t="str">
        <f>CPYG!B3</f>
        <v>ENTIDAD: INSTITUTO TECNOLOGICO Y DE ENERGIAS RENOVABLES S.A.</v>
      </c>
      <c r="C3" s="1394"/>
      <c r="D3" s="1395"/>
      <c r="E3" s="326" t="s">
        <v>205</v>
      </c>
    </row>
    <row r="4" spans="2:5" s="133" customFormat="1" ht="24.75" customHeight="1">
      <c r="B4" s="1396" t="s">
        <v>795</v>
      </c>
      <c r="C4" s="1397"/>
      <c r="D4" s="1397"/>
      <c r="E4" s="1398"/>
    </row>
    <row r="5" spans="2:5" s="133" customFormat="1" ht="16.5" customHeight="1">
      <c r="B5" s="1399" t="s">
        <v>122</v>
      </c>
      <c r="C5" s="1400"/>
      <c r="D5" s="1401" t="s">
        <v>124</v>
      </c>
      <c r="E5" s="1402"/>
    </row>
    <row r="6" spans="2:5" s="133" customFormat="1" ht="19.5" customHeight="1">
      <c r="B6" s="721" t="s">
        <v>123</v>
      </c>
      <c r="C6" s="320" t="s">
        <v>120</v>
      </c>
      <c r="D6" s="320" t="s">
        <v>123</v>
      </c>
      <c r="E6" s="722" t="s">
        <v>120</v>
      </c>
    </row>
    <row r="7" spans="2:5" s="133" customFormat="1" ht="19.5" customHeight="1">
      <c r="B7" s="329" t="s">
        <v>147</v>
      </c>
      <c r="C7" s="321">
        <v>879609.96</v>
      </c>
      <c r="D7" s="322" t="s">
        <v>147</v>
      </c>
      <c r="E7" s="331"/>
    </row>
    <row r="8" spans="2:5" s="230" customFormat="1" ht="19.5" customHeight="1">
      <c r="B8" s="717" t="s">
        <v>148</v>
      </c>
      <c r="C8" s="323"/>
      <c r="D8" s="900" t="s">
        <v>148</v>
      </c>
      <c r="E8" s="720"/>
    </row>
    <row r="9" spans="2:5" s="230" customFormat="1" ht="19.5" customHeight="1">
      <c r="B9" s="717" t="s">
        <v>149</v>
      </c>
      <c r="C9" s="323"/>
      <c r="D9" s="900" t="s">
        <v>149</v>
      </c>
      <c r="E9" s="720"/>
    </row>
    <row r="10" spans="2:5" s="230" customFormat="1" ht="19.5" customHeight="1">
      <c r="B10" s="717" t="s">
        <v>150</v>
      </c>
      <c r="C10" s="992"/>
      <c r="D10" s="990" t="s">
        <v>150</v>
      </c>
      <c r="E10" s="991"/>
    </row>
    <row r="11" spans="2:5" s="230" customFormat="1" ht="19.5" customHeight="1">
      <c r="B11" s="717" t="s">
        <v>151</v>
      </c>
      <c r="C11" s="992"/>
      <c r="D11" s="990" t="s">
        <v>151</v>
      </c>
      <c r="E11" s="991"/>
    </row>
    <row r="12" spans="2:5" s="230" customFormat="1" ht="19.5" customHeight="1">
      <c r="B12" s="717" t="s">
        <v>602</v>
      </c>
      <c r="C12" s="992">
        <v>6000</v>
      </c>
      <c r="D12" s="990" t="s">
        <v>602</v>
      </c>
      <c r="E12" s="991"/>
    </row>
    <row r="13" spans="2:5" s="230" customFormat="1" ht="19.5" customHeight="1">
      <c r="B13" s="717" t="s">
        <v>796</v>
      </c>
      <c r="C13" s="992"/>
      <c r="D13" s="990" t="s">
        <v>796</v>
      </c>
      <c r="E13" s="991"/>
    </row>
    <row r="14" spans="2:10" s="230" customFormat="1" ht="19.5" customHeight="1">
      <c r="B14" s="717" t="s">
        <v>184</v>
      </c>
      <c r="C14" s="992"/>
      <c r="D14" s="990" t="s">
        <v>184</v>
      </c>
      <c r="E14" s="991"/>
      <c r="J14" s="230">
        <v>6000</v>
      </c>
    </row>
    <row r="15" spans="2:7" s="230" customFormat="1" ht="19.5" customHeight="1">
      <c r="B15" s="717" t="s">
        <v>152</v>
      </c>
      <c r="C15" s="994"/>
      <c r="D15" s="990" t="s">
        <v>152</v>
      </c>
      <c r="E15" s="995"/>
      <c r="G15" s="892"/>
    </row>
    <row r="16" spans="2:5" s="230" customFormat="1" ht="19.5" customHeight="1">
      <c r="B16" s="717" t="s">
        <v>153</v>
      </c>
      <c r="C16" s="994"/>
      <c r="D16" s="990" t="s">
        <v>153</v>
      </c>
      <c r="E16" s="995"/>
    </row>
    <row r="17" spans="2:5" s="230" customFormat="1" ht="19.5" customHeight="1">
      <c r="B17" s="717" t="s">
        <v>154</v>
      </c>
      <c r="C17" s="994"/>
      <c r="D17" s="990" t="s">
        <v>154</v>
      </c>
      <c r="E17" s="995"/>
    </row>
    <row r="18" spans="2:5" s="230" customFormat="1" ht="19.5" customHeight="1">
      <c r="B18" s="717" t="s">
        <v>156</v>
      </c>
      <c r="C18" s="994"/>
      <c r="D18" s="990" t="s">
        <v>156</v>
      </c>
      <c r="E18" s="991"/>
    </row>
    <row r="19" spans="2:5" s="230" customFormat="1" ht="19.5" customHeight="1">
      <c r="B19" s="717" t="s">
        <v>155</v>
      </c>
      <c r="C19" s="992"/>
      <c r="D19" s="990" t="s">
        <v>155</v>
      </c>
      <c r="E19" s="991"/>
    </row>
    <row r="20" spans="2:5" s="230" customFormat="1" ht="19.5" customHeight="1">
      <c r="B20" s="717" t="s">
        <v>797</v>
      </c>
      <c r="C20" s="992"/>
      <c r="D20" s="990" t="s">
        <v>798</v>
      </c>
      <c r="E20" s="991"/>
    </row>
    <row r="21" spans="2:5" s="230" customFormat="1" ht="19.5" customHeight="1">
      <c r="B21" s="717" t="s">
        <v>157</v>
      </c>
      <c r="C21" s="992"/>
      <c r="D21" s="990" t="s">
        <v>157</v>
      </c>
      <c r="E21" s="991"/>
    </row>
    <row r="22" spans="2:5" s="230" customFormat="1" ht="19.5" customHeight="1">
      <c r="B22" s="717" t="s">
        <v>799</v>
      </c>
      <c r="C22" s="992"/>
      <c r="D22" s="990" t="s">
        <v>799</v>
      </c>
      <c r="E22" s="991"/>
    </row>
    <row r="23" spans="2:5" s="230" customFormat="1" ht="19.5" customHeight="1">
      <c r="B23" s="717" t="s">
        <v>160</v>
      </c>
      <c r="C23" s="992"/>
      <c r="D23" s="990" t="s">
        <v>160</v>
      </c>
      <c r="E23" s="991"/>
    </row>
    <row r="24" spans="2:5" s="230" customFormat="1" ht="19.5" customHeight="1">
      <c r="B24" s="717" t="s">
        <v>800</v>
      </c>
      <c r="C24" s="992"/>
      <c r="D24" s="990" t="s">
        <v>800</v>
      </c>
      <c r="E24" s="991">
        <v>248.96</v>
      </c>
    </row>
    <row r="25" spans="2:5" s="230" customFormat="1" ht="19.5" customHeight="1">
      <c r="B25" s="717" t="s">
        <v>801</v>
      </c>
      <c r="C25" s="992"/>
      <c r="D25" s="990" t="s">
        <v>801</v>
      </c>
      <c r="E25" s="991"/>
    </row>
    <row r="26" spans="2:5" s="230" customFormat="1" ht="19.5" customHeight="1">
      <c r="B26" s="717" t="s">
        <v>159</v>
      </c>
      <c r="C26" s="992">
        <v>15725</v>
      </c>
      <c r="D26" s="990" t="s">
        <v>159</v>
      </c>
      <c r="E26" s="991"/>
    </row>
    <row r="27" spans="2:5" s="230" customFormat="1" ht="19.5" customHeight="1">
      <c r="B27" s="717" t="s">
        <v>802</v>
      </c>
      <c r="C27" s="323"/>
      <c r="D27" s="900" t="s">
        <v>802</v>
      </c>
      <c r="E27" s="720"/>
    </row>
    <row r="28" spans="2:5" s="230" customFormat="1" ht="19.5" customHeight="1">
      <c r="B28" s="717" t="s">
        <v>803</v>
      </c>
      <c r="C28" s="323"/>
      <c r="D28" s="900" t="s">
        <v>803</v>
      </c>
      <c r="E28" s="720"/>
    </row>
    <row r="29" spans="2:5" s="230" customFormat="1" ht="19.5" customHeight="1">
      <c r="B29" s="717" t="s">
        <v>804</v>
      </c>
      <c r="C29" s="323"/>
      <c r="D29" s="900" t="s">
        <v>804</v>
      </c>
      <c r="E29" s="720"/>
    </row>
    <row r="30" spans="2:5" s="230" customFormat="1" ht="19.5" customHeight="1">
      <c r="B30" s="717" t="s">
        <v>805</v>
      </c>
      <c r="C30" s="323"/>
      <c r="D30" s="900" t="s">
        <v>805</v>
      </c>
      <c r="E30" s="720"/>
    </row>
    <row r="31" spans="2:5" s="230" customFormat="1" ht="29.25" customHeight="1">
      <c r="B31" s="897" t="s">
        <v>443</v>
      </c>
      <c r="C31" s="989">
        <v>65000</v>
      </c>
      <c r="D31" s="990" t="s">
        <v>443</v>
      </c>
      <c r="E31" s="991"/>
    </row>
    <row r="32" spans="2:5" s="230" customFormat="1" ht="29.25" customHeight="1">
      <c r="B32" s="897" t="s">
        <v>185</v>
      </c>
      <c r="C32" s="992">
        <v>141704</v>
      </c>
      <c r="D32" s="990" t="s">
        <v>185</v>
      </c>
      <c r="E32" s="991"/>
    </row>
    <row r="33" spans="2:5" s="230" customFormat="1" ht="29.25" customHeight="1">
      <c r="B33" s="897" t="s">
        <v>191</v>
      </c>
      <c r="C33" s="992">
        <v>1117811.25</v>
      </c>
      <c r="D33" s="990" t="s">
        <v>191</v>
      </c>
      <c r="E33" s="991"/>
    </row>
    <row r="34" spans="2:5" s="230" customFormat="1" ht="29.25" customHeight="1">
      <c r="B34" s="897" t="s">
        <v>847</v>
      </c>
      <c r="C34" s="992">
        <v>187025.04</v>
      </c>
      <c r="D34" s="993" t="s">
        <v>847</v>
      </c>
      <c r="E34" s="991"/>
    </row>
    <row r="35" spans="2:5" s="230" customFormat="1" ht="29.25" customHeight="1">
      <c r="B35" s="897" t="s">
        <v>848</v>
      </c>
      <c r="C35" s="992"/>
      <c r="D35" s="993" t="s">
        <v>848</v>
      </c>
      <c r="E35" s="991"/>
    </row>
    <row r="36" spans="2:5" s="230" customFormat="1" ht="29.25" customHeight="1">
      <c r="B36" s="897" t="s">
        <v>846</v>
      </c>
      <c r="C36" s="992"/>
      <c r="D36" s="993" t="s">
        <v>846</v>
      </c>
      <c r="E36" s="991"/>
    </row>
    <row r="37" spans="2:5" s="230" customFormat="1" ht="29.25" customHeight="1">
      <c r="B37" s="897" t="s">
        <v>753</v>
      </c>
      <c r="C37" s="992"/>
      <c r="D37" s="990" t="str">
        <f>B37</f>
        <v>FUNDACION TENERIFE RURAL</v>
      </c>
      <c r="E37" s="991"/>
    </row>
    <row r="38" spans="2:5" s="230" customFormat="1" ht="29.25" customHeight="1">
      <c r="B38" s="897" t="s">
        <v>187</v>
      </c>
      <c r="C38" s="992"/>
      <c r="D38" s="990" t="s">
        <v>187</v>
      </c>
      <c r="E38" s="991"/>
    </row>
    <row r="39" spans="2:5" s="230" customFormat="1" ht="22.5" customHeight="1">
      <c r="B39" s="897" t="s">
        <v>186</v>
      </c>
      <c r="C39" s="992"/>
      <c r="D39" s="990" t="s">
        <v>186</v>
      </c>
      <c r="E39" s="991"/>
    </row>
    <row r="40" spans="2:5" s="230" customFormat="1" ht="29.25" customHeight="1">
      <c r="B40" s="897" t="s">
        <v>188</v>
      </c>
      <c r="C40" s="992">
        <v>27049.5</v>
      </c>
      <c r="D40" s="990" t="s">
        <v>188</v>
      </c>
      <c r="E40" s="991">
        <v>340898.84</v>
      </c>
    </row>
    <row r="41" spans="2:5" s="133" customFormat="1" ht="29.25" customHeight="1">
      <c r="B41" s="723" t="s">
        <v>849</v>
      </c>
      <c r="C41" s="992"/>
      <c r="D41" s="993" t="s">
        <v>849</v>
      </c>
      <c r="E41" s="991"/>
    </row>
    <row r="42" spans="2:5" s="133" customFormat="1" ht="29.25" customHeight="1">
      <c r="B42" s="723" t="s">
        <v>855</v>
      </c>
      <c r="C42" s="321"/>
      <c r="D42" s="899" t="s">
        <v>855</v>
      </c>
      <c r="E42" s="331"/>
    </row>
    <row r="43" spans="2:5" s="133" customFormat="1" ht="29.25" customHeight="1">
      <c r="B43" s="723" t="s">
        <v>856</v>
      </c>
      <c r="C43" s="321"/>
      <c r="D43" s="899" t="s">
        <v>856</v>
      </c>
      <c r="E43" s="331"/>
    </row>
    <row r="44" spans="2:5" s="133" customFormat="1" ht="29.25" customHeight="1">
      <c r="B44" s="723" t="s">
        <v>857</v>
      </c>
      <c r="C44" s="321"/>
      <c r="D44" s="899" t="s">
        <v>857</v>
      </c>
      <c r="E44" s="331"/>
    </row>
    <row r="45" spans="2:5" s="133" customFormat="1" ht="29.25" customHeight="1" thickBot="1">
      <c r="B45" s="893" t="s">
        <v>858</v>
      </c>
      <c r="C45" s="894"/>
      <c r="D45" s="896" t="s">
        <v>858</v>
      </c>
      <c r="E45" s="895"/>
    </row>
    <row r="46" spans="2:5" s="133" customFormat="1" ht="33" customHeight="1" thickBot="1">
      <c r="B46" s="901" t="s">
        <v>145</v>
      </c>
      <c r="C46" s="902">
        <f>SUM(C7:C45)</f>
        <v>2439924.75</v>
      </c>
      <c r="D46" s="903" t="s">
        <v>145</v>
      </c>
      <c r="E46" s="904">
        <f>SUM(E7:E45)</f>
        <v>341147.80000000005</v>
      </c>
    </row>
    <row r="47" ht="12.75">
      <c r="C47" s="324"/>
    </row>
    <row r="48" ht="13.5" thickBot="1"/>
    <row r="49" spans="2:5" ht="24.75" customHeight="1" thickBot="1">
      <c r="B49" s="1383" t="s">
        <v>189</v>
      </c>
      <c r="C49" s="1384"/>
      <c r="D49" s="1384"/>
      <c r="E49" s="1385"/>
    </row>
    <row r="50" spans="2:5" ht="20.25" customHeight="1" thickBot="1">
      <c r="B50" s="1383" t="s">
        <v>795</v>
      </c>
      <c r="C50" s="1384"/>
      <c r="D50" s="1384"/>
      <c r="E50" s="1385"/>
    </row>
    <row r="51" spans="2:5" ht="18" customHeight="1">
      <c r="B51" s="1386" t="s">
        <v>122</v>
      </c>
      <c r="C51" s="1387"/>
      <c r="D51" s="1388" t="s">
        <v>124</v>
      </c>
      <c r="E51" s="1389"/>
    </row>
    <row r="52" spans="2:5" ht="19.5" customHeight="1">
      <c r="B52" s="721" t="s">
        <v>123</v>
      </c>
      <c r="C52" s="320" t="s">
        <v>120</v>
      </c>
      <c r="D52" s="320" t="s">
        <v>123</v>
      </c>
      <c r="E52" s="722" t="s">
        <v>120</v>
      </c>
    </row>
    <row r="53" spans="2:5" ht="23.25" customHeight="1">
      <c r="B53" s="329" t="s">
        <v>850</v>
      </c>
      <c r="C53" s="320"/>
      <c r="D53" s="898" t="s">
        <v>850</v>
      </c>
      <c r="E53" s="722"/>
    </row>
    <row r="54" spans="2:5" ht="23.25" customHeight="1">
      <c r="B54" s="723" t="s">
        <v>190</v>
      </c>
      <c r="C54" s="320"/>
      <c r="D54" s="899" t="s">
        <v>190</v>
      </c>
      <c r="E54" s="331">
        <v>5683.799999999999</v>
      </c>
    </row>
    <row r="55" spans="2:5" ht="25.5" customHeight="1">
      <c r="B55" s="723" t="s">
        <v>851</v>
      </c>
      <c r="C55" s="323">
        <v>11200</v>
      </c>
      <c r="D55" s="899" t="s">
        <v>851</v>
      </c>
      <c r="E55" s="720">
        <v>406091.76</v>
      </c>
    </row>
    <row r="56" spans="2:5" s="133" customFormat="1" ht="29.25" customHeight="1">
      <c r="B56" s="723" t="s">
        <v>852</v>
      </c>
      <c r="C56" s="321"/>
      <c r="D56" s="899" t="s">
        <v>852</v>
      </c>
      <c r="E56" s="331">
        <v>5006.5199999999995</v>
      </c>
    </row>
    <row r="57" spans="2:5" s="133" customFormat="1" ht="29.25" customHeight="1">
      <c r="B57" s="893" t="s">
        <v>853</v>
      </c>
      <c r="C57" s="321"/>
      <c r="D57" s="896" t="s">
        <v>853</v>
      </c>
      <c r="E57" s="895"/>
    </row>
    <row r="58" spans="2:5" s="133" customFormat="1" ht="29.25" customHeight="1" thickBot="1">
      <c r="B58" s="893" t="s">
        <v>854</v>
      </c>
      <c r="C58" s="894">
        <v>146966.8785046729</v>
      </c>
      <c r="D58" s="896" t="s">
        <v>854</v>
      </c>
      <c r="E58" s="895"/>
    </row>
    <row r="59" spans="2:5" s="133" customFormat="1" ht="34.5" customHeight="1" thickBot="1">
      <c r="B59" s="901" t="s">
        <v>145</v>
      </c>
      <c r="C59" s="902">
        <f>SUM(C53:C58)</f>
        <v>158166.8785046729</v>
      </c>
      <c r="D59" s="903" t="s">
        <v>145</v>
      </c>
      <c r="E59" s="904">
        <f>SUM(E53:E58)</f>
        <v>416782.08</v>
      </c>
    </row>
    <row r="60" spans="2:3" ht="12.75">
      <c r="B60" s="325"/>
      <c r="C60" s="324"/>
    </row>
    <row r="61" ht="12.75">
      <c r="C61" s="324"/>
    </row>
    <row r="62" spans="2:5" ht="12.75">
      <c r="B62" s="1382" t="s">
        <v>158</v>
      </c>
      <c r="C62" s="1382"/>
      <c r="D62" s="1382"/>
      <c r="E62" s="1382"/>
    </row>
    <row r="63" spans="2:5" ht="12.75">
      <c r="B63" s="1382" t="s">
        <v>161</v>
      </c>
      <c r="C63" s="1382"/>
      <c r="D63" s="1382"/>
      <c r="E63" s="1382"/>
    </row>
    <row r="64" ht="12.75">
      <c r="C64" s="324"/>
    </row>
    <row r="65" ht="12.75">
      <c r="C65" s="324"/>
    </row>
    <row r="66" ht="12.75">
      <c r="C66" s="324"/>
    </row>
  </sheetData>
  <sheetProtection/>
  <mergeCells count="11">
    <mergeCell ref="B49:E49"/>
    <mergeCell ref="B2:D2"/>
    <mergeCell ref="B3:D3"/>
    <mergeCell ref="B4:E4"/>
    <mergeCell ref="B5:C5"/>
    <mergeCell ref="D5:E5"/>
    <mergeCell ref="B63:E63"/>
    <mergeCell ref="B62:E62"/>
    <mergeCell ref="B50:E50"/>
    <mergeCell ref="B51:C51"/>
    <mergeCell ref="D51:E51"/>
  </mergeCells>
  <printOptions horizontalCentered="1" verticalCentered="1"/>
  <pageMargins left="0.35433070866141736" right="0.35433070866141736" top="0.84" bottom="0.984251968503937" header="0.5118110236220472" footer="0.5118110236220472"/>
  <pageSetup horizontalDpi="300" verticalDpi="300" orientation="portrait" paperSize="9" scale="50" r:id="rId1"/>
  <ignoredErrors>
    <ignoredError sqref="D37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9"/>
  <sheetViews>
    <sheetView zoomScalePageLayoutView="0" workbookViewId="0" topLeftCell="A19">
      <selection activeCell="B2" sqref="B2:F23"/>
    </sheetView>
  </sheetViews>
  <sheetFormatPr defaultColWidth="11.57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57421875" style="133" customWidth="1"/>
  </cols>
  <sheetData>
    <row r="1" ht="13.5" thickBot="1"/>
    <row r="2" spans="2:6" ht="49.5" customHeight="1">
      <c r="B2" s="1161" t="s">
        <v>603</v>
      </c>
      <c r="C2" s="1162"/>
      <c r="D2" s="1162"/>
      <c r="E2" s="1162"/>
      <c r="F2" s="236">
        <f>CPYG!E2</f>
        <v>2017</v>
      </c>
    </row>
    <row r="3" spans="2:6" ht="44.25" customHeight="1">
      <c r="B3" s="1393" t="str">
        <f>CPYG!B3</f>
        <v>ENTIDAD: INSTITUTO TECNOLOGICO Y DE ENERGIAS RENOVABLES S.A.</v>
      </c>
      <c r="C3" s="1403"/>
      <c r="D3" s="1403"/>
      <c r="E3" s="1404"/>
      <c r="F3" s="326" t="s">
        <v>204</v>
      </c>
    </row>
    <row r="4" spans="2:6" ht="24.75" customHeight="1">
      <c r="B4" s="1396" t="s">
        <v>806</v>
      </c>
      <c r="C4" s="1405"/>
      <c r="D4" s="1405"/>
      <c r="E4" s="1405"/>
      <c r="F4" s="1406"/>
    </row>
    <row r="5" spans="2:6" ht="30" customHeight="1">
      <c r="B5" s="327" t="s">
        <v>118</v>
      </c>
      <c r="C5" s="319" t="s">
        <v>119</v>
      </c>
      <c r="D5" s="728" t="s">
        <v>348</v>
      </c>
      <c r="E5" s="728" t="s">
        <v>551</v>
      </c>
      <c r="F5" s="328" t="s">
        <v>121</v>
      </c>
    </row>
    <row r="6" spans="2:6" ht="19.5" customHeight="1">
      <c r="B6" s="329"/>
      <c r="C6" s="333"/>
      <c r="D6" s="333"/>
      <c r="E6" s="706"/>
      <c r="F6" s="331"/>
    </row>
    <row r="7" spans="2:6" ht="19.5" customHeight="1">
      <c r="B7" s="717"/>
      <c r="C7" s="718"/>
      <c r="D7" s="718"/>
      <c r="E7" s="719"/>
      <c r="F7" s="720"/>
    </row>
    <row r="8" spans="2:6" ht="19.5" customHeight="1">
      <c r="B8" s="717"/>
      <c r="C8" s="718"/>
      <c r="D8" s="718"/>
      <c r="E8" s="719"/>
      <c r="F8" s="720"/>
    </row>
    <row r="9" spans="2:6" ht="19.5" customHeight="1">
      <c r="B9" s="717"/>
      <c r="C9" s="718"/>
      <c r="D9" s="718"/>
      <c r="E9" s="719"/>
      <c r="F9" s="720"/>
    </row>
    <row r="10" spans="2:6" ht="19.5" customHeight="1">
      <c r="B10" s="329"/>
      <c r="C10" s="333"/>
      <c r="D10" s="333"/>
      <c r="E10" s="706"/>
      <c r="F10" s="331"/>
    </row>
    <row r="11" spans="2:6" ht="19.5" customHeight="1">
      <c r="B11" s="329"/>
      <c r="C11" s="333"/>
      <c r="D11" s="333"/>
      <c r="E11" s="706"/>
      <c r="F11" s="331"/>
    </row>
    <row r="12" spans="2:6" ht="19.5" customHeight="1">
      <c r="B12" s="329"/>
      <c r="C12" s="333"/>
      <c r="D12" s="333"/>
      <c r="E12" s="706"/>
      <c r="F12" s="331"/>
    </row>
    <row r="13" spans="2:6" ht="19.5" customHeight="1">
      <c r="B13" s="329"/>
      <c r="C13" s="333"/>
      <c r="D13" s="333"/>
      <c r="E13" s="706"/>
      <c r="F13" s="331"/>
    </row>
    <row r="14" spans="2:6" ht="19.5" customHeight="1">
      <c r="B14" s="329"/>
      <c r="C14" s="333"/>
      <c r="D14" s="333"/>
      <c r="E14" s="706"/>
      <c r="F14" s="331"/>
    </row>
    <row r="15" spans="2:6" ht="19.5" customHeight="1">
      <c r="B15" s="329"/>
      <c r="C15" s="332"/>
      <c r="D15" s="332"/>
      <c r="E15" s="333"/>
      <c r="F15" s="331"/>
    </row>
    <row r="16" spans="2:6" ht="19.5" customHeight="1">
      <c r="B16" s="329"/>
      <c r="C16" s="321"/>
      <c r="D16" s="727"/>
      <c r="E16" s="330"/>
      <c r="F16" s="331"/>
    </row>
    <row r="17" spans="2:6" ht="19.5" customHeight="1">
      <c r="B17" s="329"/>
      <c r="C17" s="321"/>
      <c r="D17" s="727"/>
      <c r="E17" s="330"/>
      <c r="F17" s="331"/>
    </row>
    <row r="18" spans="2:6" ht="19.5" customHeight="1">
      <c r="B18" s="329"/>
      <c r="C18" s="321"/>
      <c r="D18" s="727"/>
      <c r="E18" s="330"/>
      <c r="F18" s="331"/>
    </row>
    <row r="19" spans="2:6" ht="19.5" customHeight="1">
      <c r="B19" s="329"/>
      <c r="C19" s="321"/>
      <c r="D19" s="727"/>
      <c r="E19" s="330"/>
      <c r="F19" s="331"/>
    </row>
    <row r="20" spans="2:6" ht="19.5" customHeight="1">
      <c r="B20" s="329"/>
      <c r="C20" s="321"/>
      <c r="D20" s="727"/>
      <c r="E20" s="330"/>
      <c r="F20" s="331"/>
    </row>
    <row r="21" spans="2:6" ht="19.5" customHeight="1">
      <c r="B21" s="329"/>
      <c r="C21" s="321"/>
      <c r="D21" s="727"/>
      <c r="E21" s="330"/>
      <c r="F21" s="331"/>
    </row>
    <row r="22" spans="2:6" ht="19.5" customHeight="1">
      <c r="B22" s="329"/>
      <c r="C22" s="321"/>
      <c r="D22" s="727"/>
      <c r="E22" s="330"/>
      <c r="F22" s="331"/>
    </row>
    <row r="23" spans="2:6" ht="23.25" customHeight="1" thickBot="1">
      <c r="B23" s="334"/>
      <c r="C23" s="335"/>
      <c r="D23" s="335"/>
      <c r="E23" s="653">
        <f>SUM(E6:E22)</f>
        <v>0</v>
      </c>
      <c r="F23" s="315"/>
    </row>
    <row r="24" spans="3:4" ht="12.75">
      <c r="C24" s="666"/>
      <c r="D24" s="666"/>
    </row>
    <row r="25" spans="3:4" ht="12.75">
      <c r="C25" s="666"/>
      <c r="D25" s="666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666"/>
      <c r="D28" s="666"/>
      <c r="E28" s="169"/>
      <c r="F28" s="169"/>
    </row>
    <row r="29" spans="3:6" ht="12.75">
      <c r="C29" s="666"/>
      <c r="D29" s="666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707"/>
      <c r="D32" s="707"/>
      <c r="E32" s="708"/>
      <c r="F32" s="708"/>
    </row>
    <row r="33" spans="3:6" ht="12.75">
      <c r="C33" s="666"/>
      <c r="D33" s="666"/>
      <c r="E33" s="169"/>
      <c r="F33" s="169"/>
    </row>
    <row r="34" spans="3:4" ht="12.75">
      <c r="C34" s="666"/>
      <c r="D34" s="666"/>
    </row>
    <row r="35" spans="3:6" ht="12.75">
      <c r="C35" s="707"/>
      <c r="D35" s="707"/>
      <c r="E35" s="708"/>
      <c r="F35" s="708"/>
    </row>
    <row r="36" spans="3:6" ht="12.75">
      <c r="C36" s="707"/>
      <c r="D36" s="707"/>
      <c r="E36" s="708"/>
      <c r="F36" s="708"/>
    </row>
    <row r="37" spans="3:4" ht="12.75">
      <c r="C37" s="666"/>
      <c r="D37" s="666"/>
    </row>
    <row r="38" spans="3:4" ht="12.75">
      <c r="C38" s="666"/>
      <c r="D38" s="666"/>
    </row>
    <row r="39" spans="3:4" ht="12.75">
      <c r="C39" s="666"/>
      <c r="D39" s="666"/>
    </row>
    <row r="40" spans="3:4" ht="12.75">
      <c r="C40" s="666"/>
      <c r="D40" s="666"/>
    </row>
    <row r="41" spans="3:4" ht="12.75">
      <c r="C41" s="666"/>
      <c r="D41" s="666"/>
    </row>
    <row r="42" spans="3:4" ht="12.75">
      <c r="C42" s="666"/>
      <c r="D42" s="666"/>
    </row>
    <row r="43" spans="3:4" ht="12.75">
      <c r="C43" s="666"/>
      <c r="D43" s="666"/>
    </row>
    <row r="44" spans="3:4" ht="12.75">
      <c r="C44" s="666"/>
      <c r="D44" s="666"/>
    </row>
    <row r="45" spans="3:4" ht="12.75">
      <c r="C45" s="666"/>
      <c r="D45" s="666"/>
    </row>
    <row r="46" spans="3:4" ht="12.75">
      <c r="C46" s="666"/>
      <c r="D46" s="666"/>
    </row>
    <row r="47" spans="3:4" ht="12.75">
      <c r="C47" s="666"/>
      <c r="D47" s="666"/>
    </row>
    <row r="48" spans="3:4" ht="12.75">
      <c r="C48" s="666"/>
      <c r="D48" s="666"/>
    </row>
    <row r="49" spans="3:4" ht="12.75">
      <c r="C49" s="666"/>
      <c r="D49" s="666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B2:F29"/>
  <sheetViews>
    <sheetView zoomScalePageLayoutView="0" workbookViewId="0" topLeftCell="A1">
      <selection activeCell="B2" sqref="B2:F23"/>
    </sheetView>
  </sheetViews>
  <sheetFormatPr defaultColWidth="11.57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8515625" style="133" customWidth="1"/>
    <col min="5" max="5" width="30.57421875" style="133" customWidth="1"/>
    <col min="6" max="6" width="25.28125" style="133" customWidth="1"/>
    <col min="7" max="16384" width="11.57421875" style="133" customWidth="1"/>
  </cols>
  <sheetData>
    <row r="1" ht="13.5" thickBot="1"/>
    <row r="2" spans="2:6" ht="36.75" customHeight="1" thickBot="1">
      <c r="B2" s="1407" t="s">
        <v>577</v>
      </c>
      <c r="C2" s="1408"/>
      <c r="D2" s="1408"/>
      <c r="E2" s="1408"/>
      <c r="F2" s="831">
        <v>2017</v>
      </c>
    </row>
    <row r="3" spans="2:6" ht="36" customHeight="1" thickBot="1">
      <c r="B3" s="1409" t="s">
        <v>1066</v>
      </c>
      <c r="C3" s="1410"/>
      <c r="D3" s="1410"/>
      <c r="E3" s="1410"/>
      <c r="F3" s="832" t="s">
        <v>552</v>
      </c>
    </row>
    <row r="4" spans="2:6" ht="57" customHeight="1" thickBot="1">
      <c r="B4" s="1416" t="s">
        <v>612</v>
      </c>
      <c r="C4" s="1417"/>
      <c r="D4" s="219" t="s">
        <v>553</v>
      </c>
      <c r="E4" s="1411" t="s">
        <v>588</v>
      </c>
      <c r="F4" s="1412"/>
    </row>
    <row r="5" spans="2:6" ht="19.5" customHeight="1">
      <c r="B5" s="833" t="s">
        <v>554</v>
      </c>
      <c r="C5" s="501"/>
      <c r="D5" s="979">
        <f>SUM(D6:D14)</f>
        <v>13405124.349999998</v>
      </c>
      <c r="E5" s="1413"/>
      <c r="F5" s="1414"/>
    </row>
    <row r="6" spans="2:6" ht="15" customHeight="1">
      <c r="B6" s="231"/>
      <c r="C6" s="834" t="s">
        <v>555</v>
      </c>
      <c r="D6" s="919">
        <f>CPYG!E7</f>
        <v>8143583.81</v>
      </c>
      <c r="E6" s="1415"/>
      <c r="F6" s="1372"/>
    </row>
    <row r="7" spans="2:6" ht="15" customHeight="1">
      <c r="B7" s="231"/>
      <c r="C7" s="834" t="s">
        <v>556</v>
      </c>
      <c r="D7" s="919">
        <f>CPYG!E11</f>
        <v>1066828.61</v>
      </c>
      <c r="E7" s="1415"/>
      <c r="F7" s="1372"/>
    </row>
    <row r="8" spans="2:6" ht="15" customHeight="1">
      <c r="B8" s="231"/>
      <c r="C8" s="834" t="s">
        <v>557</v>
      </c>
      <c r="D8" s="919"/>
      <c r="E8" s="1415"/>
      <c r="F8" s="1372"/>
    </row>
    <row r="9" spans="2:6" ht="15" customHeight="1">
      <c r="B9" s="231"/>
      <c r="C9" s="834" t="s">
        <v>558</v>
      </c>
      <c r="D9" s="919">
        <f>CPYG!E22</f>
        <v>2486181.94</v>
      </c>
      <c r="E9" s="1415"/>
      <c r="F9" s="1372"/>
    </row>
    <row r="10" spans="2:6" ht="15" customHeight="1">
      <c r="B10" s="231"/>
      <c r="C10" s="834" t="s">
        <v>559</v>
      </c>
      <c r="D10" s="919">
        <v>584765.85</v>
      </c>
      <c r="E10" s="1415"/>
      <c r="F10" s="1372"/>
    </row>
    <row r="11" spans="2:6" ht="15" customHeight="1">
      <c r="B11" s="231"/>
      <c r="C11" s="834" t="s">
        <v>560</v>
      </c>
      <c r="D11" s="919">
        <v>466388.44</v>
      </c>
      <c r="E11" s="1415"/>
      <c r="F11" s="1372"/>
    </row>
    <row r="12" spans="2:6" ht="15" customHeight="1">
      <c r="B12" s="231"/>
      <c r="C12" s="834" t="s">
        <v>677</v>
      </c>
      <c r="D12" s="919"/>
      <c r="E12" s="1415"/>
      <c r="F12" s="1372"/>
    </row>
    <row r="13" spans="2:6" ht="15" customHeight="1">
      <c r="B13" s="231"/>
      <c r="C13" s="834" t="s">
        <v>561</v>
      </c>
      <c r="D13" s="919"/>
      <c r="E13" s="1415"/>
      <c r="F13" s="1372"/>
    </row>
    <row r="14" spans="2:6" ht="15" customHeight="1">
      <c r="B14" s="231"/>
      <c r="C14" s="834" t="s">
        <v>562</v>
      </c>
      <c r="D14" s="919">
        <f>CPYG!E46</f>
        <v>657375.7</v>
      </c>
      <c r="E14" s="1415"/>
      <c r="F14" s="1372"/>
    </row>
    <row r="15" spans="2:6" ht="3" customHeight="1">
      <c r="B15" s="231"/>
      <c r="C15" s="834"/>
      <c r="D15" s="919"/>
      <c r="E15" s="1415"/>
      <c r="F15" s="1372"/>
    </row>
    <row r="16" spans="2:6" ht="19.5" customHeight="1">
      <c r="B16" s="828" t="s">
        <v>563</v>
      </c>
      <c r="C16" s="834"/>
      <c r="D16" s="980">
        <f>SUM(D17:D28)</f>
        <v>-7298288.75</v>
      </c>
      <c r="E16" s="1415"/>
      <c r="F16" s="1372"/>
    </row>
    <row r="17" spans="2:6" ht="15" customHeight="1">
      <c r="B17" s="231"/>
      <c r="C17" s="834" t="s">
        <v>564</v>
      </c>
      <c r="D17" s="919">
        <f>CPYG!E12</f>
        <v>-477098.84</v>
      </c>
      <c r="E17" s="1415"/>
      <c r="F17" s="1372"/>
    </row>
    <row r="18" spans="2:6" ht="15" customHeight="1">
      <c r="B18" s="231"/>
      <c r="C18" s="834" t="s">
        <v>565</v>
      </c>
      <c r="D18" s="919">
        <f>CPYG!E29</f>
        <v>-5653432.6</v>
      </c>
      <c r="E18" s="1415"/>
      <c r="F18" s="1372"/>
    </row>
    <row r="19" spans="2:6" ht="15" customHeight="1">
      <c r="B19" s="231"/>
      <c r="C19" s="834" t="s">
        <v>566</v>
      </c>
      <c r="D19" s="919">
        <f>CPYG!E37</f>
        <v>-3095419.98</v>
      </c>
      <c r="E19" s="1415"/>
      <c r="F19" s="1372"/>
    </row>
    <row r="20" spans="2:6" ht="15" customHeight="1">
      <c r="B20" s="231"/>
      <c r="C20" s="834" t="s">
        <v>567</v>
      </c>
      <c r="D20" s="919">
        <f>CPYG!E74</f>
        <v>-181750.69</v>
      </c>
      <c r="E20" s="1415"/>
      <c r="F20" s="1372"/>
    </row>
    <row r="21" spans="2:6" ht="15" customHeight="1">
      <c r="B21" s="231"/>
      <c r="C21" s="834" t="s">
        <v>568</v>
      </c>
      <c r="D21" s="919">
        <f>CPYG!E90</f>
        <v>2109413.36</v>
      </c>
      <c r="E21" s="1415"/>
      <c r="F21" s="1372"/>
    </row>
    <row r="22" spans="2:6" ht="15" customHeight="1">
      <c r="B22" s="231"/>
      <c r="C22" s="834" t="s">
        <v>569</v>
      </c>
      <c r="D22" s="919"/>
      <c r="E22" s="1415"/>
      <c r="F22" s="1372"/>
    </row>
    <row r="23" spans="2:6" ht="15" customHeight="1">
      <c r="B23" s="231"/>
      <c r="C23" s="834" t="s">
        <v>570</v>
      </c>
      <c r="D23" s="919"/>
      <c r="E23" s="1415"/>
      <c r="F23" s="1372"/>
    </row>
    <row r="24" spans="2:6" ht="15" customHeight="1">
      <c r="B24" s="231"/>
      <c r="C24" s="834" t="s">
        <v>571</v>
      </c>
      <c r="D24" s="919"/>
      <c r="E24" s="1415"/>
      <c r="F24" s="1372"/>
    </row>
    <row r="25" spans="2:6" ht="15" customHeight="1">
      <c r="B25" s="231"/>
      <c r="C25" s="834" t="s">
        <v>576</v>
      </c>
      <c r="D25" s="919"/>
      <c r="E25" s="1415"/>
      <c r="F25" s="1372"/>
    </row>
    <row r="26" spans="2:6" ht="15" customHeight="1">
      <c r="B26" s="231"/>
      <c r="C26" s="834" t="s">
        <v>572</v>
      </c>
      <c r="D26" s="919"/>
      <c r="E26" s="1415"/>
      <c r="F26" s="1372"/>
    </row>
    <row r="27" spans="2:6" ht="15" customHeight="1">
      <c r="B27" s="231"/>
      <c r="C27" s="834" t="s">
        <v>573</v>
      </c>
      <c r="D27" s="919"/>
      <c r="E27" s="1415"/>
      <c r="F27" s="1372"/>
    </row>
    <row r="28" spans="2:6" ht="15" customHeight="1">
      <c r="B28" s="835"/>
      <c r="C28" s="836" t="s">
        <v>574</v>
      </c>
      <c r="D28" s="981"/>
      <c r="E28" s="1422"/>
      <c r="F28" s="1423"/>
    </row>
    <row r="29" spans="2:6" ht="22.5" customHeight="1" thickBot="1">
      <c r="B29" s="1418" t="s">
        <v>575</v>
      </c>
      <c r="C29" s="1419"/>
      <c r="D29" s="982">
        <f>D5+D16</f>
        <v>6106835.599999998</v>
      </c>
      <c r="E29" s="1420"/>
      <c r="F29" s="1421"/>
    </row>
  </sheetData>
  <sheetProtection/>
  <mergeCells count="30">
    <mergeCell ref="B29:C29"/>
    <mergeCell ref="E29:F29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5:F15"/>
    <mergeCell ref="E16:F16"/>
    <mergeCell ref="E9:F9"/>
    <mergeCell ref="E10:F10"/>
    <mergeCell ref="E11:F11"/>
    <mergeCell ref="E12:F12"/>
    <mergeCell ref="E7:F7"/>
    <mergeCell ref="E8:F8"/>
    <mergeCell ref="B4:C4"/>
    <mergeCell ref="E13:F13"/>
    <mergeCell ref="E14:F14"/>
    <mergeCell ref="B2:E2"/>
    <mergeCell ref="B3:E3"/>
    <mergeCell ref="E4:F4"/>
    <mergeCell ref="E5:F5"/>
    <mergeCell ref="E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2:I25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753" bestFit="1" customWidth="1"/>
  </cols>
  <sheetData>
    <row r="1" ht="13.5" thickBot="1"/>
    <row r="2" spans="1:9" ht="51" customHeight="1">
      <c r="A2" s="754">
        <v>1</v>
      </c>
      <c r="B2" s="1020" t="s">
        <v>131</v>
      </c>
      <c r="C2" s="1021"/>
      <c r="D2" s="1021"/>
      <c r="E2" s="1021"/>
      <c r="F2" s="1021"/>
      <c r="G2" s="1021"/>
      <c r="H2" s="1021"/>
      <c r="I2" s="740">
        <f>'ORGANOS DE GOBIERNO'!I3</f>
        <v>2017</v>
      </c>
    </row>
    <row r="3" spans="2:9" ht="24" customHeight="1">
      <c r="B3" s="1425" t="str">
        <f>'ORGANOS DE GOBIERNO'!B4:I4</f>
        <v>ENTIDAD: INSTITUTO TECNOLOGICO Y DE ENERGIAS RENOVABLES S.A.</v>
      </c>
      <c r="C3" s="1426"/>
      <c r="D3" s="1426"/>
      <c r="E3" s="1426"/>
      <c r="F3" s="1426"/>
      <c r="G3" s="1426"/>
      <c r="H3" s="1426"/>
      <c r="I3" s="1427"/>
    </row>
    <row r="4" spans="2:9" ht="12.75">
      <c r="B4" s="742"/>
      <c r="C4" s="743"/>
      <c r="D4" s="743"/>
      <c r="E4" s="743"/>
      <c r="F4" s="743"/>
      <c r="G4" s="743"/>
      <c r="H4" s="743"/>
      <c r="I4" s="755"/>
    </row>
    <row r="5" spans="2:9" ht="15.75">
      <c r="B5" s="745" t="s">
        <v>643</v>
      </c>
      <c r="C5" s="746"/>
      <c r="D5" s="746"/>
      <c r="E5" s="743"/>
      <c r="F5" s="743"/>
      <c r="G5" s="743"/>
      <c r="H5" s="743"/>
      <c r="I5" s="755"/>
    </row>
    <row r="6" spans="2:9" ht="12.75">
      <c r="B6" s="742"/>
      <c r="C6" s="743"/>
      <c r="D6" s="743"/>
      <c r="E6" s="743"/>
      <c r="F6" s="743"/>
      <c r="G6" s="743"/>
      <c r="H6" s="743"/>
      <c r="I6" s="755"/>
    </row>
    <row r="7" spans="2:9" ht="12.75">
      <c r="B7" s="747" t="s">
        <v>644</v>
      </c>
      <c r="C7" s="746" t="s">
        <v>645</v>
      </c>
      <c r="D7" s="746"/>
      <c r="E7" s="743"/>
      <c r="F7" s="743"/>
      <c r="G7" s="743"/>
      <c r="H7" s="743"/>
      <c r="I7" s="976">
        <v>0.16202843001615036</v>
      </c>
    </row>
    <row r="8" spans="2:9" ht="12.75">
      <c r="B8" s="742"/>
      <c r="C8" s="743"/>
      <c r="D8" s="743"/>
      <c r="E8" s="743"/>
      <c r="F8" s="743"/>
      <c r="G8" s="743"/>
      <c r="H8" s="743"/>
      <c r="I8" s="975"/>
    </row>
    <row r="9" spans="2:9" ht="12.75">
      <c r="B9" s="742"/>
      <c r="C9" s="743" t="s">
        <v>646</v>
      </c>
      <c r="D9" s="743" t="s">
        <v>647</v>
      </c>
      <c r="E9" s="743"/>
      <c r="F9" s="743"/>
      <c r="G9" s="743"/>
      <c r="H9" s="743"/>
      <c r="I9" s="976">
        <v>0.16046344779476024</v>
      </c>
    </row>
    <row r="10" spans="2:9" ht="12.75">
      <c r="B10" s="742"/>
      <c r="C10" s="743" t="s">
        <v>648</v>
      </c>
      <c r="D10" s="743" t="s">
        <v>649</v>
      </c>
      <c r="E10" s="743"/>
      <c r="F10" s="743"/>
      <c r="G10" s="743"/>
      <c r="H10" s="743"/>
      <c r="I10" s="976">
        <v>0.0015649822213901277</v>
      </c>
    </row>
    <row r="11" spans="2:9" ht="12.75">
      <c r="B11" s="742"/>
      <c r="C11" s="743" t="s">
        <v>650</v>
      </c>
      <c r="D11" s="743" t="s">
        <v>651</v>
      </c>
      <c r="E11" s="743"/>
      <c r="F11" s="743"/>
      <c r="G11" s="743"/>
      <c r="H11" s="743"/>
      <c r="I11" s="974"/>
    </row>
    <row r="12" spans="2:9" ht="7.5" customHeight="1">
      <c r="B12" s="742"/>
      <c r="C12" s="743"/>
      <c r="D12" s="743"/>
      <c r="E12" s="743"/>
      <c r="F12" s="743"/>
      <c r="G12" s="743"/>
      <c r="H12" s="743"/>
      <c r="I12" s="975"/>
    </row>
    <row r="13" spans="2:9" ht="12.75">
      <c r="B13" s="747" t="s">
        <v>652</v>
      </c>
      <c r="C13" s="746" t="s">
        <v>653</v>
      </c>
      <c r="D13" s="743"/>
      <c r="E13" s="743"/>
      <c r="F13" s="743"/>
      <c r="G13" s="743"/>
      <c r="H13" s="743"/>
      <c r="I13" s="976">
        <v>0.4767968271793624</v>
      </c>
    </row>
    <row r="14" spans="2:9" ht="12.75">
      <c r="B14" s="747" t="s">
        <v>654</v>
      </c>
      <c r="C14" s="746" t="s">
        <v>655</v>
      </c>
      <c r="D14" s="743"/>
      <c r="E14" s="743"/>
      <c r="F14" s="743"/>
      <c r="G14" s="743"/>
      <c r="H14" s="743"/>
      <c r="I14" s="976">
        <v>0.19502909951083797</v>
      </c>
    </row>
    <row r="15" spans="2:9" ht="12.75">
      <c r="B15" s="742"/>
      <c r="C15" s="743"/>
      <c r="D15" s="743"/>
      <c r="E15" s="743"/>
      <c r="F15" s="743"/>
      <c r="G15" s="743"/>
      <c r="H15" s="743"/>
      <c r="I15" s="975"/>
    </row>
    <row r="16" spans="2:9" ht="12.75">
      <c r="B16" s="742"/>
      <c r="C16" s="743" t="s">
        <v>646</v>
      </c>
      <c r="D16" s="743" t="s">
        <v>656</v>
      </c>
      <c r="E16" s="743"/>
      <c r="F16" s="743"/>
      <c r="G16" s="743"/>
      <c r="H16" s="743"/>
      <c r="I16" s="976">
        <v>0.13241612353252669</v>
      </c>
    </row>
    <row r="17" spans="2:9" ht="12.75">
      <c r="B17" s="742"/>
      <c r="C17" s="743" t="s">
        <v>648</v>
      </c>
      <c r="D17" s="743" t="s">
        <v>657</v>
      </c>
      <c r="E17" s="743"/>
      <c r="F17" s="743"/>
      <c r="G17" s="743"/>
      <c r="H17" s="743"/>
      <c r="I17" s="976">
        <v>0.05430099376802508</v>
      </c>
    </row>
    <row r="18" spans="2:9" ht="12.75">
      <c r="B18" s="742"/>
      <c r="C18" s="743" t="s">
        <v>650</v>
      </c>
      <c r="D18" s="743" t="s">
        <v>658</v>
      </c>
      <c r="E18" s="743"/>
      <c r="F18" s="743"/>
      <c r="G18" s="743"/>
      <c r="H18" s="743"/>
      <c r="I18" s="976">
        <v>0.008311982210286208</v>
      </c>
    </row>
    <row r="19" spans="2:9" ht="12.75">
      <c r="B19" s="742"/>
      <c r="C19" s="743"/>
      <c r="D19" s="743"/>
      <c r="E19" s="743"/>
      <c r="F19" s="743"/>
      <c r="G19" s="743"/>
      <c r="H19" s="743"/>
      <c r="I19" s="975"/>
    </row>
    <row r="20" spans="2:9" ht="12.75">
      <c r="B20" s="747" t="s">
        <v>659</v>
      </c>
      <c r="C20" s="746" t="s">
        <v>660</v>
      </c>
      <c r="D20" s="743"/>
      <c r="E20" s="743"/>
      <c r="F20" s="743"/>
      <c r="G20" s="743"/>
      <c r="H20" s="743"/>
      <c r="I20" s="976">
        <v>0.1661</v>
      </c>
    </row>
    <row r="21" spans="2:9" ht="5.25" customHeight="1">
      <c r="B21" s="742"/>
      <c r="C21" s="743"/>
      <c r="D21" s="743"/>
      <c r="E21" s="743"/>
      <c r="F21" s="743"/>
      <c r="G21" s="743"/>
      <c r="H21" s="743"/>
      <c r="I21" s="975"/>
    </row>
    <row r="22" spans="2:9" ht="21" customHeight="1">
      <c r="B22" s="742"/>
      <c r="C22" s="743"/>
      <c r="D22" s="1424"/>
      <c r="E22" s="1424"/>
      <c r="F22" s="1424"/>
      <c r="G22" s="1424"/>
      <c r="H22" s="1424"/>
      <c r="I22" s="975"/>
    </row>
    <row r="23" spans="2:9" ht="12.75">
      <c r="B23" s="742"/>
      <c r="C23" s="743"/>
      <c r="D23" s="743"/>
      <c r="E23" s="743"/>
      <c r="F23" s="743"/>
      <c r="G23" s="743"/>
      <c r="H23" s="743"/>
      <c r="I23" s="975"/>
    </row>
    <row r="24" spans="2:9" ht="12.75">
      <c r="B24" s="747" t="s">
        <v>661</v>
      </c>
      <c r="C24" s="743"/>
      <c r="D24" s="743"/>
      <c r="E24" s="743"/>
      <c r="F24" s="743"/>
      <c r="G24" s="743"/>
      <c r="H24" s="743"/>
      <c r="I24" s="976">
        <v>0.9999543567063507</v>
      </c>
    </row>
    <row r="25" spans="2:9" ht="13.5" thickBot="1">
      <c r="B25" s="750"/>
      <c r="C25" s="751"/>
      <c r="D25" s="751"/>
      <c r="E25" s="751"/>
      <c r="F25" s="751"/>
      <c r="G25" s="751"/>
      <c r="H25" s="751"/>
      <c r="I25" s="756"/>
    </row>
  </sheetData>
  <sheetProtection/>
  <mergeCells count="3">
    <mergeCell ref="B2:H2"/>
    <mergeCell ref="D22:H22"/>
    <mergeCell ref="B3:I3"/>
  </mergeCells>
  <printOptions horizontalCentered="1" verticalCentered="1"/>
  <pageMargins left="0.7480314960629921" right="0.7480314960629921" top="0.984251968503937" bottom="0.984251968503937" header="0" footer="0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52"/>
  <sheetViews>
    <sheetView zoomScale="85" zoomScaleNormal="85" zoomScalePageLayoutView="0" workbookViewId="0" topLeftCell="A1">
      <selection activeCell="B3" sqref="B3:J50"/>
    </sheetView>
  </sheetViews>
  <sheetFormatPr defaultColWidth="11.57421875" defaultRowHeight="12.75"/>
  <cols>
    <col min="1" max="1" width="7.8515625" style="133" customWidth="1"/>
    <col min="2" max="2" width="41.28125" style="133" customWidth="1"/>
    <col min="3" max="3" width="16.140625" style="133" customWidth="1"/>
    <col min="4" max="4" width="19.57421875" style="133" customWidth="1"/>
    <col min="5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9.8515625" style="133" customWidth="1"/>
    <col min="10" max="10" width="20.421875" style="133" customWidth="1"/>
    <col min="11" max="16384" width="11.57421875" style="133" customWidth="1"/>
  </cols>
  <sheetData>
    <row r="2" ht="13.5" thickBot="1"/>
    <row r="3" spans="1:10" ht="33.75" customHeight="1">
      <c r="A3" s="759"/>
      <c r="B3" s="1027" t="s">
        <v>452</v>
      </c>
      <c r="C3" s="1028"/>
      <c r="D3" s="1028"/>
      <c r="E3" s="1028"/>
      <c r="F3" s="1028"/>
      <c r="G3" s="1028"/>
      <c r="H3" s="1028"/>
      <c r="I3" s="1029"/>
      <c r="J3" s="1030">
        <v>2017</v>
      </c>
    </row>
    <row r="4" spans="1:10" ht="22.5" customHeight="1" thickBot="1">
      <c r="A4" s="759"/>
      <c r="B4" s="1032" t="s">
        <v>343</v>
      </c>
      <c r="C4" s="1033"/>
      <c r="D4" s="1033"/>
      <c r="E4" s="1033"/>
      <c r="F4" s="1033"/>
      <c r="G4" s="1033"/>
      <c r="H4" s="1033"/>
      <c r="I4" s="1034"/>
      <c r="J4" s="1031"/>
    </row>
    <row r="5" spans="2:10" ht="30" customHeight="1">
      <c r="B5" s="1035" t="str">
        <f>'ORGANOS DE GOBIERNO'!B4:I4</f>
        <v>ENTIDAD: INSTITUTO TECNOLOGICO Y DE ENERGIAS RENOVABLES S.A.</v>
      </c>
      <c r="C5" s="1036"/>
      <c r="D5" s="1036"/>
      <c r="E5" s="1036"/>
      <c r="F5" s="1036"/>
      <c r="G5" s="1036"/>
      <c r="H5" s="1036"/>
      <c r="I5" s="1036"/>
      <c r="J5" s="1037"/>
    </row>
    <row r="6" spans="2:10" ht="6" customHeight="1">
      <c r="B6" s="760"/>
      <c r="C6" s="761"/>
      <c r="D6" s="761"/>
      <c r="E6" s="761"/>
      <c r="F6" s="761"/>
      <c r="G6" s="158"/>
      <c r="H6" s="158"/>
      <c r="I6" s="158"/>
      <c r="J6" s="232"/>
    </row>
    <row r="7" spans="2:10" ht="18" customHeight="1">
      <c r="B7" s="762" t="s">
        <v>662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63"/>
      <c r="C8" s="764"/>
      <c r="D8" s="158"/>
      <c r="E8" s="158"/>
      <c r="F8" s="158"/>
      <c r="G8" s="1025" t="s">
        <v>453</v>
      </c>
      <c r="H8" s="1025"/>
      <c r="I8" s="1025"/>
      <c r="J8" s="1026"/>
    </row>
    <row r="9" spans="2:10" ht="46.5" customHeight="1" thickBot="1">
      <c r="B9" s="765" t="s">
        <v>663</v>
      </c>
      <c r="C9" s="766" t="s">
        <v>664</v>
      </c>
      <c r="D9" s="767" t="s">
        <v>454</v>
      </c>
      <c r="E9" s="767" t="s">
        <v>455</v>
      </c>
      <c r="F9" s="766" t="s">
        <v>461</v>
      </c>
      <c r="G9" s="766" t="s">
        <v>456</v>
      </c>
      <c r="H9" s="766" t="s">
        <v>457</v>
      </c>
      <c r="I9" s="766" t="s">
        <v>458</v>
      </c>
      <c r="J9" s="768" t="s">
        <v>459</v>
      </c>
    </row>
    <row r="10" spans="2:10" ht="15" customHeight="1">
      <c r="B10" s="763" t="s">
        <v>108</v>
      </c>
      <c r="C10" s="938">
        <v>0.9358</v>
      </c>
      <c r="D10" s="937">
        <v>417561</v>
      </c>
      <c r="E10" s="769">
        <v>25095416.1</v>
      </c>
      <c r="F10" s="769">
        <v>25095416.1</v>
      </c>
      <c r="G10" s="938">
        <v>0.0185</v>
      </c>
      <c r="H10" s="937">
        <f>49916*2</f>
        <v>99832</v>
      </c>
      <c r="I10" s="158"/>
      <c r="J10" s="232"/>
    </row>
    <row r="11" spans="2:10" ht="15" customHeight="1">
      <c r="B11" s="763" t="s">
        <v>988</v>
      </c>
      <c r="C11" s="938">
        <v>0.036</v>
      </c>
      <c r="D11" s="937">
        <v>16057</v>
      </c>
      <c r="E11" s="769">
        <v>965025.7</v>
      </c>
      <c r="F11" s="769">
        <v>965025.7</v>
      </c>
      <c r="G11" s="158"/>
      <c r="H11" s="158"/>
      <c r="I11" s="158"/>
      <c r="J11" s="232"/>
    </row>
    <row r="12" spans="2:10" ht="15" customHeight="1">
      <c r="B12" s="763" t="s">
        <v>989</v>
      </c>
      <c r="C12" s="938">
        <v>0.0282</v>
      </c>
      <c r="D12" s="937">
        <v>12574</v>
      </c>
      <c r="E12" s="769">
        <v>755697.4</v>
      </c>
      <c r="F12" s="769">
        <v>755697.4</v>
      </c>
      <c r="G12" s="158"/>
      <c r="H12" s="158"/>
      <c r="I12" s="158"/>
      <c r="J12" s="232"/>
    </row>
    <row r="13" spans="2:10" ht="15" customHeight="1">
      <c r="B13" s="763"/>
      <c r="C13" s="739"/>
      <c r="D13" s="770"/>
      <c r="E13" s="771"/>
      <c r="F13" s="771"/>
      <c r="G13" s="158"/>
      <c r="H13" s="158"/>
      <c r="I13" s="158"/>
      <c r="J13" s="232"/>
    </row>
    <row r="14" spans="2:10" ht="15" customHeight="1">
      <c r="B14" s="763"/>
      <c r="C14" s="772"/>
      <c r="D14" s="770"/>
      <c r="E14" s="771"/>
      <c r="F14" s="771"/>
      <c r="G14" s="158"/>
      <c r="H14" s="158"/>
      <c r="I14" s="158"/>
      <c r="J14" s="232"/>
    </row>
    <row r="15" spans="2:10" ht="15" customHeight="1">
      <c r="B15" s="231"/>
      <c r="C15" s="739"/>
      <c r="D15" s="770"/>
      <c r="E15" s="771"/>
      <c r="F15" s="771"/>
      <c r="G15" s="158"/>
      <c r="H15" s="158"/>
      <c r="I15" s="158"/>
      <c r="J15" s="232"/>
    </row>
    <row r="16" spans="2:10" ht="15" customHeight="1">
      <c r="B16" s="762" t="s">
        <v>665</v>
      </c>
      <c r="C16" s="739"/>
      <c r="D16" s="158"/>
      <c r="E16" s="771"/>
      <c r="F16" s="771"/>
      <c r="G16" s="158"/>
      <c r="H16" s="158"/>
      <c r="I16" s="158"/>
      <c r="J16" s="232"/>
    </row>
    <row r="17" spans="2:10" ht="27.75" customHeight="1">
      <c r="B17" s="763"/>
      <c r="C17" s="772"/>
      <c r="D17" s="158"/>
      <c r="E17" s="158"/>
      <c r="F17" s="158"/>
      <c r="G17" s="1025" t="s">
        <v>453</v>
      </c>
      <c r="H17" s="1025"/>
      <c r="I17" s="1025"/>
      <c r="J17" s="1026"/>
    </row>
    <row r="18" spans="2:10" ht="36" customHeight="1" thickBot="1">
      <c r="B18" s="765" t="s">
        <v>666</v>
      </c>
      <c r="C18" s="766" t="s">
        <v>664</v>
      </c>
      <c r="D18" s="767" t="s">
        <v>454</v>
      </c>
      <c r="E18" s="767" t="s">
        <v>455</v>
      </c>
      <c r="F18" s="766" t="s">
        <v>460</v>
      </c>
      <c r="G18" s="766" t="s">
        <v>456</v>
      </c>
      <c r="H18" s="766" t="s">
        <v>457</v>
      </c>
      <c r="I18" s="766" t="s">
        <v>458</v>
      </c>
      <c r="J18" s="768" t="s">
        <v>459</v>
      </c>
    </row>
    <row r="19" spans="2:10" ht="15" customHeight="1">
      <c r="B19" s="763" t="s">
        <v>990</v>
      </c>
      <c r="C19" s="938">
        <v>0.5</v>
      </c>
      <c r="D19" s="937">
        <v>35</v>
      </c>
      <c r="E19" s="937">
        <v>6010.12</v>
      </c>
      <c r="F19" s="937"/>
      <c r="G19" s="158"/>
      <c r="H19" s="158"/>
      <c r="I19" s="158"/>
      <c r="J19" s="232"/>
    </row>
    <row r="20" spans="2:10" ht="15" customHeight="1">
      <c r="B20" s="763" t="s">
        <v>991</v>
      </c>
      <c r="C20" s="938">
        <v>0.3994</v>
      </c>
      <c r="D20" s="937">
        <v>1626810</v>
      </c>
      <c r="E20" s="937">
        <v>1</v>
      </c>
      <c r="F20" s="937"/>
      <c r="G20" s="938"/>
      <c r="H20" s="158"/>
      <c r="I20" s="158"/>
      <c r="J20" s="232"/>
    </row>
    <row r="21" spans="2:10" ht="15" customHeight="1">
      <c r="B21" s="763" t="s">
        <v>992</v>
      </c>
      <c r="C21" s="938">
        <v>0.3</v>
      </c>
      <c r="D21" s="937">
        <v>2250000</v>
      </c>
      <c r="E21" s="937">
        <v>1</v>
      </c>
      <c r="F21" s="937"/>
      <c r="G21" s="938"/>
      <c r="H21" s="158"/>
      <c r="I21" s="158"/>
      <c r="J21" s="232"/>
    </row>
    <row r="22" spans="2:10" ht="15" customHeight="1">
      <c r="B22" s="763" t="s">
        <v>993</v>
      </c>
      <c r="C22" s="938">
        <v>0.21</v>
      </c>
      <c r="D22" s="937">
        <v>9651</v>
      </c>
      <c r="E22" s="937">
        <v>100</v>
      </c>
      <c r="F22" s="937"/>
      <c r="G22" s="938">
        <v>0.0003</v>
      </c>
      <c r="H22" s="937">
        <v>13</v>
      </c>
      <c r="I22" s="942"/>
      <c r="J22" s="232"/>
    </row>
    <row r="23" spans="2:10" ht="15" customHeight="1">
      <c r="B23" s="763" t="s">
        <v>994</v>
      </c>
      <c r="C23" s="938">
        <v>1</v>
      </c>
      <c r="D23" s="937">
        <v>10676</v>
      </c>
      <c r="E23" s="937"/>
      <c r="F23" s="937">
        <v>3000048.4</v>
      </c>
      <c r="G23" s="938"/>
      <c r="H23" s="158"/>
      <c r="I23" s="158"/>
      <c r="J23" s="232"/>
    </row>
    <row r="24" spans="2:10" ht="15" customHeight="1">
      <c r="B24" s="763" t="s">
        <v>995</v>
      </c>
      <c r="C24" s="938">
        <v>0.3</v>
      </c>
      <c r="D24" s="937">
        <v>180</v>
      </c>
      <c r="E24" s="937">
        <v>1000</v>
      </c>
      <c r="F24" s="937">
        <v>180000</v>
      </c>
      <c r="G24" s="938"/>
      <c r="H24" s="158"/>
      <c r="I24" s="158"/>
      <c r="J24" s="232"/>
    </row>
    <row r="25" spans="2:10" ht="15" customHeight="1">
      <c r="B25" s="763" t="s">
        <v>996</v>
      </c>
      <c r="C25" s="938">
        <v>1</v>
      </c>
      <c r="D25" s="937">
        <v>602</v>
      </c>
      <c r="E25" s="937"/>
      <c r="F25" s="937"/>
      <c r="G25" s="938"/>
      <c r="H25" s="158"/>
      <c r="I25" s="158"/>
      <c r="J25" s="232"/>
    </row>
    <row r="26" spans="2:10" ht="15" customHeight="1">
      <c r="B26" s="763" t="s">
        <v>997</v>
      </c>
      <c r="C26" s="938">
        <v>0.12</v>
      </c>
      <c r="D26" s="937">
        <v>120</v>
      </c>
      <c r="E26" s="937">
        <v>60.2</v>
      </c>
      <c r="F26" s="937">
        <v>5418</v>
      </c>
      <c r="G26" s="938"/>
      <c r="H26" s="158"/>
      <c r="I26" s="158"/>
      <c r="J26" s="232"/>
    </row>
    <row r="27" spans="2:10" ht="15" customHeight="1">
      <c r="B27" s="763" t="s">
        <v>998</v>
      </c>
      <c r="C27" s="938"/>
      <c r="D27" s="937"/>
      <c r="E27" s="937"/>
      <c r="F27" s="937"/>
      <c r="G27" s="938"/>
      <c r="H27" s="158"/>
      <c r="I27" s="158"/>
      <c r="J27" s="232"/>
    </row>
    <row r="28" spans="2:10" ht="15" customHeight="1">
      <c r="B28" s="763" t="s">
        <v>999</v>
      </c>
      <c r="C28" s="938">
        <v>0.03</v>
      </c>
      <c r="D28" s="937">
        <v>266</v>
      </c>
      <c r="E28" s="937">
        <v>60.1</v>
      </c>
      <c r="F28" s="937"/>
      <c r="G28" s="938"/>
      <c r="H28" s="158"/>
      <c r="I28" s="158"/>
      <c r="J28" s="232"/>
    </row>
    <row r="29" spans="2:10" ht="15" customHeight="1">
      <c r="B29" s="763" t="s">
        <v>1000</v>
      </c>
      <c r="C29" s="938"/>
      <c r="D29" s="158"/>
      <c r="E29" s="158"/>
      <c r="F29" s="158"/>
      <c r="G29" s="158"/>
      <c r="H29" s="158"/>
      <c r="I29" s="158"/>
      <c r="J29" s="232"/>
    </row>
    <row r="30" spans="2:10" ht="15" customHeight="1">
      <c r="B30" s="763"/>
      <c r="C30" s="773"/>
      <c r="D30" s="158"/>
      <c r="E30" s="158"/>
      <c r="F30" s="158"/>
      <c r="G30" s="158"/>
      <c r="H30" s="158"/>
      <c r="I30" s="158"/>
      <c r="J30" s="232"/>
    </row>
    <row r="31" spans="2:10" ht="15" customHeight="1">
      <c r="B31" s="763"/>
      <c r="C31" s="764"/>
      <c r="D31" s="158"/>
      <c r="E31" s="158"/>
      <c r="F31" s="158"/>
      <c r="G31" s="158"/>
      <c r="H31" s="158"/>
      <c r="I31" s="158"/>
      <c r="J31" s="232"/>
    </row>
    <row r="32" spans="2:10" ht="15" customHeight="1">
      <c r="B32" s="762" t="s">
        <v>667</v>
      </c>
      <c r="C32" s="158"/>
      <c r="D32" s="158"/>
      <c r="E32" s="158"/>
      <c r="F32" s="158"/>
      <c r="G32" s="158"/>
      <c r="H32" s="158"/>
      <c r="I32" s="158"/>
      <c r="J32" s="232"/>
    </row>
    <row r="33" spans="2:10" ht="5.25" customHeight="1">
      <c r="B33" s="763"/>
      <c r="C33" s="764"/>
      <c r="D33" s="158"/>
      <c r="E33" s="158"/>
      <c r="F33" s="158"/>
      <c r="G33" s="158"/>
      <c r="H33" s="158"/>
      <c r="I33" s="158"/>
      <c r="J33" s="232"/>
    </row>
    <row r="34" spans="2:10" ht="29.25" customHeight="1" thickBot="1">
      <c r="B34" s="765" t="s">
        <v>668</v>
      </c>
      <c r="C34" s="774" t="s">
        <v>669</v>
      </c>
      <c r="D34" s="766" t="s">
        <v>670</v>
      </c>
      <c r="E34" s="314"/>
      <c r="F34" s="314"/>
      <c r="G34" s="314"/>
      <c r="H34" s="314"/>
      <c r="I34" s="314"/>
      <c r="J34" s="318"/>
    </row>
    <row r="35" spans="2:10" ht="9.75" customHeight="1">
      <c r="B35" s="775"/>
      <c r="C35" s="776"/>
      <c r="D35" s="758"/>
      <c r="E35" s="158"/>
      <c r="F35" s="158"/>
      <c r="G35" s="158"/>
      <c r="H35" s="158"/>
      <c r="I35" s="158"/>
      <c r="J35" s="232"/>
    </row>
    <row r="36" spans="2:10" ht="16.5" customHeight="1">
      <c r="B36" s="945" t="s">
        <v>1002</v>
      </c>
      <c r="C36" s="946" t="s">
        <v>671</v>
      </c>
      <c r="D36" s="777"/>
      <c r="E36" s="158"/>
      <c r="F36" s="158"/>
      <c r="G36" s="158"/>
      <c r="H36" s="158"/>
      <c r="I36" s="158"/>
      <c r="J36" s="232"/>
    </row>
    <row r="37" spans="2:10" ht="15" customHeight="1">
      <c r="B37" s="945" t="s">
        <v>1003</v>
      </c>
      <c r="C37" s="946" t="s">
        <v>672</v>
      </c>
      <c r="D37" s="777"/>
      <c r="E37" s="158"/>
      <c r="F37" s="158"/>
      <c r="G37" s="158"/>
      <c r="H37" s="158"/>
      <c r="I37" s="158"/>
      <c r="J37" s="232"/>
    </row>
    <row r="38" spans="2:10" ht="15" customHeight="1">
      <c r="B38" s="945" t="s">
        <v>1004</v>
      </c>
      <c r="C38" s="946" t="s">
        <v>672</v>
      </c>
      <c r="D38" s="777"/>
      <c r="E38" s="158"/>
      <c r="F38" s="158"/>
      <c r="G38" s="158"/>
      <c r="H38" s="158"/>
      <c r="I38" s="158"/>
      <c r="J38" s="232"/>
    </row>
    <row r="39" spans="2:10" ht="15" customHeight="1">
      <c r="B39" s="945" t="s">
        <v>1005</v>
      </c>
      <c r="C39" s="946" t="s">
        <v>672</v>
      </c>
      <c r="D39" s="778"/>
      <c r="E39" s="158"/>
      <c r="F39" s="158"/>
      <c r="G39" s="158"/>
      <c r="H39" s="158"/>
      <c r="I39" s="158"/>
      <c r="J39" s="232"/>
    </row>
    <row r="40" spans="2:10" ht="15" customHeight="1">
      <c r="B40" s="945" t="s">
        <v>1006</v>
      </c>
      <c r="C40" s="946" t="s">
        <v>672</v>
      </c>
      <c r="D40" s="777"/>
      <c r="E40" s="158"/>
      <c r="F40" s="158"/>
      <c r="G40" s="158"/>
      <c r="H40" s="158"/>
      <c r="I40" s="158"/>
      <c r="J40" s="232"/>
    </row>
    <row r="41" spans="2:10" ht="15" customHeight="1">
      <c r="B41" s="945" t="s">
        <v>1007</v>
      </c>
      <c r="C41" s="946" t="s">
        <v>672</v>
      </c>
      <c r="D41" s="777"/>
      <c r="E41" s="158"/>
      <c r="F41" s="158"/>
      <c r="G41" s="158"/>
      <c r="H41" s="158"/>
      <c r="I41" s="158"/>
      <c r="J41" s="232"/>
    </row>
    <row r="42" spans="2:10" ht="15" customHeight="1">
      <c r="B42" s="945" t="s">
        <v>1008</v>
      </c>
      <c r="C42" s="946" t="s">
        <v>672</v>
      </c>
      <c r="D42" s="777"/>
      <c r="E42" s="158"/>
      <c r="F42" s="158"/>
      <c r="G42" s="158"/>
      <c r="H42" s="158"/>
      <c r="I42" s="158"/>
      <c r="J42" s="232"/>
    </row>
    <row r="43" spans="2:10" ht="15" customHeight="1">
      <c r="B43" s="945" t="s">
        <v>1009</v>
      </c>
      <c r="C43" s="946" t="s">
        <v>672</v>
      </c>
      <c r="D43" s="777"/>
      <c r="E43" s="158"/>
      <c r="F43" s="158"/>
      <c r="G43" s="158"/>
      <c r="H43" s="158"/>
      <c r="I43" s="158"/>
      <c r="J43" s="232"/>
    </row>
    <row r="44" spans="2:10" ht="15" customHeight="1">
      <c r="B44" s="945" t="s">
        <v>1010</v>
      </c>
      <c r="C44" s="946" t="s">
        <v>672</v>
      </c>
      <c r="D44" s="777"/>
      <c r="E44" s="158"/>
      <c r="F44" s="158"/>
      <c r="G44" s="158"/>
      <c r="H44" s="158"/>
      <c r="I44" s="158"/>
      <c r="J44" s="232"/>
    </row>
    <row r="45" spans="2:10" ht="15" customHeight="1">
      <c r="B45" s="945"/>
      <c r="C45" s="946"/>
      <c r="D45" s="777"/>
      <c r="E45" s="158"/>
      <c r="F45" s="158"/>
      <c r="G45" s="158"/>
      <c r="H45" s="158"/>
      <c r="I45" s="158"/>
      <c r="J45" s="232"/>
    </row>
    <row r="46" spans="2:10" ht="15" customHeight="1">
      <c r="B46" s="231"/>
      <c r="C46" s="158"/>
      <c r="D46" s="158"/>
      <c r="E46" s="158"/>
      <c r="F46" s="158"/>
      <c r="G46" s="158"/>
      <c r="H46" s="158"/>
      <c r="I46" s="158"/>
      <c r="J46" s="232"/>
    </row>
    <row r="47" spans="2:10" ht="20.25" customHeight="1">
      <c r="B47" s="762" t="s">
        <v>673</v>
      </c>
      <c r="C47" s="158"/>
      <c r="D47" s="158"/>
      <c r="E47" s="158"/>
      <c r="F47" s="158"/>
      <c r="G47" s="158"/>
      <c r="H47" s="158"/>
      <c r="I47" s="158"/>
      <c r="J47" s="232"/>
    </row>
    <row r="48" spans="2:10" ht="15" customHeight="1">
      <c r="B48" s="231"/>
      <c r="C48" s="158"/>
      <c r="D48" s="158"/>
      <c r="E48" s="158"/>
      <c r="F48" s="158"/>
      <c r="G48" s="158"/>
      <c r="H48" s="158"/>
      <c r="I48" s="158"/>
      <c r="J48" s="232"/>
    </row>
    <row r="49" spans="2:10" ht="15" customHeight="1">
      <c r="B49" s="775" t="s">
        <v>668</v>
      </c>
      <c r="C49" s="764"/>
      <c r="D49" s="158"/>
      <c r="E49" s="158"/>
      <c r="F49" s="158"/>
      <c r="G49" s="158"/>
      <c r="H49" s="158"/>
      <c r="I49" s="158"/>
      <c r="J49" s="232"/>
    </row>
    <row r="50" spans="2:10" ht="15" customHeight="1" thickBot="1">
      <c r="B50" s="317"/>
      <c r="C50" s="314"/>
      <c r="D50" s="314"/>
      <c r="E50" s="314"/>
      <c r="F50" s="314"/>
      <c r="G50" s="314"/>
      <c r="H50" s="314"/>
      <c r="I50" s="314"/>
      <c r="J50" s="318"/>
    </row>
    <row r="51" spans="2:6" ht="13.5" customHeight="1">
      <c r="B51" s="158"/>
      <c r="C51" s="158"/>
      <c r="D51" s="158"/>
      <c r="E51" s="158"/>
      <c r="F51" s="158"/>
    </row>
    <row r="52" spans="2:6" ht="13.5" customHeight="1">
      <c r="B52" s="158"/>
      <c r="C52" s="158"/>
      <c r="D52" s="158"/>
      <c r="E52" s="158"/>
      <c r="F52" s="158"/>
    </row>
    <row r="53" ht="13.5" customHeight="1"/>
    <row r="54" ht="13.5" customHeight="1"/>
    <row r="55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B2:H62"/>
  <sheetViews>
    <sheetView zoomScalePageLayoutView="0" workbookViewId="0" topLeftCell="A1">
      <selection activeCell="B2" sqref="B2:F23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78" customWidth="1"/>
    <col min="6" max="6" width="13.7109375" style="673" customWidth="1"/>
    <col min="7" max="7" width="8.8515625" style="133" customWidth="1"/>
    <col min="8" max="16384" width="11.57421875" style="133" customWidth="1"/>
  </cols>
  <sheetData>
    <row r="2" spans="2:5" ht="12.75">
      <c r="B2" s="1042" t="s">
        <v>674</v>
      </c>
      <c r="C2" s="1042"/>
      <c r="D2" s="1042"/>
      <c r="E2" s="676"/>
    </row>
    <row r="3" spans="2:5" ht="13.5" thickBot="1">
      <c r="B3" s="183"/>
      <c r="C3" s="183"/>
      <c r="D3" s="183"/>
      <c r="E3" s="676"/>
    </row>
    <row r="4" spans="2:5" ht="15.75" thickBot="1">
      <c r="B4" s="1043" t="str">
        <f>'ORGANOS DE GOBIERNO'!B4:I4</f>
        <v>ENTIDAD: INSTITUTO TECNOLOGICO Y DE ENERGIAS RENOVABLES S.A.</v>
      </c>
      <c r="C4" s="1044"/>
      <c r="D4" s="1045"/>
      <c r="E4" s="677"/>
    </row>
    <row r="5" spans="2:3" ht="13.5" thickBot="1">
      <c r="B5" s="184"/>
      <c r="C5" s="184"/>
    </row>
    <row r="6" spans="2:5" ht="15.75" thickBot="1">
      <c r="B6" s="1046" t="s">
        <v>428</v>
      </c>
      <c r="C6" s="1044"/>
      <c r="D6" s="1045"/>
      <c r="E6" s="677"/>
    </row>
    <row r="7" spans="2:3" ht="13.5" thickBot="1">
      <c r="B7" s="184"/>
      <c r="C7" s="184"/>
    </row>
    <row r="8" spans="2:5" ht="13.5" customHeight="1">
      <c r="B8" s="1047" t="s">
        <v>695</v>
      </c>
      <c r="C8" s="1048"/>
      <c r="D8" s="1038"/>
      <c r="E8" s="679"/>
    </row>
    <row r="9" spans="2:5" ht="12.75" customHeight="1">
      <c r="B9" s="1433"/>
      <c r="C9" s="1434"/>
      <c r="D9" s="1428"/>
      <c r="E9" s="680"/>
    </row>
    <row r="10" spans="2:5" ht="12.75">
      <c r="B10" s="135"/>
      <c r="C10" s="136"/>
      <c r="D10" s="137"/>
      <c r="E10" s="681"/>
    </row>
    <row r="11" spans="2:8" ht="12.75">
      <c r="B11" s="138" t="s">
        <v>697</v>
      </c>
      <c r="C11" s="139" t="s">
        <v>783</v>
      </c>
      <c r="D11" s="140">
        <v>0</v>
      </c>
      <c r="E11" s="682"/>
      <c r="F11" s="674"/>
      <c r="H11" s="674"/>
    </row>
    <row r="12" spans="2:8" ht="12.75">
      <c r="B12" s="138" t="s">
        <v>698</v>
      </c>
      <c r="C12" s="139" t="s">
        <v>784</v>
      </c>
      <c r="D12" s="140">
        <v>0</v>
      </c>
      <c r="E12" s="682"/>
      <c r="F12" s="674"/>
      <c r="H12" s="674"/>
    </row>
    <row r="13" spans="2:8" ht="12.75">
      <c r="B13" s="138" t="s">
        <v>699</v>
      </c>
      <c r="C13" s="139" t="s">
        <v>785</v>
      </c>
      <c r="D13" s="140">
        <f>'PRESUPUESTO CPYG'!D13</f>
        <v>8143583.81</v>
      </c>
      <c r="E13" s="682"/>
      <c r="F13" s="674"/>
      <c r="H13" s="674"/>
    </row>
    <row r="14" spans="2:8" ht="12.75">
      <c r="B14" s="138" t="s">
        <v>700</v>
      </c>
      <c r="C14" s="139" t="s">
        <v>786</v>
      </c>
      <c r="D14" s="140">
        <f>'PRESUPUESTO CPYG'!D14+'Transf. y subv.'!F64</f>
        <v>2486181.94</v>
      </c>
      <c r="E14" s="682"/>
      <c r="F14" s="674"/>
      <c r="H14" s="674"/>
    </row>
    <row r="15" spans="2:8" ht="12.75">
      <c r="B15" s="138" t="s">
        <v>701</v>
      </c>
      <c r="C15" s="139" t="s">
        <v>787</v>
      </c>
      <c r="D15" s="140">
        <f>'PRESUPUESTO CPYG'!D15</f>
        <v>1051154.29</v>
      </c>
      <c r="E15" s="682"/>
      <c r="F15" s="674"/>
      <c r="H15" s="674"/>
    </row>
    <row r="16" spans="2:5" ht="12.75">
      <c r="B16" s="141"/>
      <c r="C16" s="142"/>
      <c r="D16" s="143"/>
      <c r="E16" s="683"/>
    </row>
    <row r="17" spans="2:5" ht="12.75">
      <c r="B17" s="144" t="s">
        <v>702</v>
      </c>
      <c r="C17" s="145"/>
      <c r="D17" s="146">
        <f>SUM(D11:D15)</f>
        <v>11680920.04</v>
      </c>
      <c r="E17" s="684"/>
    </row>
    <row r="18" spans="2:5" ht="12.75">
      <c r="B18" s="147"/>
      <c r="C18" s="148"/>
      <c r="D18" s="149"/>
      <c r="E18" s="683"/>
    </row>
    <row r="19" spans="2:5" ht="12.75">
      <c r="B19" s="141"/>
      <c r="C19" s="142"/>
      <c r="D19" s="143"/>
      <c r="E19" s="683"/>
    </row>
    <row r="20" spans="2:5" ht="12.75">
      <c r="B20" s="138" t="s">
        <v>703</v>
      </c>
      <c r="C20" s="139" t="s">
        <v>788</v>
      </c>
      <c r="D20" s="143">
        <f>-'Inv. NO FIN'!I21</f>
        <v>0</v>
      </c>
      <c r="E20" s="683"/>
    </row>
    <row r="21" spans="2:5" ht="12.75">
      <c r="B21" s="138" t="s">
        <v>704</v>
      </c>
      <c r="C21" s="139" t="s">
        <v>789</v>
      </c>
      <c r="D21" s="143">
        <f>'Transf. y subv.'!F18</f>
        <v>719000</v>
      </c>
      <c r="E21" s="683"/>
    </row>
    <row r="22" spans="2:5" ht="12.75">
      <c r="B22" s="141"/>
      <c r="C22" s="142"/>
      <c r="D22" s="143"/>
      <c r="E22" s="683"/>
    </row>
    <row r="23" spans="2:5" ht="12.75">
      <c r="B23" s="144" t="s">
        <v>705</v>
      </c>
      <c r="C23" s="145"/>
      <c r="D23" s="146">
        <f>SUM(D20:D21)</f>
        <v>719000</v>
      </c>
      <c r="E23" s="684"/>
    </row>
    <row r="24" spans="2:5" ht="12.75">
      <c r="B24" s="147"/>
      <c r="C24" s="148"/>
      <c r="D24" s="149"/>
      <c r="E24" s="683"/>
    </row>
    <row r="25" spans="2:5" ht="12.75">
      <c r="B25" s="141"/>
      <c r="C25" s="142"/>
      <c r="D25" s="143"/>
      <c r="E25" s="683"/>
    </row>
    <row r="26" spans="2:5" ht="12.75">
      <c r="B26" s="138" t="s">
        <v>706</v>
      </c>
      <c r="C26" s="139" t="s">
        <v>790</v>
      </c>
      <c r="D26" s="140">
        <f>-'Inv. FIN'!H17-'Inv. FIN'!H27-'Inv. FIN'!H39-'Inv. FIN'!H46</f>
        <v>1812374.62</v>
      </c>
      <c r="E26" s="682"/>
    </row>
    <row r="27" spans="2:5" ht="12.75">
      <c r="B27" s="138" t="s">
        <v>707</v>
      </c>
      <c r="C27" s="139" t="s">
        <v>791</v>
      </c>
      <c r="D27" s="140">
        <f>'Deuda L.P.'!L20</f>
        <v>0</v>
      </c>
      <c r="E27" s="682"/>
    </row>
    <row r="28" spans="2:5" ht="12.75">
      <c r="B28" s="141"/>
      <c r="C28" s="142"/>
      <c r="D28" s="143"/>
      <c r="E28" s="683"/>
    </row>
    <row r="29" spans="2:5" ht="12.75">
      <c r="B29" s="144" t="s">
        <v>708</v>
      </c>
      <c r="C29" s="145"/>
      <c r="D29" s="150">
        <f>SUM(D26:D27)</f>
        <v>1812374.62</v>
      </c>
      <c r="E29" s="685"/>
    </row>
    <row r="30" spans="2:5" ht="12.75">
      <c r="B30" s="151"/>
      <c r="C30" s="152"/>
      <c r="D30" s="153"/>
      <c r="E30" s="686"/>
    </row>
    <row r="31" spans="2:5" ht="12.75">
      <c r="B31" s="336"/>
      <c r="C31" s="188"/>
      <c r="D31" s="337"/>
      <c r="E31" s="681"/>
    </row>
    <row r="32" spans="2:5" ht="12.75">
      <c r="B32" s="154"/>
      <c r="C32" s="156" t="s">
        <v>709</v>
      </c>
      <c r="D32" s="157">
        <f>D17+D23+D29</f>
        <v>14212294.66</v>
      </c>
      <c r="E32" s="685"/>
    </row>
    <row r="33" spans="2:5" ht="13.5" thickBot="1">
      <c r="B33" s="164"/>
      <c r="C33" s="203"/>
      <c r="D33" s="166"/>
      <c r="E33" s="681"/>
    </row>
    <row r="34" spans="3:5" ht="12.75">
      <c r="C34" s="158"/>
      <c r="D34" s="133"/>
      <c r="E34" s="230"/>
    </row>
    <row r="36" ht="13.5" thickBot="1"/>
    <row r="37" spans="2:5" ht="13.5" customHeight="1">
      <c r="B37" s="1047" t="s">
        <v>695</v>
      </c>
      <c r="C37" s="1431"/>
      <c r="D37" s="1429"/>
      <c r="E37" s="687"/>
    </row>
    <row r="38" spans="2:5" ht="12.75" customHeight="1" thickBot="1">
      <c r="B38" s="1049"/>
      <c r="C38" s="1432"/>
      <c r="D38" s="1430"/>
      <c r="E38" s="688"/>
    </row>
    <row r="39" spans="2:8" ht="12.75">
      <c r="B39" s="151"/>
      <c r="C39" s="159"/>
      <c r="D39" s="153"/>
      <c r="E39" s="686"/>
      <c r="H39" s="158"/>
    </row>
    <row r="40" spans="2:8" ht="12.75">
      <c r="B40" s="138" t="s">
        <v>697</v>
      </c>
      <c r="C40" s="210" t="s">
        <v>711</v>
      </c>
      <c r="D40" s="168">
        <f>'PRESUPUESTO CPYG'!D45</f>
        <v>5653432.6</v>
      </c>
      <c r="E40" s="672"/>
      <c r="H40" s="674"/>
    </row>
    <row r="41" spans="2:8" ht="12.75">
      <c r="B41" s="138" t="s">
        <v>698</v>
      </c>
      <c r="C41" s="210" t="s">
        <v>712</v>
      </c>
      <c r="D41" s="168">
        <f>'PRESUPUESTO CPYG'!D46</f>
        <v>1463105.46</v>
      </c>
      <c r="E41" s="672"/>
      <c r="H41" s="674"/>
    </row>
    <row r="42" spans="2:8" ht="12.75">
      <c r="B42" s="138" t="s">
        <v>699</v>
      </c>
      <c r="C42" s="210" t="s">
        <v>137</v>
      </c>
      <c r="D42" s="168">
        <f>'PRESUPUESTO CPYG'!D47</f>
        <v>181750.69</v>
      </c>
      <c r="E42" s="672"/>
      <c r="H42" s="674"/>
    </row>
    <row r="43" spans="2:8" ht="12.75">
      <c r="B43" s="138" t="s">
        <v>700</v>
      </c>
      <c r="C43" s="210" t="s">
        <v>713</v>
      </c>
      <c r="D43" s="489">
        <f>'PRESUPUESTO CPYG'!D48</f>
        <v>0</v>
      </c>
      <c r="E43" s="672"/>
      <c r="H43" s="674"/>
    </row>
    <row r="44" spans="2:8" ht="12.75">
      <c r="B44" s="151"/>
      <c r="C44" s="159"/>
      <c r="D44" s="168"/>
      <c r="E44" s="672"/>
      <c r="H44" s="674"/>
    </row>
    <row r="45" spans="2:5" ht="12.75">
      <c r="B45" s="144" t="s">
        <v>714</v>
      </c>
      <c r="C45" s="211"/>
      <c r="D45" s="150">
        <f>SUM(D40:D43)</f>
        <v>7298288.75</v>
      </c>
      <c r="E45" s="685"/>
    </row>
    <row r="46" spans="2:5" ht="12.75">
      <c r="B46" s="147"/>
      <c r="C46" s="212"/>
      <c r="D46" s="170"/>
      <c r="E46" s="686"/>
    </row>
    <row r="47" spans="2:5" ht="12.75">
      <c r="B47" s="151"/>
      <c r="C47" s="159"/>
      <c r="D47" s="153"/>
      <c r="E47" s="686"/>
    </row>
    <row r="48" spans="2:5" ht="12.75">
      <c r="B48" s="138" t="s">
        <v>703</v>
      </c>
      <c r="C48" s="210" t="s">
        <v>716</v>
      </c>
      <c r="D48" s="168">
        <f>'Inv. NO FIN'!D21+'Inv. NO FIN'!F21</f>
        <v>7644999.28</v>
      </c>
      <c r="E48" s="672"/>
    </row>
    <row r="49" spans="2:5" ht="12.75">
      <c r="B49" s="138" t="s">
        <v>704</v>
      </c>
      <c r="C49" s="210" t="s">
        <v>717</v>
      </c>
      <c r="D49" s="168">
        <v>0</v>
      </c>
      <c r="E49" s="672"/>
    </row>
    <row r="50" spans="2:5" ht="12.75">
      <c r="B50" s="151"/>
      <c r="C50" s="159"/>
      <c r="D50" s="153"/>
      <c r="E50" s="686"/>
    </row>
    <row r="51" spans="2:5" ht="12.75">
      <c r="B51" s="144" t="s">
        <v>718</v>
      </c>
      <c r="C51" s="211"/>
      <c r="D51" s="150">
        <f>SUM(D48:D49)</f>
        <v>7644999.28</v>
      </c>
      <c r="E51" s="685"/>
    </row>
    <row r="52" spans="2:5" ht="12.75">
      <c r="B52" s="147"/>
      <c r="C52" s="212"/>
      <c r="D52" s="170"/>
      <c r="E52" s="686"/>
    </row>
    <row r="53" spans="2:5" ht="12.75">
      <c r="B53" s="151"/>
      <c r="C53" s="159"/>
      <c r="D53" s="153"/>
      <c r="E53" s="686"/>
    </row>
    <row r="54" spans="2:5" ht="12.75">
      <c r="B54" s="138" t="s">
        <v>706</v>
      </c>
      <c r="C54" s="210" t="s">
        <v>720</v>
      </c>
      <c r="D54" s="168">
        <f>'Inv. FIN'!F17+'Inv. FIN'!F27+'Inv. FIN'!F39+'Inv. FIN'!F46</f>
        <v>7719.94</v>
      </c>
      <c r="E54" s="672"/>
    </row>
    <row r="55" spans="2:5" ht="12.75">
      <c r="B55" s="138" t="s">
        <v>707</v>
      </c>
      <c r="C55" s="210" t="s">
        <v>721</v>
      </c>
      <c r="D55" s="168">
        <f>'Deuda L.P.'!M20</f>
        <v>-3581630.91</v>
      </c>
      <c r="E55" s="672"/>
    </row>
    <row r="56" spans="2:5" ht="12.75">
      <c r="B56" s="151"/>
      <c r="C56" s="159"/>
      <c r="D56" s="153"/>
      <c r="E56" s="686"/>
    </row>
    <row r="57" spans="2:5" ht="12.75">
      <c r="B57" s="144" t="s">
        <v>722</v>
      </c>
      <c r="C57" s="211"/>
      <c r="D57" s="150">
        <f>SUM(D54:D55)</f>
        <v>-3573910.97</v>
      </c>
      <c r="E57" s="685"/>
    </row>
    <row r="58" spans="2:5" ht="13.5" thickBot="1">
      <c r="B58" s="171"/>
      <c r="C58" s="213"/>
      <c r="D58" s="173"/>
      <c r="E58" s="685"/>
    </row>
    <row r="59" spans="2:5" ht="13.5" thickTop="1">
      <c r="B59" s="161"/>
      <c r="C59" s="204"/>
      <c r="D59" s="163"/>
      <c r="E59" s="681"/>
    </row>
    <row r="60" spans="2:5" ht="12.75">
      <c r="B60" s="154"/>
      <c r="C60" s="205" t="s">
        <v>192</v>
      </c>
      <c r="D60" s="157">
        <f>D45+D51+D57</f>
        <v>11369377.06</v>
      </c>
      <c r="E60" s="685"/>
    </row>
    <row r="61" spans="2:5" ht="13.5" thickBot="1">
      <c r="B61" s="164"/>
      <c r="C61" s="165"/>
      <c r="D61" s="166"/>
      <c r="E61" s="681"/>
    </row>
    <row r="62" spans="3:5" ht="12.7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93"/>
  <sheetViews>
    <sheetView zoomScalePageLayoutView="0" workbookViewId="0" topLeftCell="A55">
      <selection activeCell="B2" sqref="B2:F23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/>
    <row r="2" spans="2:6" ht="12.75">
      <c r="B2" s="1042" t="s">
        <v>502</v>
      </c>
      <c r="C2" s="1042"/>
      <c r="D2" s="1042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1043" t="str">
        <f>'ORGANOS DE GOBIERNO'!B4:I4</f>
        <v>ENTIDAD: INSTITUTO TECNOLOGICO Y DE ENERGIAS RENOVABLES S.A.</v>
      </c>
      <c r="C4" s="1044"/>
      <c r="D4" s="1045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1046" t="s">
        <v>428</v>
      </c>
      <c r="C6" s="1044"/>
      <c r="D6" s="1045"/>
    </row>
    <row r="7" ht="15" customHeight="1" thickBot="1"/>
    <row r="8" spans="2:4" ht="12.75">
      <c r="B8" s="1047" t="s">
        <v>695</v>
      </c>
      <c r="C8" s="1048"/>
      <c r="D8" s="1435"/>
    </row>
    <row r="9" spans="2:4" ht="13.5" customHeight="1" thickBot="1">
      <c r="B9" s="1049"/>
      <c r="C9" s="1050"/>
      <c r="D9" s="1436"/>
    </row>
    <row r="10" spans="2:4" ht="12.75" customHeight="1">
      <c r="B10" s="151"/>
      <c r="C10" s="152"/>
      <c r="D10" s="160"/>
    </row>
    <row r="11" spans="2:7" ht="12.75">
      <c r="B11" s="138" t="s">
        <v>697</v>
      </c>
      <c r="C11" s="139" t="s">
        <v>783</v>
      </c>
      <c r="D11" s="490">
        <v>0</v>
      </c>
      <c r="F11" s="169"/>
      <c r="G11" s="169"/>
    </row>
    <row r="12" spans="2:7" ht="12.75">
      <c r="B12" s="138" t="s">
        <v>698</v>
      </c>
      <c r="C12" s="139" t="s">
        <v>784</v>
      </c>
      <c r="D12" s="490">
        <v>0</v>
      </c>
      <c r="F12" s="169"/>
      <c r="G12" s="169"/>
    </row>
    <row r="13" spans="2:7" ht="12.75">
      <c r="B13" s="138" t="s">
        <v>699</v>
      </c>
      <c r="C13" s="139" t="s">
        <v>785</v>
      </c>
      <c r="D13" s="490">
        <f>CPYG!E7+CPYG!E21+CPYG!E19</f>
        <v>8143583.81</v>
      </c>
      <c r="F13" s="169"/>
      <c r="G13" s="169"/>
    </row>
    <row r="14" spans="2:7" ht="12.75">
      <c r="B14" s="138" t="s">
        <v>700</v>
      </c>
      <c r="C14" s="139" t="s">
        <v>786</v>
      </c>
      <c r="D14" s="490">
        <f>CPYG!E22</f>
        <v>2486181.94</v>
      </c>
      <c r="F14" s="169"/>
      <c r="G14" s="169"/>
    </row>
    <row r="15" spans="2:7" ht="12.75">
      <c r="B15" s="138" t="s">
        <v>701</v>
      </c>
      <c r="C15" s="139" t="s">
        <v>787</v>
      </c>
      <c r="D15" s="490">
        <f>CPYG!E20+CPYG!E67+CPYG!E70+CPYG!E86</f>
        <v>1051154.29</v>
      </c>
      <c r="F15" s="169"/>
      <c r="G15" s="169"/>
    </row>
    <row r="16" spans="2:7" ht="12.75">
      <c r="B16" s="141"/>
      <c r="C16" s="142"/>
      <c r="D16" s="491"/>
      <c r="F16" s="169"/>
      <c r="G16" s="169"/>
    </row>
    <row r="17" spans="2:6" ht="12.75">
      <c r="B17" s="144" t="s">
        <v>702</v>
      </c>
      <c r="C17" s="145"/>
      <c r="D17" s="492">
        <f>SUM(D11:D15)</f>
        <v>11680920.04</v>
      </c>
      <c r="F17" s="169"/>
    </row>
    <row r="18" spans="2:4" ht="12.75">
      <c r="B18" s="147"/>
      <c r="C18" s="148"/>
      <c r="D18" s="493"/>
    </row>
    <row r="19" spans="2:4" ht="12.75">
      <c r="B19" s="141"/>
      <c r="C19" s="142"/>
      <c r="D19" s="491"/>
    </row>
    <row r="20" spans="2:4" ht="12.75">
      <c r="B20" s="138" t="s">
        <v>703</v>
      </c>
      <c r="C20" s="139" t="s">
        <v>788</v>
      </c>
      <c r="D20" s="491"/>
    </row>
    <row r="21" spans="2:4" ht="12.75">
      <c r="B21" s="138" t="s">
        <v>704</v>
      </c>
      <c r="C21" s="139" t="s">
        <v>789</v>
      </c>
      <c r="D21" s="491"/>
    </row>
    <row r="22" spans="2:4" ht="12.75">
      <c r="B22" s="141"/>
      <c r="C22" s="142"/>
      <c r="D22" s="491"/>
    </row>
    <row r="23" spans="2:4" ht="12.75">
      <c r="B23" s="144" t="s">
        <v>705</v>
      </c>
      <c r="C23" s="145"/>
      <c r="D23" s="492">
        <f>+D20+D21</f>
        <v>0</v>
      </c>
    </row>
    <row r="24" spans="2:4" ht="12.75">
      <c r="B24" s="147"/>
      <c r="C24" s="148"/>
      <c r="D24" s="493"/>
    </row>
    <row r="25" spans="2:4" ht="12.75">
      <c r="B25" s="141"/>
      <c r="C25" s="142"/>
      <c r="D25" s="491"/>
    </row>
    <row r="26" spans="2:4" ht="12.75">
      <c r="B26" s="138" t="s">
        <v>706</v>
      </c>
      <c r="C26" s="139" t="s">
        <v>790</v>
      </c>
      <c r="D26" s="490"/>
    </row>
    <row r="27" spans="2:4" ht="12.75">
      <c r="B27" s="138" t="s">
        <v>707</v>
      </c>
      <c r="C27" s="139" t="s">
        <v>791</v>
      </c>
      <c r="D27" s="490"/>
    </row>
    <row r="28" spans="2:4" ht="12.75">
      <c r="B28" s="141"/>
      <c r="C28" s="142"/>
      <c r="D28" s="491"/>
    </row>
    <row r="29" spans="2:4" ht="13.5" thickBot="1">
      <c r="B29" s="209" t="s">
        <v>708</v>
      </c>
      <c r="C29" s="495"/>
      <c r="D29" s="494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96"/>
    </row>
    <row r="32" spans="2:4" ht="12.75">
      <c r="B32" s="154"/>
      <c r="C32" s="156" t="s">
        <v>709</v>
      </c>
      <c r="D32" s="497">
        <f>+D29+D23+D17</f>
        <v>11680920.04</v>
      </c>
    </row>
    <row r="33" spans="2:4" ht="13.5" thickBot="1">
      <c r="B33" s="164"/>
      <c r="C33" s="203"/>
      <c r="D33" s="498"/>
    </row>
    <row r="34" spans="2:4" ht="12.75">
      <c r="B34" s="206"/>
      <c r="C34" s="501"/>
      <c r="D34" s="499"/>
    </row>
    <row r="35" spans="2:4" ht="12.75">
      <c r="B35" s="200"/>
      <c r="C35" s="201" t="s">
        <v>710</v>
      </c>
      <c r="D35" s="160">
        <f>CPYG!E9+CPYG!E11+CPYG!E53+CPYG!E47+CPYG!E46+CPYG!E78+CPYG!E57+CPYG!E73</f>
        <v>1724204.31</v>
      </c>
    </row>
    <row r="36" spans="2:4" ht="13.5" thickBot="1">
      <c r="B36" s="208"/>
      <c r="C36" s="502"/>
      <c r="D36" s="500"/>
    </row>
    <row r="37" spans="2:4" ht="12.75">
      <c r="B37" s="161"/>
      <c r="C37" s="162"/>
      <c r="D37" s="496"/>
    </row>
    <row r="38" spans="2:4" ht="12.75">
      <c r="B38" s="1433" t="s">
        <v>429</v>
      </c>
      <c r="C38" s="1434"/>
      <c r="D38" s="497">
        <f>D32+D35</f>
        <v>13405124.35</v>
      </c>
    </row>
    <row r="39" spans="2:4" ht="13.5" thickBot="1">
      <c r="B39" s="164"/>
      <c r="C39" s="203"/>
      <c r="D39" s="498"/>
    </row>
    <row r="41" ht="13.5" thickBot="1"/>
    <row r="42" spans="2:4" ht="12.75">
      <c r="B42" s="1047" t="s">
        <v>695</v>
      </c>
      <c r="C42" s="1048"/>
      <c r="D42" s="1437"/>
    </row>
    <row r="43" spans="2:4" ht="13.5" customHeight="1" thickBot="1">
      <c r="B43" s="1049"/>
      <c r="C43" s="1050"/>
      <c r="D43" s="1438"/>
    </row>
    <row r="44" spans="2:4" ht="12.75" customHeight="1">
      <c r="B44" s="151"/>
      <c r="C44" s="152"/>
      <c r="D44" s="503"/>
    </row>
    <row r="45" spans="2:4" ht="12.75">
      <c r="B45" s="138" t="s">
        <v>697</v>
      </c>
      <c r="C45" s="167" t="s">
        <v>711</v>
      </c>
      <c r="D45" s="504">
        <f>-CPYG!E29+CPYG!E35</f>
        <v>5653432.6</v>
      </c>
    </row>
    <row r="46" spans="2:4" ht="12.75">
      <c r="B46" s="138" t="s">
        <v>698</v>
      </c>
      <c r="C46" s="167" t="s">
        <v>712</v>
      </c>
      <c r="D46" s="505">
        <f>-CPYG!E12+CPYG!E16-CPYG!E38-CPYG!E39-CPYG!E90-CPYG!E41</f>
        <v>1463105.46</v>
      </c>
    </row>
    <row r="47" spans="2:4" ht="12.75">
      <c r="B47" s="138" t="s">
        <v>699</v>
      </c>
      <c r="C47" s="167" t="s">
        <v>137</v>
      </c>
      <c r="D47" s="505">
        <f>-CPYG!E75-CPYG!E76-CPYG!E87</f>
        <v>181750.69</v>
      </c>
    </row>
    <row r="48" spans="2:4" ht="12.75">
      <c r="B48" s="138" t="s">
        <v>700</v>
      </c>
      <c r="C48" s="167" t="s">
        <v>713</v>
      </c>
      <c r="D48" s="505">
        <f>CPYG!E58</f>
        <v>0</v>
      </c>
    </row>
    <row r="49" spans="2:4" ht="12.75">
      <c r="B49" s="151"/>
      <c r="C49" s="152"/>
      <c r="D49" s="505"/>
    </row>
    <row r="50" spans="2:4" ht="12.75">
      <c r="B50" s="144" t="s">
        <v>714</v>
      </c>
      <c r="C50" s="145"/>
      <c r="D50" s="506">
        <f>SUM(D45:D48)</f>
        <v>7298288.75</v>
      </c>
    </row>
    <row r="51" spans="2:4" ht="12.75">
      <c r="B51" s="147"/>
      <c r="C51" s="148"/>
      <c r="D51" s="507"/>
    </row>
    <row r="52" spans="2:4" ht="12.75">
      <c r="B52" s="151"/>
      <c r="C52" s="152"/>
      <c r="D52" s="503"/>
    </row>
    <row r="53" spans="2:4" ht="12.75">
      <c r="B53" s="138" t="s">
        <v>703</v>
      </c>
      <c r="C53" s="167" t="s">
        <v>716</v>
      </c>
      <c r="D53" s="505"/>
    </row>
    <row r="54" spans="2:4" ht="12.75">
      <c r="B54" s="138" t="s">
        <v>704</v>
      </c>
      <c r="C54" s="167" t="s">
        <v>717</v>
      </c>
      <c r="D54" s="505"/>
    </row>
    <row r="55" spans="2:4" ht="12.75">
      <c r="B55" s="151"/>
      <c r="C55" s="152"/>
      <c r="D55" s="503"/>
    </row>
    <row r="56" spans="2:4" ht="12.75">
      <c r="B56" s="144" t="s">
        <v>718</v>
      </c>
      <c r="C56" s="145"/>
      <c r="D56" s="506">
        <f>+D54+D53</f>
        <v>0</v>
      </c>
    </row>
    <row r="57" spans="2:4" ht="12.75">
      <c r="B57" s="147"/>
      <c r="C57" s="148"/>
      <c r="D57" s="507"/>
    </row>
    <row r="58" spans="2:4" ht="12.75">
      <c r="B58" s="151"/>
      <c r="C58" s="152"/>
      <c r="D58" s="503"/>
    </row>
    <row r="59" spans="2:4" ht="12.75">
      <c r="B59" s="138" t="s">
        <v>706</v>
      </c>
      <c r="C59" s="167" t="s">
        <v>720</v>
      </c>
      <c r="D59" s="505"/>
    </row>
    <row r="60" spans="2:4" ht="12.75">
      <c r="B60" s="138" t="s">
        <v>707</v>
      </c>
      <c r="C60" s="167" t="s">
        <v>721</v>
      </c>
      <c r="D60" s="505"/>
    </row>
    <row r="61" spans="2:4" ht="12.75">
      <c r="B61" s="151"/>
      <c r="C61" s="152"/>
      <c r="D61" s="503"/>
    </row>
    <row r="62" spans="2:4" ht="13.5" thickBot="1">
      <c r="B62" s="209" t="s">
        <v>722</v>
      </c>
      <c r="C62" s="495"/>
      <c r="D62" s="494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96"/>
    </row>
    <row r="65" spans="2:4" ht="12.75">
      <c r="B65" s="154"/>
      <c r="C65" s="156" t="s">
        <v>725</v>
      </c>
      <c r="D65" s="497">
        <f>+D62+D56+D50</f>
        <v>7298288.75</v>
      </c>
    </row>
    <row r="66" spans="2:4" ht="13.5" thickBot="1">
      <c r="B66" s="164"/>
      <c r="C66" s="203"/>
      <c r="D66" s="498"/>
    </row>
    <row r="67" spans="2:4" ht="12.75">
      <c r="B67" s="207"/>
      <c r="C67" s="512"/>
      <c r="D67" s="508"/>
    </row>
    <row r="68" spans="2:4" ht="12.75">
      <c r="B68" s="200"/>
      <c r="C68" s="201" t="s">
        <v>724</v>
      </c>
      <c r="D68" s="509">
        <f>-CPYG!E10-CPYG!E16-CPYG!E49-CPYG!E35-CPYG!E42-CPYG!E40-CPYG!E77-CPYG!E81-CPYG!E82</f>
        <v>3571670.75</v>
      </c>
    </row>
    <row r="69" spans="2:4" ht="14.25" customHeight="1" thickBot="1">
      <c r="B69" s="208"/>
      <c r="C69" s="502"/>
      <c r="D69" s="510"/>
    </row>
    <row r="70" spans="2:4" ht="14.25" customHeight="1">
      <c r="B70" s="154"/>
      <c r="C70" s="513"/>
      <c r="D70" s="511"/>
    </row>
    <row r="71" spans="2:4" ht="12.75">
      <c r="B71" s="1433" t="s">
        <v>430</v>
      </c>
      <c r="C71" s="1434"/>
      <c r="D71" s="497">
        <f>D65+D68</f>
        <v>10869959.5</v>
      </c>
    </row>
    <row r="72" spans="2:4" ht="13.5" thickBot="1">
      <c r="B72" s="164"/>
      <c r="C72" s="203"/>
      <c r="D72" s="498"/>
    </row>
    <row r="73" spans="2:3" ht="12.75">
      <c r="B73" s="158"/>
      <c r="C73" s="158"/>
    </row>
    <row r="74" spans="3:4" ht="12.75">
      <c r="C74" s="185" t="s">
        <v>83</v>
      </c>
      <c r="D74" s="186">
        <f>D38-D71</f>
        <v>2535164.8499999996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782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734</v>
      </c>
      <c r="D81" s="133"/>
    </row>
    <row r="82" spans="3:4" ht="12.75" hidden="1">
      <c r="C82" s="181" t="s">
        <v>84</v>
      </c>
      <c r="D82" s="133"/>
    </row>
    <row r="83" spans="3:4" ht="18" customHeight="1" hidden="1">
      <c r="C83" s="181" t="s">
        <v>85</v>
      </c>
      <c r="D83" s="133"/>
    </row>
    <row r="84" spans="3:4" ht="18" customHeight="1" hidden="1">
      <c r="C84" s="181" t="s">
        <v>78</v>
      </c>
      <c r="D84" s="133"/>
    </row>
    <row r="85" spans="3:4" ht="18" customHeight="1" hidden="1">
      <c r="C85" s="181" t="s">
        <v>86</v>
      </c>
      <c r="D85" s="133"/>
    </row>
    <row r="86" spans="3:4" ht="18" customHeight="1" hidden="1">
      <c r="C86" s="181" t="s">
        <v>79</v>
      </c>
      <c r="D86" s="133"/>
    </row>
    <row r="87" spans="3:4" ht="18" customHeight="1" hidden="1">
      <c r="C87" s="132" t="s">
        <v>80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670" t="s">
        <v>686</v>
      </c>
      <c r="D91" s="187">
        <f>SUM(D92:D93)</f>
        <v>0</v>
      </c>
    </row>
    <row r="92" spans="3:4" ht="12.75">
      <c r="C92" s="671" t="s">
        <v>676</v>
      </c>
      <c r="D92" s="187">
        <f>'INF. ADIC. CPYG '!I42</f>
        <v>0</v>
      </c>
    </row>
    <row r="93" spans="3:4" ht="12.75" customHeight="1">
      <c r="C93" s="671" t="s">
        <v>677</v>
      </c>
      <c r="D93" s="187">
        <f>'INF. ADIC. CPYG '!I38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zoomScalePageLayoutView="0" workbookViewId="0" topLeftCell="A1">
      <selection activeCell="H28" sqref="H28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6" width="11.7109375" style="133" hidden="1" customWidth="1"/>
    <col min="7" max="16384" width="11.57421875" style="133" customWidth="1"/>
  </cols>
  <sheetData>
    <row r="2" spans="2:4" ht="12.75">
      <c r="B2" s="1042" t="s">
        <v>674</v>
      </c>
      <c r="C2" s="1042"/>
      <c r="D2" s="1042"/>
    </row>
    <row r="3" spans="2:4" ht="13.5" thickBot="1">
      <c r="B3" s="183"/>
      <c r="C3" s="183"/>
      <c r="D3" s="183"/>
    </row>
    <row r="4" spans="2:4" ht="15.75" thickBot="1">
      <c r="B4" s="1043" t="str">
        <f>'ORGANOS DE GOBIERNO'!B4:I4</f>
        <v>ENTIDAD: INSTITUTO TECNOLOGICO Y DE ENERGIAS RENOVABLES S.A.</v>
      </c>
      <c r="C4" s="1044"/>
      <c r="D4" s="1045"/>
    </row>
    <row r="5" spans="2:3" ht="13.5" thickBot="1">
      <c r="B5" s="184"/>
      <c r="C5" s="184"/>
    </row>
    <row r="6" spans="2:4" ht="15.75" thickBot="1">
      <c r="B6" s="1046" t="s">
        <v>428</v>
      </c>
      <c r="C6" s="1044"/>
      <c r="D6" s="1045"/>
    </row>
    <row r="7" spans="2:3" ht="13.5" thickBot="1">
      <c r="B7" s="184"/>
      <c r="C7" s="184"/>
    </row>
    <row r="8" spans="2:4" ht="13.5" customHeight="1">
      <c r="B8" s="1047" t="s">
        <v>695</v>
      </c>
      <c r="C8" s="1048"/>
      <c r="D8" s="1038"/>
    </row>
    <row r="9" spans="2:4" ht="12.75" customHeight="1" thickBot="1">
      <c r="B9" s="1049"/>
      <c r="C9" s="1050"/>
      <c r="D9" s="1039"/>
    </row>
    <row r="10" spans="2:4" ht="12.75">
      <c r="B10" s="151"/>
      <c r="C10" s="152"/>
      <c r="D10" s="202"/>
    </row>
    <row r="11" spans="2:4" ht="12.75">
      <c r="B11" s="138" t="s">
        <v>697</v>
      </c>
      <c r="C11" s="139" t="s">
        <v>783</v>
      </c>
      <c r="D11" s="140">
        <f>PRESUPUESTO!D11</f>
        <v>0</v>
      </c>
    </row>
    <row r="12" spans="2:4" ht="12.75">
      <c r="B12" s="138" t="s">
        <v>698</v>
      </c>
      <c r="C12" s="139" t="s">
        <v>784</v>
      </c>
      <c r="D12" s="140">
        <f>PRESUPUESTO!D12</f>
        <v>0</v>
      </c>
    </row>
    <row r="13" spans="2:4" ht="12.75">
      <c r="B13" s="138" t="s">
        <v>699</v>
      </c>
      <c r="C13" s="139" t="s">
        <v>785</v>
      </c>
      <c r="D13" s="140">
        <f>PRESUPUESTO!D13</f>
        <v>8143583.81</v>
      </c>
    </row>
    <row r="14" spans="2:4" ht="12.75">
      <c r="B14" s="138" t="s">
        <v>700</v>
      </c>
      <c r="C14" s="139" t="s">
        <v>786</v>
      </c>
      <c r="D14" s="140">
        <f>PRESUPUESTO!D14</f>
        <v>2486181.94</v>
      </c>
    </row>
    <row r="15" spans="2:4" ht="12.75">
      <c r="B15" s="138" t="s">
        <v>701</v>
      </c>
      <c r="C15" s="139" t="s">
        <v>787</v>
      </c>
      <c r="D15" s="140">
        <f>PRESUPUESTO!D15</f>
        <v>1051154.29</v>
      </c>
    </row>
    <row r="16" spans="2:4" ht="12.75">
      <c r="B16" s="141"/>
      <c r="C16" s="142"/>
      <c r="D16" s="143"/>
    </row>
    <row r="17" spans="2:4" ht="12.75">
      <c r="B17" s="144" t="s">
        <v>702</v>
      </c>
      <c r="C17" s="145"/>
      <c r="D17" s="146">
        <f>SUM(D11:D15)</f>
        <v>11680920.04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703</v>
      </c>
      <c r="C20" s="139" t="s">
        <v>788</v>
      </c>
      <c r="D20" s="140">
        <f>PRESUPUESTO!D20</f>
        <v>0</v>
      </c>
    </row>
    <row r="21" spans="2:4" ht="12.75">
      <c r="B21" s="138" t="s">
        <v>704</v>
      </c>
      <c r="C21" s="139" t="s">
        <v>789</v>
      </c>
      <c r="D21" s="140">
        <f>PRESUPUESTO!D21</f>
        <v>719000</v>
      </c>
    </row>
    <row r="22" spans="2:4" ht="12.75">
      <c r="B22" s="141"/>
      <c r="C22" s="142"/>
      <c r="D22" s="143"/>
    </row>
    <row r="23" spans="2:4" ht="12.75">
      <c r="B23" s="144" t="s">
        <v>705</v>
      </c>
      <c r="C23" s="145"/>
      <c r="D23" s="146">
        <f>SUM(D20:D21)</f>
        <v>719000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6" ht="12.75">
      <c r="B26" s="138" t="s">
        <v>706</v>
      </c>
      <c r="C26" s="139" t="s">
        <v>790</v>
      </c>
      <c r="D26" s="140">
        <f>PRESUPUESTO!D26</f>
        <v>1812374.62</v>
      </c>
      <c r="F26" s="169">
        <f>D26-D56</f>
        <v>1804654.6800000002</v>
      </c>
    </row>
    <row r="27" spans="2:4" ht="12.75">
      <c r="B27" s="138" t="s">
        <v>707</v>
      </c>
      <c r="C27" s="139" t="s">
        <v>791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708</v>
      </c>
      <c r="C29" s="145"/>
      <c r="D29" s="150">
        <f>SUM(D26:D27)</f>
        <v>1812374.62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709</v>
      </c>
      <c r="D32" s="157">
        <f>D17+D23+D29</f>
        <v>14212294.66</v>
      </c>
      <c r="G32" s="675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218</v>
      </c>
      <c r="D34" s="202">
        <f>'PRESUPUESTO CPYG'!D35</f>
        <v>1724204.31</v>
      </c>
    </row>
    <row r="35" spans="2:4" ht="12.75">
      <c r="B35" s="161"/>
      <c r="C35" s="162"/>
      <c r="D35" s="163"/>
    </row>
    <row r="36" spans="2:4" ht="12.75">
      <c r="B36" s="154"/>
      <c r="C36" s="156" t="s">
        <v>709</v>
      </c>
      <c r="D36" s="157">
        <f>D32+D34</f>
        <v>15936498.97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1047" t="s">
        <v>695</v>
      </c>
      <c r="C39" s="1048"/>
      <c r="D39" s="1040"/>
    </row>
    <row r="40" spans="2:4" ht="12.75" customHeight="1" thickBot="1">
      <c r="B40" s="1049"/>
      <c r="C40" s="1050"/>
      <c r="D40" s="1041"/>
    </row>
    <row r="41" spans="2:4" ht="12.75">
      <c r="B41" s="151"/>
      <c r="C41" s="152"/>
      <c r="D41" s="153"/>
    </row>
    <row r="42" spans="2:4" ht="12.75">
      <c r="B42" s="138" t="s">
        <v>697</v>
      </c>
      <c r="C42" s="167" t="s">
        <v>711</v>
      </c>
      <c r="D42" s="168">
        <f>PRESUPUESTO!D40</f>
        <v>5653432.6</v>
      </c>
    </row>
    <row r="43" spans="2:4" ht="12.75">
      <c r="B43" s="138" t="s">
        <v>698</v>
      </c>
      <c r="C43" s="167" t="s">
        <v>712</v>
      </c>
      <c r="D43" s="168">
        <f>PRESUPUESTO!D41</f>
        <v>1463105.46</v>
      </c>
    </row>
    <row r="44" spans="2:4" ht="12.75">
      <c r="B44" s="138" t="s">
        <v>699</v>
      </c>
      <c r="C44" s="167" t="s">
        <v>137</v>
      </c>
      <c r="D44" s="168">
        <f>PRESUPUESTO!D42</f>
        <v>181750.69</v>
      </c>
    </row>
    <row r="45" spans="2:4" ht="12.75">
      <c r="B45" s="138" t="s">
        <v>700</v>
      </c>
      <c r="C45" s="167" t="s">
        <v>713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714</v>
      </c>
      <c r="C47" s="145"/>
      <c r="D47" s="150">
        <f>SUM(D42:D45)</f>
        <v>7298288.75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703</v>
      </c>
      <c r="C50" s="167" t="s">
        <v>716</v>
      </c>
      <c r="D50" s="168">
        <f>PRESUPUESTO!D48</f>
        <v>7644999.28</v>
      </c>
    </row>
    <row r="51" spans="2:4" ht="12.75">
      <c r="B51" s="138" t="s">
        <v>704</v>
      </c>
      <c r="C51" s="167" t="s">
        <v>717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718</v>
      </c>
      <c r="C53" s="145"/>
      <c r="D53" s="150">
        <f>SUM(D50:D51)</f>
        <v>7644999.28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706</v>
      </c>
      <c r="C56" s="167" t="s">
        <v>720</v>
      </c>
      <c r="D56" s="168">
        <f>PRESUPUESTO!D54</f>
        <v>7719.94</v>
      </c>
    </row>
    <row r="57" spans="2:4" ht="12.75">
      <c r="B57" s="138" t="s">
        <v>707</v>
      </c>
      <c r="C57" s="167" t="s">
        <v>721</v>
      </c>
      <c r="D57" s="168">
        <f>PRESUPUESTO!D55</f>
        <v>-3581630.91</v>
      </c>
    </row>
    <row r="58" spans="2:4" ht="12.75">
      <c r="B58" s="151"/>
      <c r="C58" s="152"/>
      <c r="D58" s="153"/>
    </row>
    <row r="59" spans="2:4" ht="12.75">
      <c r="B59" s="144" t="s">
        <v>722</v>
      </c>
      <c r="C59" s="145"/>
      <c r="D59" s="150">
        <f>SUM(D56:D57)</f>
        <v>-3573910.97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192</v>
      </c>
      <c r="D62" s="157">
        <f>D47+D53+D59</f>
        <v>11369377.06</v>
      </c>
      <c r="G62" s="675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219</v>
      </c>
      <c r="D64" s="199">
        <f>'PRESUPUESTO CPYG'!D68</f>
        <v>3571670.75</v>
      </c>
    </row>
    <row r="65" spans="2:4" ht="12.75">
      <c r="B65" s="161"/>
      <c r="C65" s="162"/>
      <c r="D65" s="163"/>
    </row>
    <row r="66" spans="2:4" ht="12.75">
      <c r="B66" s="154"/>
      <c r="C66" s="156" t="s">
        <v>192</v>
      </c>
      <c r="D66" s="157">
        <f>D62+D64</f>
        <v>14941047.81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222</v>
      </c>
      <c r="C70" s="195" t="s">
        <v>83</v>
      </c>
      <c r="D70" s="196">
        <f>D36-D66</f>
        <v>995451.1600000001</v>
      </c>
      <c r="E70" s="133" t="s">
        <v>226</v>
      </c>
    </row>
    <row r="71" ht="13.5" hidden="1" thickBot="1"/>
    <row r="72" spans="2:5" ht="17.25" customHeight="1" hidden="1" thickBot="1">
      <c r="B72" s="192" t="s">
        <v>223</v>
      </c>
      <c r="C72" s="192" t="s">
        <v>221</v>
      </c>
      <c r="D72" s="193">
        <f>D74+D79+D80+D81+D82</f>
        <v>-995451.1600000039</v>
      </c>
      <c r="E72" s="133" t="s">
        <v>444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220</v>
      </c>
      <c r="D74" s="193">
        <f>SUM(D75:D78)</f>
        <v>1395357.3899999997</v>
      </c>
    </row>
    <row r="75" spans="3:4" ht="21.75" customHeight="1" hidden="1">
      <c r="C75" s="694" t="s">
        <v>446</v>
      </c>
      <c r="D75" s="695">
        <f>-'Inv. NO FIN'!E21</f>
        <v>0</v>
      </c>
    </row>
    <row r="76" spans="3:4" ht="18.75" customHeight="1" hidden="1">
      <c r="C76" s="696" t="s">
        <v>684</v>
      </c>
      <c r="D76" s="697">
        <f>-'Inv. NO FIN'!G21</f>
        <v>3504770.75</v>
      </c>
    </row>
    <row r="77" spans="3:4" ht="21" customHeight="1" hidden="1">
      <c r="C77" s="696" t="s">
        <v>418</v>
      </c>
      <c r="D77" s="697">
        <f>-'Inv. NO FIN'!H21</f>
        <v>0</v>
      </c>
    </row>
    <row r="78" spans="3:4" ht="26.25" hidden="1" thickBot="1">
      <c r="C78" s="698" t="s">
        <v>420</v>
      </c>
      <c r="D78" s="699">
        <f>-ACTIVO!E21+ACTIVO!D21</f>
        <v>-2109413.3600000003</v>
      </c>
    </row>
    <row r="79" spans="3:4" ht="19.5" customHeight="1" hidden="1" thickBot="1">
      <c r="C79" s="700" t="s">
        <v>224</v>
      </c>
      <c r="D79" s="701">
        <f>-'Inv. FIN'!I17-'Inv. FIN'!I27-'Inv. FIN'!I39-'Inv. FIN'!I46</f>
        <v>0</v>
      </c>
    </row>
    <row r="80" spans="3:4" ht="30" customHeight="1" hidden="1" thickBot="1">
      <c r="C80" s="702" t="s">
        <v>225</v>
      </c>
      <c r="D80" s="703">
        <f>-(ACTIVO!E23-ACTIVO!D23)+ACTIVO!E37-ACTIVO!D37</f>
        <v>8134624.309999995</v>
      </c>
    </row>
    <row r="81" spans="3:5" ht="19.5" customHeight="1" hidden="1" thickBot="1">
      <c r="C81" s="192" t="s">
        <v>445</v>
      </c>
      <c r="D81" s="134">
        <f>'Transf. y subv.'!F19+'Transf. y subv.'!F20+'Transf. y subv.'!F21+PASIVO!E9-PASIVO!D9</f>
        <v>347522.7800000012</v>
      </c>
      <c r="E81" s="668" t="s">
        <v>228</v>
      </c>
    </row>
    <row r="82" spans="3:4" ht="19.5" customHeight="1" hidden="1" thickBot="1">
      <c r="C82" s="194" t="s">
        <v>364</v>
      </c>
      <c r="D82" s="193">
        <f>PASIVO!E28-PASIVO!D28+PASIVO!E43-PASIVO!D43+D57</f>
        <v>-10872955.64</v>
      </c>
    </row>
    <row r="83" ht="13.5" hidden="1" thickBot="1"/>
    <row r="84" spans="3:4" ht="13.5" hidden="1" thickBot="1">
      <c r="C84" s="192" t="s">
        <v>227</v>
      </c>
      <c r="D84" s="193">
        <f>D70+D72</f>
        <v>-3.725290298461914E-09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tabColor theme="0"/>
  </sheetPr>
  <dimension ref="A2:K255"/>
  <sheetViews>
    <sheetView zoomScale="70" zoomScaleNormal="70" zoomScalePageLayoutView="0" workbookViewId="0" topLeftCell="A1">
      <selection activeCell="E90" sqref="E90"/>
    </sheetView>
  </sheetViews>
  <sheetFormatPr defaultColWidth="11.57421875" defaultRowHeight="12.75"/>
  <cols>
    <col min="1" max="1" width="5.00390625" style="387" customWidth="1"/>
    <col min="2" max="2" width="73.57421875" style="387" customWidth="1"/>
    <col min="3" max="3" width="19.8515625" style="387" customWidth="1"/>
    <col min="4" max="4" width="19.28125" style="387" customWidth="1"/>
    <col min="5" max="5" width="20.7109375" style="387" customWidth="1"/>
    <col min="6" max="6" width="1.57421875" style="387" customWidth="1"/>
    <col min="7" max="7" width="14.57421875" style="386" hidden="1" customWidth="1"/>
    <col min="8" max="8" width="15.28125" style="386" hidden="1" customWidth="1"/>
    <col min="9" max="11" width="0" style="387" hidden="1" customWidth="1"/>
    <col min="12" max="16384" width="11.57421875" style="387" customWidth="1"/>
  </cols>
  <sheetData>
    <row r="2" spans="2:7" ht="49.5" customHeight="1">
      <c r="B2" s="1056" t="s">
        <v>131</v>
      </c>
      <c r="C2" s="1057"/>
      <c r="D2" s="1058"/>
      <c r="E2" s="383">
        <v>2017</v>
      </c>
      <c r="F2" s="384"/>
      <c r="G2" s="385"/>
    </row>
    <row r="3" spans="2:7" ht="25.5" customHeight="1">
      <c r="B3" s="1053" t="str">
        <f>'ORGANOS DE GOBIERNO'!B4:I4</f>
        <v>ENTIDAD: INSTITUTO TECNOLOGICO Y DE ENERGIAS RENOVABLES S.A.</v>
      </c>
      <c r="C3" s="1054"/>
      <c r="D3" s="1055"/>
      <c r="E3" s="388" t="s">
        <v>683</v>
      </c>
      <c r="F3" s="389"/>
      <c r="G3" s="390"/>
    </row>
    <row r="4" spans="2:7" ht="25.5" customHeight="1">
      <c r="B4" s="1051" t="s">
        <v>217</v>
      </c>
      <c r="C4" s="1052"/>
      <c r="D4" s="1052"/>
      <c r="E4" s="1052"/>
      <c r="F4" s="391"/>
      <c r="G4" s="392"/>
    </row>
    <row r="5" spans="2:8" ht="31.5" customHeight="1">
      <c r="B5" s="393" t="s">
        <v>142</v>
      </c>
      <c r="C5" s="394" t="s">
        <v>497</v>
      </c>
      <c r="D5" s="395" t="s">
        <v>496</v>
      </c>
      <c r="E5" s="395" t="s">
        <v>495</v>
      </c>
      <c r="F5" s="396"/>
      <c r="G5" s="397" t="s">
        <v>81</v>
      </c>
      <c r="H5" s="397" t="s">
        <v>82</v>
      </c>
    </row>
    <row r="6" spans="2:6" s="400" customFormat="1" ht="19.5" customHeight="1">
      <c r="B6" s="398" t="s">
        <v>178</v>
      </c>
      <c r="C6" s="567"/>
      <c r="D6" s="567"/>
      <c r="E6" s="567"/>
      <c r="F6" s="399"/>
    </row>
    <row r="7" spans="2:9" s="400" customFormat="1" ht="19.5" customHeight="1">
      <c r="B7" s="401" t="s">
        <v>1</v>
      </c>
      <c r="C7" s="523">
        <v>9373625.88</v>
      </c>
      <c r="D7" s="523">
        <v>8550629.6</v>
      </c>
      <c r="E7" s="523">
        <v>8143583.81</v>
      </c>
      <c r="F7" s="402"/>
      <c r="G7" s="403">
        <f>+D7-C7</f>
        <v>-822996.2800000012</v>
      </c>
      <c r="H7" s="404">
        <f>+E7-D7</f>
        <v>-407045.79000000004</v>
      </c>
      <c r="I7" s="802"/>
    </row>
    <row r="8" spans="2:11" s="400" customFormat="1" ht="27.75" customHeight="1">
      <c r="B8" s="410" t="s">
        <v>398</v>
      </c>
      <c r="C8" s="523">
        <f>SUM(C9:C10)</f>
        <v>-4725</v>
      </c>
      <c r="D8" s="523">
        <f>SUM(D9:D10)</f>
        <v>-7350</v>
      </c>
      <c r="E8" s="523">
        <f>SUM(E9:E10)</f>
        <v>-66900</v>
      </c>
      <c r="F8" s="411"/>
      <c r="G8" s="412"/>
      <c r="H8" s="408"/>
      <c r="I8" s="804"/>
      <c r="K8" s="804"/>
    </row>
    <row r="9" spans="2:11" s="400" customFormat="1" ht="18" customHeight="1">
      <c r="B9" s="405" t="s">
        <v>678</v>
      </c>
      <c r="C9" s="521"/>
      <c r="D9" s="520"/>
      <c r="E9" s="520"/>
      <c r="F9" s="411"/>
      <c r="G9" s="412"/>
      <c r="H9" s="408"/>
      <c r="I9" s="803"/>
      <c r="K9" s="803"/>
    </row>
    <row r="10" spans="2:11" s="400" customFormat="1" ht="18" customHeight="1">
      <c r="B10" s="405" t="s">
        <v>679</v>
      </c>
      <c r="C10" s="521">
        <v>-4725</v>
      </c>
      <c r="D10" s="521">
        <v>-7350</v>
      </c>
      <c r="E10" s="521">
        <v>-66900</v>
      </c>
      <c r="F10" s="411"/>
      <c r="G10" s="412"/>
      <c r="H10" s="408"/>
      <c r="I10" s="803"/>
      <c r="K10" s="803"/>
    </row>
    <row r="11" spans="2:11" s="400" customFormat="1" ht="25.5" customHeight="1">
      <c r="B11" s="410" t="s">
        <v>2</v>
      </c>
      <c r="C11" s="520">
        <v>180172.53</v>
      </c>
      <c r="D11" s="520">
        <v>516148.03</v>
      </c>
      <c r="E11" s="520">
        <v>1066828.61</v>
      </c>
      <c r="F11" s="411"/>
      <c r="G11" s="412"/>
      <c r="H11" s="408"/>
      <c r="I11" s="803"/>
      <c r="K11" s="803"/>
    </row>
    <row r="12" spans="2:9" s="400" customFormat="1" ht="19.5" customHeight="1">
      <c r="B12" s="413" t="s">
        <v>3</v>
      </c>
      <c r="C12" s="523">
        <f>SUM(C13:C16)</f>
        <v>-612573.91</v>
      </c>
      <c r="D12" s="523">
        <f>SUM(D13:D16)</f>
        <v>-530714.31</v>
      </c>
      <c r="E12" s="523">
        <f>SUM(E13:E16)</f>
        <v>-477098.84</v>
      </c>
      <c r="F12" s="411"/>
      <c r="G12" s="403">
        <f>+D12-C12</f>
        <v>81859.59999999998</v>
      </c>
      <c r="H12" s="404">
        <f>+E12-D12</f>
        <v>53615.47000000003</v>
      </c>
      <c r="I12" s="802"/>
    </row>
    <row r="13" spans="2:9" s="400" customFormat="1" ht="19.5" customHeight="1">
      <c r="B13" s="405" t="s">
        <v>4</v>
      </c>
      <c r="C13" s="521"/>
      <c r="D13" s="521"/>
      <c r="E13" s="521"/>
      <c r="F13" s="409"/>
      <c r="G13" s="414"/>
      <c r="H13" s="408"/>
      <c r="I13" s="805"/>
    </row>
    <row r="14" spans="2:9" s="400" customFormat="1" ht="19.5" customHeight="1">
      <c r="B14" s="405" t="s">
        <v>5</v>
      </c>
      <c r="C14" s="521">
        <v>-59914.8</v>
      </c>
      <c r="D14" s="521">
        <v>-57393.56</v>
      </c>
      <c r="E14" s="521">
        <v>-56200</v>
      </c>
      <c r="F14" s="409"/>
      <c r="G14" s="414"/>
      <c r="H14" s="408"/>
      <c r="I14" s="805"/>
    </row>
    <row r="15" spans="2:9" s="400" customFormat="1" ht="19.5" customHeight="1">
      <c r="B15" s="405" t="s">
        <v>6</v>
      </c>
      <c r="C15" s="521">
        <v>-552659.11</v>
      </c>
      <c r="D15" s="521">
        <v>-473320.75</v>
      </c>
      <c r="E15" s="521">
        <v>-420898.84</v>
      </c>
      <c r="F15" s="409"/>
      <c r="G15" s="407">
        <f>+D15-C15</f>
        <v>79338.35999999999</v>
      </c>
      <c r="H15" s="408">
        <f>-E15-D15</f>
        <v>894219.5900000001</v>
      </c>
      <c r="I15" s="805"/>
    </row>
    <row r="16" spans="2:11" s="400" customFormat="1" ht="19.5" customHeight="1">
      <c r="B16" s="405" t="s">
        <v>7</v>
      </c>
      <c r="C16" s="521"/>
      <c r="D16" s="520"/>
      <c r="E16" s="521"/>
      <c r="F16" s="409"/>
      <c r="G16" s="414"/>
      <c r="H16" s="408"/>
      <c r="I16" s="805"/>
      <c r="J16" s="806"/>
      <c r="K16" s="803"/>
    </row>
    <row r="17" spans="2:9" s="400" customFormat="1" ht="19.5" customHeight="1">
      <c r="B17" s="410" t="s">
        <v>8</v>
      </c>
      <c r="C17" s="523">
        <f>C18+C22</f>
        <v>754787.06</v>
      </c>
      <c r="D17" s="523">
        <f>D18+D22</f>
        <v>1871637.56</v>
      </c>
      <c r="E17" s="523">
        <f>E18+E22</f>
        <v>2486181.94</v>
      </c>
      <c r="F17" s="402"/>
      <c r="G17" s="403">
        <f>+D17-C17</f>
        <v>1116850.5</v>
      </c>
      <c r="H17" s="404">
        <f>+E17-D17</f>
        <v>614544.3799999999</v>
      </c>
      <c r="I17" s="805"/>
    </row>
    <row r="18" spans="2:9" s="400" customFormat="1" ht="19.5" customHeight="1">
      <c r="B18" s="405" t="s">
        <v>9</v>
      </c>
      <c r="C18" s="524">
        <f>SUM(C19:C21)</f>
        <v>39510.14</v>
      </c>
      <c r="D18" s="524">
        <f>SUM(D19:D21)</f>
        <v>119084.1</v>
      </c>
      <c r="E18" s="524">
        <f>SUM(E19:E21)</f>
        <v>0</v>
      </c>
      <c r="F18" s="406"/>
      <c r="G18" s="407"/>
      <c r="H18" s="408"/>
      <c r="I18" s="805"/>
    </row>
    <row r="19" spans="2:9" s="400" customFormat="1" ht="19.5" customHeight="1">
      <c r="B19" s="405" t="s">
        <v>680</v>
      </c>
      <c r="C19" s="521"/>
      <c r="D19" s="521"/>
      <c r="E19" s="521"/>
      <c r="F19" s="406"/>
      <c r="G19" s="407"/>
      <c r="H19" s="408"/>
      <c r="I19" s="802"/>
    </row>
    <row r="20" spans="2:9" s="400" customFormat="1" ht="19.5" customHeight="1">
      <c r="B20" s="405" t="s">
        <v>681</v>
      </c>
      <c r="C20" s="521"/>
      <c r="D20" s="521"/>
      <c r="E20" s="521"/>
      <c r="F20" s="406"/>
      <c r="G20" s="407"/>
      <c r="H20" s="408"/>
      <c r="I20" s="802"/>
    </row>
    <row r="21" spans="2:9" s="400" customFormat="1" ht="19.5" customHeight="1">
      <c r="B21" s="405" t="s">
        <v>682</v>
      </c>
      <c r="C21" s="521">
        <v>39510.14</v>
      </c>
      <c r="D21" s="521">
        <v>119084.1</v>
      </c>
      <c r="E21" s="521"/>
      <c r="F21" s="406"/>
      <c r="G21" s="407"/>
      <c r="H21" s="408"/>
      <c r="I21" s="802"/>
    </row>
    <row r="22" spans="2:9" s="400" customFormat="1" ht="19.5" customHeight="1">
      <c r="B22" s="405" t="s">
        <v>10</v>
      </c>
      <c r="C22" s="524">
        <f>SUM(C23:C28)</f>
        <v>715276.92</v>
      </c>
      <c r="D22" s="524">
        <f>SUM(D23:D28)</f>
        <v>1752553.46</v>
      </c>
      <c r="E22" s="524">
        <f>SUM(E23:E28)</f>
        <v>2486181.94</v>
      </c>
      <c r="F22" s="406"/>
      <c r="G22" s="407">
        <f>+D22-C22</f>
        <v>1037276.5399999999</v>
      </c>
      <c r="H22" s="408">
        <f>-E22-D22</f>
        <v>-4238735.4</v>
      </c>
      <c r="I22" s="802"/>
    </row>
    <row r="23" spans="2:9" s="400" customFormat="1" ht="19.5" customHeight="1">
      <c r="B23" s="405" t="s">
        <v>11</v>
      </c>
      <c r="C23" s="521">
        <v>7884.05</v>
      </c>
      <c r="D23" s="521">
        <v>409431.98</v>
      </c>
      <c r="E23" s="521">
        <v>692215.42</v>
      </c>
      <c r="F23" s="406"/>
      <c r="G23" s="407"/>
      <c r="H23" s="408"/>
      <c r="I23" s="805"/>
    </row>
    <row r="24" spans="2:9" s="400" customFormat="1" ht="19.5" customHeight="1">
      <c r="B24" s="405" t="s">
        <v>399</v>
      </c>
      <c r="C24" s="521"/>
      <c r="D24" s="521"/>
      <c r="E24" s="521"/>
      <c r="F24" s="409"/>
      <c r="G24" s="407">
        <f>+D24-C24</f>
        <v>0</v>
      </c>
      <c r="H24" s="408">
        <f>-E24-D24</f>
        <v>0</v>
      </c>
      <c r="I24" s="805"/>
    </row>
    <row r="25" spans="2:9" s="400" customFormat="1" ht="19.5" customHeight="1">
      <c r="B25" s="405" t="s">
        <v>400</v>
      </c>
      <c r="C25" s="521"/>
      <c r="D25" s="521"/>
      <c r="E25" s="521"/>
      <c r="F25" s="409"/>
      <c r="G25" s="414"/>
      <c r="H25" s="408"/>
      <c r="I25" s="805"/>
    </row>
    <row r="26" spans="2:9" s="400" customFormat="1" ht="19.5" customHeight="1">
      <c r="B26" s="405" t="s">
        <v>12</v>
      </c>
      <c r="C26" s="521">
        <v>554440</v>
      </c>
      <c r="D26" s="521">
        <v>1318057</v>
      </c>
      <c r="E26" s="521">
        <v>1688007.46</v>
      </c>
      <c r="F26" s="409"/>
      <c r="G26" s="414"/>
      <c r="H26" s="408"/>
      <c r="I26" s="805"/>
    </row>
    <row r="27" spans="2:9" s="400" customFormat="1" ht="19.5" customHeight="1">
      <c r="B27" s="405" t="s">
        <v>13</v>
      </c>
      <c r="C27" s="521">
        <v>152952.87</v>
      </c>
      <c r="D27" s="521">
        <v>25064.48</v>
      </c>
      <c r="E27" s="521">
        <v>105959.06</v>
      </c>
      <c r="F27" s="409"/>
      <c r="G27" s="407">
        <f>+D27-C27</f>
        <v>-127888.39</v>
      </c>
      <c r="H27" s="408">
        <f>-E27-D27</f>
        <v>-131023.54</v>
      </c>
      <c r="I27" s="805"/>
    </row>
    <row r="28" spans="2:9" s="400" customFormat="1" ht="19.5" customHeight="1">
      <c r="B28" s="405" t="s">
        <v>14</v>
      </c>
      <c r="C28" s="521"/>
      <c r="D28" s="520"/>
      <c r="E28" s="521"/>
      <c r="F28" s="409"/>
      <c r="G28" s="414"/>
      <c r="H28" s="408"/>
      <c r="I28" s="805"/>
    </row>
    <row r="29" spans="2:9" s="400" customFormat="1" ht="19.5" customHeight="1">
      <c r="B29" s="410" t="s">
        <v>15</v>
      </c>
      <c r="C29" s="523">
        <f>SUM(C30:C35)</f>
        <v>-4469614.340000001</v>
      </c>
      <c r="D29" s="523">
        <f>SUM(D30:D35)</f>
        <v>-5160003.420000001</v>
      </c>
      <c r="E29" s="523">
        <f>SUM(E30:E35)</f>
        <v>-5653432.6</v>
      </c>
      <c r="F29" s="411"/>
      <c r="G29" s="403">
        <f>+D29-C29</f>
        <v>-690389.0800000001</v>
      </c>
      <c r="H29" s="404">
        <f>+E29-D29</f>
        <v>-493429.17999999877</v>
      </c>
      <c r="I29" s="802"/>
    </row>
    <row r="30" spans="2:9" s="400" customFormat="1" ht="19.5" customHeight="1">
      <c r="B30" s="405" t="s">
        <v>16</v>
      </c>
      <c r="C30" s="521">
        <v>-3383174.56</v>
      </c>
      <c r="D30" s="521">
        <v>-3949170.47</v>
      </c>
      <c r="E30" s="521">
        <v>-4251507.83</v>
      </c>
      <c r="F30" s="409"/>
      <c r="G30" s="407">
        <f>+D30-C30</f>
        <v>-565995.9100000001</v>
      </c>
      <c r="H30" s="408">
        <f>-E30-D30</f>
        <v>8200678.300000001</v>
      </c>
      <c r="I30" s="805"/>
    </row>
    <row r="31" spans="2:9" s="400" customFormat="1" ht="19.5" customHeight="1">
      <c r="B31" s="405" t="s">
        <v>401</v>
      </c>
      <c r="C31" s="521">
        <v>-25000</v>
      </c>
      <c r="D31" s="521"/>
      <c r="E31" s="521"/>
      <c r="F31" s="409"/>
      <c r="G31" s="407">
        <f>+D31-C31</f>
        <v>25000</v>
      </c>
      <c r="H31" s="408">
        <f>-E31-D31</f>
        <v>0</v>
      </c>
      <c r="I31" s="805"/>
    </row>
    <row r="32" spans="2:9" s="400" customFormat="1" ht="19.5" customHeight="1">
      <c r="B32" s="405" t="s">
        <v>402</v>
      </c>
      <c r="C32" s="521">
        <v>-877555.09</v>
      </c>
      <c r="D32" s="521">
        <v>-939350.17</v>
      </c>
      <c r="E32" s="521">
        <v>-1079924.77</v>
      </c>
      <c r="F32" s="409"/>
      <c r="G32" s="407">
        <f>+D32-C32</f>
        <v>-61795.080000000075</v>
      </c>
      <c r="H32" s="408">
        <f>-E32-D32</f>
        <v>2019274.94</v>
      </c>
      <c r="I32" s="805"/>
    </row>
    <row r="33" spans="2:9" s="400" customFormat="1" ht="19.5" customHeight="1">
      <c r="B33" s="405" t="s">
        <v>403</v>
      </c>
      <c r="C33" s="521"/>
      <c r="D33" s="521"/>
      <c r="E33" s="521"/>
      <c r="F33" s="409"/>
      <c r="G33" s="407">
        <f>+D33-C33</f>
        <v>0</v>
      </c>
      <c r="H33" s="408">
        <f>-E33-D33</f>
        <v>0</v>
      </c>
      <c r="I33" s="805"/>
    </row>
    <row r="34" spans="2:9" s="400" customFormat="1" ht="19.5" customHeight="1">
      <c r="B34" s="405" t="s">
        <v>404</v>
      </c>
      <c r="C34" s="521">
        <v>-183884.69</v>
      </c>
      <c r="D34" s="521">
        <v>-271482.78</v>
      </c>
      <c r="E34" s="521">
        <v>-322000</v>
      </c>
      <c r="F34" s="409"/>
      <c r="G34" s="414"/>
      <c r="H34" s="408"/>
      <c r="I34" s="805"/>
    </row>
    <row r="35" spans="2:11" s="400" customFormat="1" ht="19.5" customHeight="1">
      <c r="B35" s="405" t="s">
        <v>405</v>
      </c>
      <c r="C35" s="521"/>
      <c r="D35" s="520"/>
      <c r="E35" s="521"/>
      <c r="F35" s="409"/>
      <c r="G35" s="414"/>
      <c r="H35" s="415"/>
      <c r="I35" s="805"/>
      <c r="J35" s="803"/>
      <c r="K35" s="803"/>
    </row>
    <row r="36" spans="2:8" s="400" customFormat="1" ht="19.5" customHeight="1" hidden="1">
      <c r="B36" s="405" t="s">
        <v>338</v>
      </c>
      <c r="C36" s="521"/>
      <c r="D36" s="520"/>
      <c r="E36" s="521"/>
      <c r="F36" s="409"/>
      <c r="G36" s="414"/>
      <c r="H36" s="415"/>
    </row>
    <row r="37" spans="2:9" s="400" customFormat="1" ht="19.5" customHeight="1">
      <c r="B37" s="401" t="s">
        <v>17</v>
      </c>
      <c r="C37" s="523">
        <f>+C38+C39+C40+C41</f>
        <v>-2489598.58</v>
      </c>
      <c r="D37" s="523">
        <f>+D38+D39+D40+D41</f>
        <v>-2849802.08</v>
      </c>
      <c r="E37" s="523">
        <f>+E38+E39+E40+E41</f>
        <v>-3095419.98</v>
      </c>
      <c r="F37" s="411"/>
      <c r="G37" s="403">
        <f>+D37-C37</f>
        <v>-360203.5</v>
      </c>
      <c r="H37" s="404">
        <f>+E37-D37</f>
        <v>-245617.8999999999</v>
      </c>
      <c r="I37" s="805"/>
    </row>
    <row r="38" spans="2:9" s="400" customFormat="1" ht="19.5" customHeight="1">
      <c r="B38" s="405" t="s">
        <v>406</v>
      </c>
      <c r="C38" s="521">
        <v>-2204767.67</v>
      </c>
      <c r="D38" s="521">
        <v>-2722178.16</v>
      </c>
      <c r="E38" s="521">
        <v>-2933000</v>
      </c>
      <c r="F38" s="409"/>
      <c r="G38" s="407">
        <f>+D38-C38</f>
        <v>-517410.4900000002</v>
      </c>
      <c r="H38" s="408">
        <f>-E38-D38</f>
        <v>5655178.16</v>
      </c>
      <c r="I38" s="802"/>
    </row>
    <row r="39" spans="2:9" s="400" customFormat="1" ht="19.5" customHeight="1">
      <c r="B39" s="405" t="s">
        <v>407</v>
      </c>
      <c r="C39" s="521">
        <v>-161830.91</v>
      </c>
      <c r="D39" s="521">
        <v>-127623.92</v>
      </c>
      <c r="E39" s="521">
        <v>-162419.98</v>
      </c>
      <c r="F39" s="409"/>
      <c r="G39" s="407">
        <f>+D39-C39</f>
        <v>34206.990000000005</v>
      </c>
      <c r="H39" s="408">
        <f>-E39-D39</f>
        <v>290043.9</v>
      </c>
      <c r="I39" s="802"/>
    </row>
    <row r="40" spans="2:11" s="400" customFormat="1" ht="19.5" customHeight="1">
      <c r="B40" s="405" t="s">
        <v>18</v>
      </c>
      <c r="C40" s="521"/>
      <c r="D40" s="521"/>
      <c r="E40" s="521"/>
      <c r="F40" s="406"/>
      <c r="G40" s="407">
        <f>+D40-C40</f>
        <v>0</v>
      </c>
      <c r="H40" s="408">
        <f>-E40-D40</f>
        <v>0</v>
      </c>
      <c r="I40" s="803"/>
      <c r="K40" s="803"/>
    </row>
    <row r="41" spans="2:9" s="400" customFormat="1" ht="19.5" customHeight="1">
      <c r="B41" s="405" t="s">
        <v>19</v>
      </c>
      <c r="C41" s="521">
        <v>-123000</v>
      </c>
      <c r="D41" s="520"/>
      <c r="E41" s="520"/>
      <c r="F41" s="417"/>
      <c r="G41" s="418"/>
      <c r="H41" s="408"/>
      <c r="I41" s="802"/>
    </row>
    <row r="42" spans="2:11" s="400" customFormat="1" ht="19.5" customHeight="1">
      <c r="B42" s="401" t="s">
        <v>20</v>
      </c>
      <c r="C42" s="523">
        <f>SUM(C43:C45)</f>
        <v>-3264034.41</v>
      </c>
      <c r="D42" s="523">
        <f>SUM(D43:D45)</f>
        <v>-3186556.73</v>
      </c>
      <c r="E42" s="523">
        <f>SUM(E43:E45)</f>
        <v>-3504770.75</v>
      </c>
      <c r="F42" s="411"/>
      <c r="G42" s="403">
        <f>+D42-C42</f>
        <v>77477.68000000017</v>
      </c>
      <c r="H42" s="404">
        <f>+E42-D42</f>
        <v>-318214.02</v>
      </c>
      <c r="I42" s="803"/>
      <c r="K42" s="803"/>
    </row>
    <row r="43" spans="2:11" s="400" customFormat="1" ht="19.5" customHeight="1">
      <c r="B43" s="405" t="s">
        <v>629</v>
      </c>
      <c r="C43" s="521">
        <v>-66789.1</v>
      </c>
      <c r="D43" s="521">
        <v>-62114.5</v>
      </c>
      <c r="E43" s="521">
        <v>-5878</v>
      </c>
      <c r="F43" s="411"/>
      <c r="G43" s="403"/>
      <c r="H43" s="404"/>
      <c r="I43" s="804"/>
      <c r="K43" s="804"/>
    </row>
    <row r="44" spans="2:11" s="400" customFormat="1" ht="19.5" customHeight="1">
      <c r="B44" s="405" t="s">
        <v>630</v>
      </c>
      <c r="C44" s="521">
        <v>-3197245.31</v>
      </c>
      <c r="D44" s="521">
        <v>-3124442.23</v>
      </c>
      <c r="E44" s="521">
        <f>-3504770.75-E43</f>
        <v>-3498892.75</v>
      </c>
      <c r="F44" s="411"/>
      <c r="G44" s="403"/>
      <c r="H44" s="404"/>
      <c r="I44" s="804"/>
      <c r="K44" s="804"/>
    </row>
    <row r="45" spans="2:11" s="400" customFormat="1" ht="19.5" customHeight="1">
      <c r="B45" s="405" t="s">
        <v>631</v>
      </c>
      <c r="C45" s="520"/>
      <c r="D45" s="520"/>
      <c r="E45" s="520"/>
      <c r="F45" s="411"/>
      <c r="G45" s="403"/>
      <c r="H45" s="404"/>
      <c r="I45" s="804"/>
      <c r="K45" s="804"/>
    </row>
    <row r="46" spans="1:11" s="400" customFormat="1" ht="25.5" customHeight="1">
      <c r="A46" s="416"/>
      <c r="B46" s="410" t="s">
        <v>21</v>
      </c>
      <c r="C46" s="520">
        <v>413686.05</v>
      </c>
      <c r="D46" s="520">
        <v>413843.05</v>
      </c>
      <c r="E46" s="520">
        <v>657375.7</v>
      </c>
      <c r="F46" s="411"/>
      <c r="G46" s="403">
        <f>+D46-C46</f>
        <v>157</v>
      </c>
      <c r="H46" s="404">
        <f>+E46-D46</f>
        <v>243532.64999999997</v>
      </c>
      <c r="I46" s="803"/>
      <c r="K46" s="803"/>
    </row>
    <row r="47" spans="2:11" s="400" customFormat="1" ht="24.75" customHeight="1">
      <c r="B47" s="410" t="s">
        <v>22</v>
      </c>
      <c r="C47" s="520"/>
      <c r="D47" s="520"/>
      <c r="E47" s="520"/>
      <c r="F47" s="402"/>
      <c r="G47" s="403"/>
      <c r="H47" s="408"/>
      <c r="I47" s="803"/>
      <c r="K47" s="803"/>
    </row>
    <row r="48" spans="2:11" s="400" customFormat="1" ht="28.5" customHeight="1">
      <c r="B48" s="410" t="s">
        <v>23</v>
      </c>
      <c r="C48" s="523">
        <f>C49+C53</f>
        <v>0</v>
      </c>
      <c r="D48" s="523">
        <f>D49+D53</f>
        <v>0</v>
      </c>
      <c r="E48" s="523">
        <f>E49+E53</f>
        <v>0</v>
      </c>
      <c r="F48" s="411"/>
      <c r="G48" s="403">
        <f>+D48-C48</f>
        <v>0</v>
      </c>
      <c r="H48" s="404">
        <f>+E48-D48</f>
        <v>0</v>
      </c>
      <c r="I48" s="804"/>
      <c r="K48" s="804"/>
    </row>
    <row r="49" spans="2:11" s="400" customFormat="1" ht="19.5" customHeight="1">
      <c r="B49" s="405" t="s">
        <v>127</v>
      </c>
      <c r="C49" s="524">
        <f>SUM(C50:C52)</f>
        <v>0</v>
      </c>
      <c r="D49" s="524">
        <f>SUM(D50:D52)</f>
        <v>0</v>
      </c>
      <c r="E49" s="524">
        <f>SUM(E50:E52)</f>
        <v>0</v>
      </c>
      <c r="F49" s="406"/>
      <c r="G49" s="407"/>
      <c r="H49" s="408"/>
      <c r="I49" s="803"/>
      <c r="K49" s="803"/>
    </row>
    <row r="50" spans="2:11" s="400" customFormat="1" ht="19.5" customHeight="1">
      <c r="B50" s="405" t="s">
        <v>632</v>
      </c>
      <c r="C50" s="521"/>
      <c r="D50" s="520"/>
      <c r="E50" s="521"/>
      <c r="F50" s="406"/>
      <c r="G50" s="407"/>
      <c r="H50" s="408"/>
      <c r="I50" s="804"/>
      <c r="K50" s="804"/>
    </row>
    <row r="51" spans="2:11" s="400" customFormat="1" ht="19.5" customHeight="1">
      <c r="B51" s="405" t="s">
        <v>633</v>
      </c>
      <c r="C51" s="521"/>
      <c r="D51" s="520"/>
      <c r="E51" s="521"/>
      <c r="F51" s="406"/>
      <c r="G51" s="407"/>
      <c r="H51" s="408"/>
      <c r="I51" s="804"/>
      <c r="K51" s="804"/>
    </row>
    <row r="52" spans="2:11" s="400" customFormat="1" ht="19.5" customHeight="1">
      <c r="B52" s="405" t="s">
        <v>634</v>
      </c>
      <c r="C52" s="521"/>
      <c r="D52" s="520"/>
      <c r="E52" s="521"/>
      <c r="F52" s="406"/>
      <c r="G52" s="407"/>
      <c r="H52" s="408"/>
      <c r="I52" s="804"/>
      <c r="K52" s="804"/>
    </row>
    <row r="53" spans="2:11" s="400" customFormat="1" ht="19.5" customHeight="1">
      <c r="B53" s="405" t="s">
        <v>408</v>
      </c>
      <c r="C53" s="524">
        <f>SUM(C54:C56)</f>
        <v>0</v>
      </c>
      <c r="D53" s="524">
        <f>SUM(D54:D56)</f>
        <v>0</v>
      </c>
      <c r="E53" s="524">
        <f>SUM(E54:E56)</f>
        <v>0</v>
      </c>
      <c r="F53" s="409"/>
      <c r="G53" s="407">
        <f>+D53-C53</f>
        <v>0</v>
      </c>
      <c r="H53" s="408">
        <f>-E53-D53</f>
        <v>0</v>
      </c>
      <c r="I53" s="803"/>
      <c r="K53" s="803"/>
    </row>
    <row r="54" spans="2:11" s="400" customFormat="1" ht="19.5" customHeight="1">
      <c r="B54" s="405" t="s">
        <v>632</v>
      </c>
      <c r="C54" s="521"/>
      <c r="D54" s="521"/>
      <c r="E54" s="521"/>
      <c r="F54" s="409"/>
      <c r="G54" s="407"/>
      <c r="H54" s="408"/>
      <c r="I54" s="804"/>
      <c r="K54" s="804"/>
    </row>
    <row r="55" spans="2:11" s="400" customFormat="1" ht="19.5" customHeight="1">
      <c r="B55" s="405" t="s">
        <v>633</v>
      </c>
      <c r="C55" s="521"/>
      <c r="D55" s="521"/>
      <c r="E55" s="521"/>
      <c r="F55" s="409"/>
      <c r="G55" s="407"/>
      <c r="H55" s="408"/>
      <c r="I55" s="804"/>
      <c r="K55" s="804"/>
    </row>
    <row r="56" spans="2:11" s="400" customFormat="1" ht="19.5" customHeight="1">
      <c r="B56" s="405" t="s">
        <v>634</v>
      </c>
      <c r="C56" s="521"/>
      <c r="D56" s="521"/>
      <c r="E56" s="521"/>
      <c r="F56" s="409"/>
      <c r="G56" s="407"/>
      <c r="H56" s="408"/>
      <c r="I56" s="804"/>
      <c r="K56" s="804"/>
    </row>
    <row r="57" spans="2:11" s="400" customFormat="1" ht="27" customHeight="1">
      <c r="B57" s="410" t="s">
        <v>339</v>
      </c>
      <c r="C57" s="521"/>
      <c r="D57" s="521"/>
      <c r="E57" s="521"/>
      <c r="F57" s="409"/>
      <c r="G57" s="407"/>
      <c r="H57" s="408"/>
      <c r="I57" s="803"/>
      <c r="K57" s="803"/>
    </row>
    <row r="58" spans="2:9" s="400" customFormat="1" ht="27" customHeight="1">
      <c r="B58" s="410" t="s">
        <v>230</v>
      </c>
      <c r="C58" s="523">
        <f>SUM(C59:C61)</f>
        <v>0</v>
      </c>
      <c r="D58" s="523">
        <f>SUM(D59:D61)</f>
        <v>0</v>
      </c>
      <c r="E58" s="523">
        <f>SUM(E59:E61)</f>
        <v>0</v>
      </c>
      <c r="F58" s="409"/>
      <c r="G58" s="407"/>
      <c r="H58" s="408"/>
      <c r="I58" s="802"/>
    </row>
    <row r="59" spans="2:9" s="400" customFormat="1" ht="19.5" customHeight="1">
      <c r="B59" s="405" t="s">
        <v>231</v>
      </c>
      <c r="C59" s="521"/>
      <c r="D59" s="521"/>
      <c r="E59" s="521"/>
      <c r="F59" s="409"/>
      <c r="G59" s="407"/>
      <c r="H59" s="408"/>
      <c r="I59" s="805"/>
    </row>
    <row r="60" spans="2:9" s="400" customFormat="1" ht="19.5" customHeight="1">
      <c r="B60" s="405" t="s">
        <v>232</v>
      </c>
      <c r="C60" s="521"/>
      <c r="D60" s="521"/>
      <c r="E60" s="521"/>
      <c r="F60" s="409"/>
      <c r="G60" s="407"/>
      <c r="H60" s="408"/>
      <c r="I60" s="805"/>
    </row>
    <row r="61" spans="2:9" s="400" customFormat="1" ht="19.5" customHeight="1">
      <c r="B61" s="405" t="s">
        <v>233</v>
      </c>
      <c r="C61" s="521"/>
      <c r="D61" s="521"/>
      <c r="E61" s="521"/>
      <c r="F61" s="409"/>
      <c r="G61" s="407"/>
      <c r="H61" s="408"/>
      <c r="I61" s="805"/>
    </row>
    <row r="62" spans="1:9" s="400" customFormat="1" ht="29.25" customHeight="1">
      <c r="A62" s="416"/>
      <c r="B62" s="410" t="s">
        <v>229</v>
      </c>
      <c r="C62" s="523">
        <f>SUM(C63:C64)</f>
        <v>-19093.79</v>
      </c>
      <c r="D62" s="523">
        <f>SUM(D63:D64)</f>
        <v>-5172.5</v>
      </c>
      <c r="E62" s="523">
        <f>SUM(E63:E64)</f>
        <v>0</v>
      </c>
      <c r="F62" s="409"/>
      <c r="G62" s="407">
        <f>+D62-C62</f>
        <v>13921.29</v>
      </c>
      <c r="H62" s="408">
        <f>-E62-D62</f>
        <v>5172.5</v>
      </c>
      <c r="I62" s="802"/>
    </row>
    <row r="63" spans="1:9" s="400" customFormat="1" ht="21.75" customHeight="1">
      <c r="A63" s="416"/>
      <c r="B63" s="405" t="s">
        <v>676</v>
      </c>
      <c r="C63" s="521">
        <v>-19093.79</v>
      </c>
      <c r="D63" s="521">
        <v>-5172.5</v>
      </c>
      <c r="E63" s="521">
        <f>'INF. ADIC. CPYG '!I42</f>
        <v>0</v>
      </c>
      <c r="F63" s="409"/>
      <c r="G63" s="407"/>
      <c r="H63" s="408"/>
      <c r="I63" s="805"/>
    </row>
    <row r="64" spans="1:9" s="400" customFormat="1" ht="21" customHeight="1">
      <c r="A64" s="416"/>
      <c r="B64" s="405" t="s">
        <v>677</v>
      </c>
      <c r="C64" s="521">
        <f>'INF. ADIC. CPYG '!G38</f>
        <v>0</v>
      </c>
      <c r="D64" s="521">
        <f>'INF. ADIC. CPYG '!H38</f>
        <v>0</v>
      </c>
      <c r="E64" s="521">
        <f>'INF. ADIC. CPYG '!I38</f>
        <v>0</v>
      </c>
      <c r="F64" s="409"/>
      <c r="G64" s="407"/>
      <c r="H64" s="408"/>
      <c r="I64" s="805"/>
    </row>
    <row r="65" spans="2:9" s="400" customFormat="1" ht="33" customHeight="1">
      <c r="B65" s="410" t="s">
        <v>234</v>
      </c>
      <c r="C65" s="523">
        <f>C7+C8+C11+C12+C17+C29+C37+C42+C46+C47+C48+C62+C57+C58</f>
        <v>-137368.5100000005</v>
      </c>
      <c r="D65" s="523">
        <f>D7+D8+D11+D12+D17+D29+D37+D42+D46+D47+D48+D62+D57+D58</f>
        <v>-387340.80000000197</v>
      </c>
      <c r="E65" s="523">
        <f>E7+E8+E11+E12+E17+E29+E37+E42+E46+E47+E48+E62+E57+E58</f>
        <v>-443652.1100000001</v>
      </c>
      <c r="F65" s="402"/>
      <c r="G65" s="403">
        <f>+D65-C65</f>
        <v>-249972.29000000146</v>
      </c>
      <c r="H65" s="404">
        <f>+E65-D65</f>
        <v>-56311.309999998135</v>
      </c>
      <c r="I65" s="805"/>
    </row>
    <row r="66" spans="2:9" s="400" customFormat="1" ht="27.75" customHeight="1">
      <c r="B66" s="410" t="s">
        <v>235</v>
      </c>
      <c r="C66" s="523">
        <f>SUM(C67+C70+C73)</f>
        <v>2604640.02</v>
      </c>
      <c r="D66" s="523">
        <f>SUM(D67+D70+D73)</f>
        <v>1910298.25</v>
      </c>
      <c r="E66" s="523">
        <f>SUM(E67+E70+E73)</f>
        <v>1051154.29</v>
      </c>
      <c r="F66" s="402"/>
      <c r="G66" s="403">
        <f>+D66-C66</f>
        <v>-694341.77</v>
      </c>
      <c r="H66" s="404">
        <f>+E66-D66</f>
        <v>-859143.96</v>
      </c>
      <c r="I66" s="805"/>
    </row>
    <row r="67" spans="2:9" s="400" customFormat="1" ht="19.5" customHeight="1">
      <c r="B67" s="405" t="s">
        <v>24</v>
      </c>
      <c r="C67" s="524">
        <f>SUM(C68:C69)</f>
        <v>1849103.84</v>
      </c>
      <c r="D67" s="524">
        <f>SUM(D68:D69)</f>
        <v>1271310.91</v>
      </c>
      <c r="E67" s="524">
        <f>SUM(E68:E69)</f>
        <v>466388.44</v>
      </c>
      <c r="F67" s="409"/>
      <c r="G67" s="414"/>
      <c r="H67" s="408"/>
      <c r="I67" s="802"/>
    </row>
    <row r="68" spans="2:9" s="400" customFormat="1" ht="19.5" customHeight="1">
      <c r="B68" s="405" t="s">
        <v>25</v>
      </c>
      <c r="C68" s="521"/>
      <c r="D68" s="521">
        <v>59169.76</v>
      </c>
      <c r="E68" s="521">
        <v>80348.44</v>
      </c>
      <c r="F68" s="409"/>
      <c r="G68" s="414"/>
      <c r="H68" s="408"/>
      <c r="I68" s="805"/>
    </row>
    <row r="69" spans="2:9" s="400" customFormat="1" ht="19.5" customHeight="1">
      <c r="B69" s="405" t="s">
        <v>26</v>
      </c>
      <c r="C69" s="521">
        <v>1849103.84</v>
      </c>
      <c r="D69" s="521">
        <v>1212141.15</v>
      </c>
      <c r="E69" s="521">
        <v>386040</v>
      </c>
      <c r="F69" s="409"/>
      <c r="G69" s="414"/>
      <c r="H69" s="408"/>
      <c r="I69" s="805"/>
    </row>
    <row r="70" spans="2:9" s="400" customFormat="1" ht="19.5" customHeight="1">
      <c r="B70" s="405" t="s">
        <v>409</v>
      </c>
      <c r="C70" s="524">
        <f>SUM(C71:C72)</f>
        <v>755536.18</v>
      </c>
      <c r="D70" s="524">
        <f>SUM(D71:D72)</f>
        <v>638987.34</v>
      </c>
      <c r="E70" s="524">
        <f>SUM(E71:E72)</f>
        <v>584765.85</v>
      </c>
      <c r="F70" s="409"/>
      <c r="G70" s="407">
        <f>+D70-C70</f>
        <v>-116548.84000000008</v>
      </c>
      <c r="H70" s="408">
        <f>-E70-D70</f>
        <v>-1223753.19</v>
      </c>
      <c r="I70" s="802"/>
    </row>
    <row r="71" spans="2:9" s="400" customFormat="1" ht="19.5" customHeight="1">
      <c r="B71" s="405" t="s">
        <v>27</v>
      </c>
      <c r="C71" s="521">
        <v>752786.26</v>
      </c>
      <c r="D71" s="521">
        <v>636203.69</v>
      </c>
      <c r="E71" s="521">
        <v>582965.85</v>
      </c>
      <c r="F71" s="409"/>
      <c r="G71" s="414"/>
      <c r="H71" s="408"/>
      <c r="I71" s="805"/>
    </row>
    <row r="72" spans="2:9" s="400" customFormat="1" ht="19.5" customHeight="1">
      <c r="B72" s="405" t="s">
        <v>28</v>
      </c>
      <c r="C72" s="521">
        <v>2749.92</v>
      </c>
      <c r="D72" s="521">
        <v>2783.65</v>
      </c>
      <c r="E72" s="521">
        <v>1800</v>
      </c>
      <c r="F72" s="419"/>
      <c r="G72" s="407">
        <f>+D72-C72</f>
        <v>33.73000000000002</v>
      </c>
      <c r="H72" s="408">
        <f>-E72-D72</f>
        <v>-4583.65</v>
      </c>
      <c r="I72" s="805"/>
    </row>
    <row r="73" spans="2:11" s="400" customFormat="1" ht="19.5" customHeight="1">
      <c r="B73" s="405" t="s">
        <v>340</v>
      </c>
      <c r="C73" s="521"/>
      <c r="D73" s="521"/>
      <c r="E73" s="521"/>
      <c r="F73" s="419"/>
      <c r="G73" s="407"/>
      <c r="H73" s="408"/>
      <c r="I73" s="803"/>
      <c r="K73" s="803"/>
    </row>
    <row r="74" spans="2:9" s="400" customFormat="1" ht="19.5" customHeight="1">
      <c r="B74" s="410" t="s">
        <v>236</v>
      </c>
      <c r="C74" s="523">
        <f>SUM(C75:C77)</f>
        <v>-663007.46</v>
      </c>
      <c r="D74" s="523">
        <f>SUM(D75:D77)</f>
        <v>-230523.31</v>
      </c>
      <c r="E74" s="523">
        <f>E75+E76+E77</f>
        <v>-181750.69</v>
      </c>
      <c r="F74" s="411"/>
      <c r="G74" s="403">
        <f>+D74-C74</f>
        <v>432484.14999999997</v>
      </c>
      <c r="H74" s="404">
        <f>+E74-D74</f>
        <v>48772.619999999995</v>
      </c>
      <c r="I74" s="805"/>
    </row>
    <row r="75" spans="2:9" s="400" customFormat="1" ht="19.5" customHeight="1">
      <c r="B75" s="405" t="s">
        <v>29</v>
      </c>
      <c r="C75" s="521"/>
      <c r="D75" s="520"/>
      <c r="E75" s="521">
        <v>-1200</v>
      </c>
      <c r="F75" s="409"/>
      <c r="G75" s="414"/>
      <c r="H75" s="408"/>
      <c r="I75" s="802"/>
    </row>
    <row r="76" spans="2:9" s="400" customFormat="1" ht="19.5" customHeight="1">
      <c r="B76" s="405" t="s">
        <v>410</v>
      </c>
      <c r="C76" s="521">
        <v>-662373.13</v>
      </c>
      <c r="D76" s="521">
        <v>-229323.31</v>
      </c>
      <c r="E76" s="521">
        <v>-180550.69</v>
      </c>
      <c r="F76" s="419"/>
      <c r="G76" s="420"/>
      <c r="H76" s="408"/>
      <c r="I76" s="802"/>
    </row>
    <row r="77" spans="2:11" s="400" customFormat="1" ht="19.5" customHeight="1">
      <c r="B77" s="405" t="s">
        <v>411</v>
      </c>
      <c r="C77" s="521">
        <v>-634.33</v>
      </c>
      <c r="D77" s="521">
        <v>-1200</v>
      </c>
      <c r="E77" s="520"/>
      <c r="F77" s="421"/>
      <c r="G77" s="422"/>
      <c r="H77" s="408"/>
      <c r="I77" s="803"/>
      <c r="K77" s="803"/>
    </row>
    <row r="78" spans="2:11" s="400" customFormat="1" ht="24.75" customHeight="1">
      <c r="B78" s="410" t="s">
        <v>237</v>
      </c>
      <c r="C78" s="523">
        <f>C79+C80</f>
        <v>0</v>
      </c>
      <c r="D78" s="523">
        <f>D79+D80</f>
        <v>0</v>
      </c>
      <c r="E78" s="523">
        <f>E79+E80</f>
        <v>0</v>
      </c>
      <c r="F78" s="411"/>
      <c r="G78" s="403">
        <f>+D78-C78</f>
        <v>0</v>
      </c>
      <c r="H78" s="404">
        <f>+E78-D78</f>
        <v>0</v>
      </c>
      <c r="I78" s="803"/>
      <c r="K78" s="803"/>
    </row>
    <row r="79" spans="2:11" s="400" customFormat="1" ht="19.5" customHeight="1">
      <c r="B79" s="405" t="s">
        <v>30</v>
      </c>
      <c r="C79" s="520"/>
      <c r="D79" s="520"/>
      <c r="E79" s="520"/>
      <c r="F79" s="421"/>
      <c r="G79" s="422"/>
      <c r="H79" s="408"/>
      <c r="I79" s="804"/>
      <c r="K79" s="804"/>
    </row>
    <row r="80" spans="2:11" s="400" customFormat="1" ht="28.5" customHeight="1">
      <c r="B80" s="423" t="s">
        <v>412</v>
      </c>
      <c r="C80" s="520"/>
      <c r="D80" s="520"/>
      <c r="E80" s="520"/>
      <c r="F80" s="421"/>
      <c r="G80" s="422"/>
      <c r="H80" s="408"/>
      <c r="I80" s="804"/>
      <c r="K80" s="804"/>
    </row>
    <row r="81" spans="2:11" s="400" customFormat="1" ht="21.75" customHeight="1">
      <c r="B81" s="410" t="s">
        <v>238</v>
      </c>
      <c r="C81" s="520">
        <v>-84.66</v>
      </c>
      <c r="D81" s="520">
        <v>-56.69</v>
      </c>
      <c r="E81" s="520"/>
      <c r="F81" s="411"/>
      <c r="G81" s="412"/>
      <c r="H81" s="408"/>
      <c r="I81" s="803"/>
      <c r="K81" s="803"/>
    </row>
    <row r="82" spans="2:11" s="400" customFormat="1" ht="28.5" customHeight="1">
      <c r="B82" s="410" t="s">
        <v>239</v>
      </c>
      <c r="C82" s="523">
        <f>SUM(C83:C84)</f>
        <v>0</v>
      </c>
      <c r="D82" s="523">
        <f>SUM(D83:D84)</f>
        <v>0</v>
      </c>
      <c r="E82" s="523">
        <f>SUM(E83:E84)</f>
        <v>0</v>
      </c>
      <c r="F82" s="402"/>
      <c r="G82" s="403"/>
      <c r="H82" s="408"/>
      <c r="I82" s="803"/>
      <c r="K82" s="803"/>
    </row>
    <row r="83" spans="2:11" s="400" customFormat="1" ht="20.25" customHeight="1">
      <c r="B83" s="405" t="s">
        <v>31</v>
      </c>
      <c r="C83" s="520"/>
      <c r="D83" s="520"/>
      <c r="E83" s="520"/>
      <c r="F83" s="417"/>
      <c r="G83" s="418"/>
      <c r="H83" s="408"/>
      <c r="I83" s="804"/>
      <c r="K83" s="804"/>
    </row>
    <row r="84" spans="2:11" s="400" customFormat="1" ht="17.25" customHeight="1">
      <c r="B84" s="423" t="s">
        <v>32</v>
      </c>
      <c r="C84" s="520"/>
      <c r="D84" s="520"/>
      <c r="E84" s="520"/>
      <c r="F84" s="417"/>
      <c r="G84" s="418"/>
      <c r="H84" s="408"/>
      <c r="I84" s="804"/>
      <c r="K84" s="804"/>
    </row>
    <row r="85" spans="2:9" s="400" customFormat="1" ht="17.25" customHeight="1">
      <c r="B85" s="410" t="s">
        <v>242</v>
      </c>
      <c r="C85" s="523">
        <f>SUM(C86:C87)</f>
        <v>0</v>
      </c>
      <c r="D85" s="523">
        <f>SUM(D86:D87)</f>
        <v>0</v>
      </c>
      <c r="E85" s="523">
        <f>SUM(E86:E87)</f>
        <v>0</v>
      </c>
      <c r="F85" s="417"/>
      <c r="G85" s="418"/>
      <c r="H85" s="408"/>
      <c r="I85" s="805"/>
    </row>
    <row r="86" spans="2:9" s="400" customFormat="1" ht="17.25" customHeight="1">
      <c r="B86" s="410" t="s">
        <v>341</v>
      </c>
      <c r="C86" s="520"/>
      <c r="D86" s="520"/>
      <c r="E86" s="520"/>
      <c r="F86" s="417"/>
      <c r="G86" s="418"/>
      <c r="H86" s="408"/>
      <c r="I86" s="802"/>
    </row>
    <row r="87" spans="2:9" s="400" customFormat="1" ht="17.25" customHeight="1">
      <c r="B87" s="410" t="s">
        <v>342</v>
      </c>
      <c r="C87" s="520"/>
      <c r="D87" s="520"/>
      <c r="E87" s="520"/>
      <c r="F87" s="417"/>
      <c r="G87" s="418"/>
      <c r="H87" s="408"/>
      <c r="I87" s="802"/>
    </row>
    <row r="88" spans="2:9" s="400" customFormat="1" ht="19.5" customHeight="1">
      <c r="B88" s="424" t="s">
        <v>375</v>
      </c>
      <c r="C88" s="523">
        <f>C66+C74+C78+C81+C82+C85</f>
        <v>1941547.9000000001</v>
      </c>
      <c r="D88" s="523">
        <f>D66+D74+D78+D81+D82+D85</f>
        <v>1679718.25</v>
      </c>
      <c r="E88" s="523">
        <f>E66+E74+E78+E81+E82+E85</f>
        <v>869403.6000000001</v>
      </c>
      <c r="F88" s="402"/>
      <c r="G88" s="403">
        <f aca="true" t="shared" si="0" ref="G88:H94">+D88-C88</f>
        <v>-261829.65000000014</v>
      </c>
      <c r="H88" s="404">
        <f t="shared" si="0"/>
        <v>-810314.6499999999</v>
      </c>
      <c r="I88" s="805"/>
    </row>
    <row r="89" spans="2:9" s="400" customFormat="1" ht="19.5" customHeight="1">
      <c r="B89" s="424" t="s">
        <v>413</v>
      </c>
      <c r="C89" s="523">
        <f>C88+C65</f>
        <v>1804179.3899999997</v>
      </c>
      <c r="D89" s="525">
        <f>D88+D65</f>
        <v>1292377.449999998</v>
      </c>
      <c r="E89" s="525">
        <f>E88+E65</f>
        <v>425751.49</v>
      </c>
      <c r="F89" s="425"/>
      <c r="G89" s="403">
        <f t="shared" si="0"/>
        <v>-511801.9400000016</v>
      </c>
      <c r="H89" s="404">
        <f t="shared" si="0"/>
        <v>-866625.9599999981</v>
      </c>
      <c r="I89" s="805"/>
    </row>
    <row r="90" spans="2:9" s="400" customFormat="1" ht="21.75" customHeight="1">
      <c r="B90" s="410" t="s">
        <v>240</v>
      </c>
      <c r="C90" s="522">
        <v>-55296.61</v>
      </c>
      <c r="D90" s="522">
        <v>575486.97</v>
      </c>
      <c r="E90" s="522">
        <v>2109413.36</v>
      </c>
      <c r="F90" s="426"/>
      <c r="G90" s="403">
        <f t="shared" si="0"/>
        <v>630783.58</v>
      </c>
      <c r="H90" s="404">
        <f t="shared" si="0"/>
        <v>1533926.39</v>
      </c>
      <c r="I90" s="802"/>
    </row>
    <row r="91" spans="2:9" s="400" customFormat="1" ht="31.5" customHeight="1">
      <c r="B91" s="427" t="s">
        <v>33</v>
      </c>
      <c r="C91" s="523">
        <f>C89+C90</f>
        <v>1748882.7799999996</v>
      </c>
      <c r="D91" s="523">
        <f>D89+D90</f>
        <v>1867864.419999998</v>
      </c>
      <c r="E91" s="523">
        <f>E89+E90</f>
        <v>2535164.8499999996</v>
      </c>
      <c r="F91" s="402"/>
      <c r="G91" s="403">
        <f t="shared" si="0"/>
        <v>118981.6399999985</v>
      </c>
      <c r="H91" s="404">
        <f t="shared" si="0"/>
        <v>667300.4300000016</v>
      </c>
      <c r="I91" s="805"/>
    </row>
    <row r="92" spans="2:9" s="400" customFormat="1" ht="19.5" customHeight="1">
      <c r="B92" s="424" t="s">
        <v>414</v>
      </c>
      <c r="C92" s="520"/>
      <c r="D92" s="520"/>
      <c r="E92" s="520"/>
      <c r="F92" s="417"/>
      <c r="G92" s="403">
        <f t="shared" si="0"/>
        <v>0</v>
      </c>
      <c r="H92" s="404">
        <f t="shared" si="0"/>
        <v>0</v>
      </c>
      <c r="I92" s="803"/>
    </row>
    <row r="93" spans="2:9" s="400" customFormat="1" ht="29.25" customHeight="1">
      <c r="B93" s="410" t="s">
        <v>241</v>
      </c>
      <c r="C93" s="520"/>
      <c r="D93" s="520"/>
      <c r="E93" s="520"/>
      <c r="F93" s="417"/>
      <c r="G93" s="403">
        <f t="shared" si="0"/>
        <v>0</v>
      </c>
      <c r="H93" s="404">
        <f t="shared" si="0"/>
        <v>0</v>
      </c>
      <c r="I93" s="819"/>
    </row>
    <row r="94" spans="2:8" s="400" customFormat="1" ht="39.75" customHeight="1">
      <c r="B94" s="428" t="s">
        <v>34</v>
      </c>
      <c r="C94" s="523">
        <f>C91+C93</f>
        <v>1748882.7799999996</v>
      </c>
      <c r="D94" s="523">
        <f>D91+D93</f>
        <v>1867864.419999998</v>
      </c>
      <c r="E94" s="523">
        <f>E91+E92+E93</f>
        <v>2535164.8499999996</v>
      </c>
      <c r="F94" s="421"/>
      <c r="G94" s="403">
        <f t="shared" si="0"/>
        <v>118981.6399999985</v>
      </c>
      <c r="H94" s="404">
        <f t="shared" si="0"/>
        <v>667300.4300000016</v>
      </c>
    </row>
    <row r="95" spans="3:8" ht="19.5" customHeight="1">
      <c r="C95" s="429"/>
      <c r="D95" s="429"/>
      <c r="E95" s="429"/>
      <c r="F95" s="429"/>
      <c r="G95" s="430"/>
      <c r="H95" s="431"/>
    </row>
    <row r="96" spans="2:7" ht="19.5" customHeight="1" hidden="1">
      <c r="B96" s="432" t="s">
        <v>604</v>
      </c>
      <c r="C96" s="433"/>
      <c r="D96" s="433"/>
      <c r="E96" s="433"/>
      <c r="F96" s="433"/>
      <c r="G96" s="434"/>
    </row>
    <row r="97" spans="2:7" ht="19.5" customHeight="1" hidden="1">
      <c r="B97" s="387" t="s">
        <v>35</v>
      </c>
      <c r="C97" s="429"/>
      <c r="D97" s="429"/>
      <c r="E97" s="429"/>
      <c r="F97" s="429"/>
      <c r="G97" s="430"/>
    </row>
    <row r="98" spans="3:7" ht="19.5" customHeight="1" hidden="1">
      <c r="C98" s="429"/>
      <c r="D98" s="429"/>
      <c r="E98" s="429"/>
      <c r="F98" s="429"/>
      <c r="G98" s="430"/>
    </row>
    <row r="99" spans="3:7" ht="19.5" customHeight="1" hidden="1">
      <c r="C99" s="429"/>
      <c r="D99" s="429"/>
      <c r="E99" s="429"/>
      <c r="F99" s="429"/>
      <c r="G99" s="430"/>
    </row>
    <row r="100" spans="3:7" ht="19.5" customHeight="1" hidden="1">
      <c r="C100" s="429"/>
      <c r="D100" s="429"/>
      <c r="E100" s="429"/>
      <c r="F100" s="429"/>
      <c r="G100" s="430"/>
    </row>
    <row r="101" spans="3:7" ht="19.5" customHeight="1" hidden="1">
      <c r="C101" s="429"/>
      <c r="D101" s="429"/>
      <c r="E101" s="429"/>
      <c r="F101" s="429"/>
      <c r="G101" s="430"/>
    </row>
    <row r="102" spans="3:7" ht="19.5" customHeight="1" hidden="1">
      <c r="C102" s="435">
        <f>+PASIVO!C20</f>
        <v>1748882.7799999996</v>
      </c>
      <c r="D102" s="435">
        <f>+PASIVO!D20</f>
        <v>1867864.419999998</v>
      </c>
      <c r="E102" s="435">
        <f>+PASIVO!E20</f>
        <v>2535164.8499999996</v>
      </c>
      <c r="F102" s="435"/>
      <c r="G102" s="436"/>
    </row>
    <row r="103" spans="3:7" ht="19.5" customHeight="1" hidden="1">
      <c r="C103" s="437">
        <f>C94-C102</f>
        <v>0</v>
      </c>
      <c r="D103" s="437">
        <f>D94-D102</f>
        <v>0</v>
      </c>
      <c r="E103" s="437">
        <f>E94-E102</f>
        <v>0</v>
      </c>
      <c r="F103" s="437"/>
      <c r="G103" s="438"/>
    </row>
    <row r="104" spans="3:8" s="439" customFormat="1" ht="19.5" customHeight="1" hidden="1">
      <c r="C104" s="440"/>
      <c r="D104" s="440"/>
      <c r="E104" s="440"/>
      <c r="F104" s="440"/>
      <c r="G104" s="441"/>
      <c r="H104" s="442"/>
    </row>
    <row r="105" spans="2:7" ht="19.5" customHeight="1" hidden="1">
      <c r="B105" s="387" t="s">
        <v>61</v>
      </c>
      <c r="C105" s="437">
        <f>+PASIVO!C19</f>
        <v>0</v>
      </c>
      <c r="D105" s="437">
        <f>+PASIVO!D19-PASIVO!C19</f>
        <v>0</v>
      </c>
      <c r="E105" s="437">
        <f>+PASIVO!E19-PASIVO!D19</f>
        <v>0</v>
      </c>
      <c r="F105" s="437"/>
      <c r="G105" s="438"/>
    </row>
    <row r="106" spans="2:7" ht="19.5" customHeight="1" hidden="1">
      <c r="B106" s="387" t="s">
        <v>62</v>
      </c>
      <c r="C106" s="437">
        <f>+C94</f>
        <v>1748882.7799999996</v>
      </c>
      <c r="D106" s="437">
        <f>+D94</f>
        <v>1867864.419999998</v>
      </c>
      <c r="E106" s="437">
        <f>+E94</f>
        <v>2535164.8499999996</v>
      </c>
      <c r="F106" s="437"/>
      <c r="G106" s="438"/>
    </row>
    <row r="107" spans="2:7" ht="19.5" customHeight="1" hidden="1">
      <c r="B107" s="387" t="s">
        <v>63</v>
      </c>
      <c r="C107" s="435">
        <f>SUM(C105:C106)</f>
        <v>1748882.7799999996</v>
      </c>
      <c r="D107" s="435">
        <f>SUM(D105:D106)</f>
        <v>1867864.419999998</v>
      </c>
      <c r="E107" s="435">
        <f>SUM(E105:E106)</f>
        <v>2535164.8499999996</v>
      </c>
      <c r="F107" s="435"/>
      <c r="G107" s="436"/>
    </row>
    <row r="108" spans="2:7" ht="19.5" customHeight="1" hidden="1">
      <c r="B108" s="443" t="s">
        <v>93</v>
      </c>
      <c r="C108" s="437">
        <f>+PASIVO!C19+C94</f>
        <v>1748882.7799999996</v>
      </c>
      <c r="D108" s="437">
        <f>+PASIVO!D19+D94-PASIVO!C19</f>
        <v>1867864.419999998</v>
      </c>
      <c r="E108" s="437">
        <f>+PASIVO!E19+E94-PASIVO!D19</f>
        <v>2535164.8499999996</v>
      </c>
      <c r="F108" s="437"/>
      <c r="G108" s="438"/>
    </row>
    <row r="109" spans="2:7" ht="19.5" customHeight="1" hidden="1">
      <c r="B109" s="387" t="s">
        <v>94</v>
      </c>
      <c r="C109" s="429">
        <v>29502.85</v>
      </c>
      <c r="D109" s="429">
        <v>0</v>
      </c>
      <c r="E109" s="429">
        <v>0</v>
      </c>
      <c r="F109" s="429"/>
      <c r="G109" s="430"/>
    </row>
    <row r="110" spans="2:7" ht="19.5" customHeight="1" hidden="1">
      <c r="B110" s="387" t="s">
        <v>88</v>
      </c>
      <c r="C110" s="444">
        <f>+C108-C109</f>
        <v>1719379.9299999995</v>
      </c>
      <c r="D110" s="437">
        <f>+D108-D109</f>
        <v>1867864.419999998</v>
      </c>
      <c r="E110" s="444">
        <f>+E108-E109</f>
        <v>2535164.8499999996</v>
      </c>
      <c r="F110" s="444"/>
      <c r="G110" s="445"/>
    </row>
    <row r="111" spans="3:7" ht="19.5" customHeight="1" hidden="1">
      <c r="C111" s="429"/>
      <c r="D111" s="429"/>
      <c r="E111" s="429"/>
      <c r="F111" s="429"/>
      <c r="G111" s="430"/>
    </row>
    <row r="112" spans="3:7" ht="19.5" customHeight="1" hidden="1">
      <c r="C112" s="429"/>
      <c r="D112" s="429"/>
      <c r="E112" s="429"/>
      <c r="F112" s="429"/>
      <c r="G112" s="430"/>
    </row>
    <row r="113" spans="3:7" ht="19.5" customHeight="1" hidden="1">
      <c r="C113" s="429"/>
      <c r="D113" s="429"/>
      <c r="E113" s="429"/>
      <c r="F113" s="429"/>
      <c r="G113" s="430"/>
    </row>
    <row r="114" spans="3:7" ht="19.5" customHeight="1" hidden="1">
      <c r="C114" s="429"/>
      <c r="D114" s="429"/>
      <c r="E114" s="429"/>
      <c r="F114" s="429"/>
      <c r="G114" s="430"/>
    </row>
    <row r="115" spans="3:7" ht="19.5" customHeight="1" hidden="1">
      <c r="C115" s="429"/>
      <c r="D115" s="429"/>
      <c r="E115" s="429"/>
      <c r="F115" s="429"/>
      <c r="G115" s="430"/>
    </row>
    <row r="116" spans="3:7" ht="19.5" customHeight="1" hidden="1">
      <c r="C116" s="429"/>
      <c r="D116" s="429"/>
      <c r="E116" s="429"/>
      <c r="F116" s="429"/>
      <c r="G116" s="430"/>
    </row>
    <row r="117" spans="3:7" ht="19.5" customHeight="1">
      <c r="C117" s="429"/>
      <c r="D117" s="429"/>
      <c r="E117" s="429"/>
      <c r="F117" s="429"/>
      <c r="G117" s="430"/>
    </row>
    <row r="118" spans="3:7" ht="19.5" customHeight="1">
      <c r="C118" s="429"/>
      <c r="D118" s="429"/>
      <c r="E118" s="429"/>
      <c r="F118" s="429"/>
      <c r="G118" s="430"/>
    </row>
    <row r="119" spans="3:7" ht="19.5" customHeight="1">
      <c r="C119" s="429"/>
      <c r="D119" s="429"/>
      <c r="E119" s="429"/>
      <c r="F119" s="429"/>
      <c r="G119" s="430"/>
    </row>
    <row r="120" spans="3:7" ht="19.5" customHeight="1">
      <c r="C120" s="429"/>
      <c r="D120" s="429"/>
      <c r="E120" s="429"/>
      <c r="F120" s="429"/>
      <c r="G120" s="430"/>
    </row>
    <row r="121" spans="3:7" ht="19.5" customHeight="1">
      <c r="C121" s="429"/>
      <c r="D121" s="429"/>
      <c r="E121" s="429"/>
      <c r="F121" s="429"/>
      <c r="G121" s="430"/>
    </row>
    <row r="122" spans="3:7" ht="19.5" customHeight="1">
      <c r="C122" s="429"/>
      <c r="D122" s="429"/>
      <c r="E122" s="429"/>
      <c r="F122" s="429"/>
      <c r="G122" s="430"/>
    </row>
    <row r="123" spans="3:7" ht="19.5" customHeight="1">
      <c r="C123" s="429"/>
      <c r="D123" s="429"/>
      <c r="E123" s="429"/>
      <c r="F123" s="429"/>
      <c r="G123" s="430"/>
    </row>
    <row r="124" spans="3:7" ht="19.5" customHeight="1">
      <c r="C124" s="429"/>
      <c r="D124" s="429"/>
      <c r="E124" s="429"/>
      <c r="F124" s="429"/>
      <c r="G124" s="430"/>
    </row>
    <row r="125" spans="3:7" ht="19.5" customHeight="1">
      <c r="C125" s="429"/>
      <c r="D125" s="429"/>
      <c r="E125" s="429"/>
      <c r="F125" s="429"/>
      <c r="G125" s="430"/>
    </row>
    <row r="126" spans="3:7" ht="19.5" customHeight="1">
      <c r="C126" s="429"/>
      <c r="D126" s="429"/>
      <c r="E126" s="429"/>
      <c r="F126" s="429"/>
      <c r="G126" s="430"/>
    </row>
    <row r="127" spans="3:7" ht="19.5" customHeight="1">
      <c r="C127" s="429"/>
      <c r="D127" s="429"/>
      <c r="E127" s="429"/>
      <c r="F127" s="429"/>
      <c r="G127" s="430"/>
    </row>
    <row r="128" spans="3:7" ht="19.5" customHeight="1">
      <c r="C128" s="429"/>
      <c r="D128" s="429"/>
      <c r="E128" s="429"/>
      <c r="F128" s="429"/>
      <c r="G128" s="430"/>
    </row>
    <row r="129" spans="3:7" ht="19.5" customHeight="1">
      <c r="C129" s="429"/>
      <c r="D129" s="429"/>
      <c r="E129" s="429"/>
      <c r="F129" s="429"/>
      <c r="G129" s="430"/>
    </row>
    <row r="130" spans="3:7" ht="19.5" customHeight="1">
      <c r="C130" s="429"/>
      <c r="D130" s="429"/>
      <c r="E130" s="429"/>
      <c r="F130" s="429"/>
      <c r="G130" s="430"/>
    </row>
    <row r="131" spans="3:7" ht="19.5" customHeight="1">
      <c r="C131" s="429"/>
      <c r="D131" s="429"/>
      <c r="E131" s="429"/>
      <c r="F131" s="429"/>
      <c r="G131" s="430"/>
    </row>
    <row r="132" spans="3:7" ht="19.5" customHeight="1">
      <c r="C132" s="429"/>
      <c r="D132" s="429"/>
      <c r="E132" s="429"/>
      <c r="F132" s="429"/>
      <c r="G132" s="430"/>
    </row>
    <row r="133" spans="3:7" ht="19.5" customHeight="1">
      <c r="C133" s="429"/>
      <c r="D133" s="429"/>
      <c r="E133" s="429"/>
      <c r="F133" s="429"/>
      <c r="G133" s="430"/>
    </row>
    <row r="134" spans="3:7" ht="19.5" customHeight="1">
      <c r="C134" s="429"/>
      <c r="D134" s="429"/>
      <c r="E134" s="429"/>
      <c r="F134" s="429"/>
      <c r="G134" s="430"/>
    </row>
    <row r="135" spans="3:7" ht="19.5" customHeight="1">
      <c r="C135" s="429"/>
      <c r="D135" s="429"/>
      <c r="E135" s="429"/>
      <c r="F135" s="429"/>
      <c r="G135" s="430"/>
    </row>
    <row r="136" spans="3:7" ht="19.5" customHeight="1">
      <c r="C136" s="429"/>
      <c r="D136" s="429"/>
      <c r="E136" s="429"/>
      <c r="F136" s="429"/>
      <c r="G136" s="430"/>
    </row>
    <row r="137" spans="3:7" ht="19.5" customHeight="1">
      <c r="C137" s="429"/>
      <c r="D137" s="429"/>
      <c r="E137" s="429"/>
      <c r="F137" s="429"/>
      <c r="G137" s="430"/>
    </row>
    <row r="138" spans="3:7" ht="19.5" customHeight="1">
      <c r="C138" s="429"/>
      <c r="D138" s="429"/>
      <c r="E138" s="429"/>
      <c r="F138" s="429"/>
      <c r="G138" s="430"/>
    </row>
    <row r="139" spans="3:7" ht="19.5" customHeight="1">
      <c r="C139" s="429"/>
      <c r="D139" s="429"/>
      <c r="E139" s="429"/>
      <c r="F139" s="429"/>
      <c r="G139" s="430"/>
    </row>
    <row r="140" spans="3:7" ht="19.5" customHeight="1">
      <c r="C140" s="429"/>
      <c r="D140" s="429"/>
      <c r="E140" s="429"/>
      <c r="F140" s="429"/>
      <c r="G140" s="430"/>
    </row>
    <row r="141" spans="3:7" ht="19.5" customHeight="1">
      <c r="C141" s="429"/>
      <c r="D141" s="429"/>
      <c r="E141" s="429"/>
      <c r="F141" s="429"/>
      <c r="G141" s="430"/>
    </row>
    <row r="142" spans="3:7" ht="19.5" customHeight="1">
      <c r="C142" s="429"/>
      <c r="D142" s="429"/>
      <c r="E142" s="429"/>
      <c r="F142" s="429"/>
      <c r="G142" s="430"/>
    </row>
    <row r="143" spans="3:7" ht="19.5" customHeight="1">
      <c r="C143" s="429"/>
      <c r="D143" s="429"/>
      <c r="E143" s="429"/>
      <c r="F143" s="429"/>
      <c r="G143" s="430"/>
    </row>
    <row r="144" spans="3:7" ht="19.5" customHeight="1">
      <c r="C144" s="429"/>
      <c r="D144" s="429"/>
      <c r="E144" s="429"/>
      <c r="F144" s="429"/>
      <c r="G144" s="430"/>
    </row>
    <row r="145" spans="3:7" ht="19.5" customHeight="1">
      <c r="C145" s="429"/>
      <c r="D145" s="429"/>
      <c r="E145" s="429"/>
      <c r="F145" s="429"/>
      <c r="G145" s="430"/>
    </row>
    <row r="146" spans="3:7" ht="19.5" customHeight="1">
      <c r="C146" s="429"/>
      <c r="D146" s="429"/>
      <c r="E146" s="429"/>
      <c r="F146" s="429"/>
      <c r="G146" s="430"/>
    </row>
    <row r="147" spans="3:7" ht="19.5" customHeight="1">
      <c r="C147" s="429"/>
      <c r="D147" s="429"/>
      <c r="E147" s="429"/>
      <c r="F147" s="429"/>
      <c r="G147" s="430"/>
    </row>
    <row r="148" spans="3:7" ht="19.5" customHeight="1">
      <c r="C148" s="429"/>
      <c r="D148" s="429"/>
      <c r="E148" s="429"/>
      <c r="F148" s="429"/>
      <c r="G148" s="430"/>
    </row>
    <row r="149" spans="3:7" ht="19.5" customHeight="1">
      <c r="C149" s="429"/>
      <c r="D149" s="429"/>
      <c r="E149" s="429"/>
      <c r="F149" s="429"/>
      <c r="G149" s="430"/>
    </row>
    <row r="150" spans="3:7" ht="19.5" customHeight="1">
      <c r="C150" s="429"/>
      <c r="D150" s="429"/>
      <c r="E150" s="429"/>
      <c r="F150" s="429"/>
      <c r="G150" s="430"/>
    </row>
    <row r="151" spans="3:7" ht="19.5" customHeight="1">
      <c r="C151" s="429"/>
      <c r="D151" s="429"/>
      <c r="E151" s="429"/>
      <c r="F151" s="429"/>
      <c r="G151" s="430"/>
    </row>
    <row r="152" spans="3:7" ht="19.5" customHeight="1">
      <c r="C152" s="429"/>
      <c r="D152" s="429"/>
      <c r="E152" s="429"/>
      <c r="F152" s="429"/>
      <c r="G152" s="430"/>
    </row>
    <row r="153" spans="3:7" ht="19.5" customHeight="1">
      <c r="C153" s="429"/>
      <c r="D153" s="429"/>
      <c r="E153" s="429"/>
      <c r="F153" s="429"/>
      <c r="G153" s="430"/>
    </row>
    <row r="154" spans="3:7" ht="19.5" customHeight="1">
      <c r="C154" s="429"/>
      <c r="D154" s="429"/>
      <c r="E154" s="429"/>
      <c r="F154" s="429"/>
      <c r="G154" s="430"/>
    </row>
    <row r="155" spans="3:7" ht="19.5" customHeight="1">
      <c r="C155" s="429"/>
      <c r="D155" s="429"/>
      <c r="E155" s="429"/>
      <c r="F155" s="429"/>
      <c r="G155" s="430"/>
    </row>
    <row r="156" spans="3:7" ht="19.5" customHeight="1">
      <c r="C156" s="429"/>
      <c r="D156" s="429"/>
      <c r="E156" s="429"/>
      <c r="F156" s="429"/>
      <c r="G156" s="430"/>
    </row>
    <row r="157" spans="3:7" ht="19.5" customHeight="1">
      <c r="C157" s="429"/>
      <c r="D157" s="429"/>
      <c r="E157" s="429"/>
      <c r="F157" s="429"/>
      <c r="G157" s="430"/>
    </row>
    <row r="158" spans="3:7" ht="19.5" customHeight="1">
      <c r="C158" s="429"/>
      <c r="D158" s="429"/>
      <c r="E158" s="429"/>
      <c r="F158" s="429"/>
      <c r="G158" s="430"/>
    </row>
    <row r="159" spans="3:7" ht="19.5" customHeight="1">
      <c r="C159" s="429"/>
      <c r="D159" s="429"/>
      <c r="E159" s="429"/>
      <c r="F159" s="429"/>
      <c r="G159" s="430"/>
    </row>
    <row r="160" spans="3:7" ht="19.5" customHeight="1">
      <c r="C160" s="429"/>
      <c r="D160" s="429"/>
      <c r="E160" s="429"/>
      <c r="F160" s="429"/>
      <c r="G160" s="430"/>
    </row>
    <row r="161" spans="3:7" ht="19.5" customHeight="1">
      <c r="C161" s="429"/>
      <c r="D161" s="429"/>
      <c r="E161" s="429"/>
      <c r="F161" s="429"/>
      <c r="G161" s="430"/>
    </row>
    <row r="162" spans="3:7" ht="19.5" customHeight="1">
      <c r="C162" s="429"/>
      <c r="D162" s="429"/>
      <c r="E162" s="429"/>
      <c r="F162" s="429"/>
      <c r="G162" s="430"/>
    </row>
    <row r="163" spans="3:7" ht="19.5" customHeight="1">
      <c r="C163" s="429"/>
      <c r="D163" s="429"/>
      <c r="E163" s="429"/>
      <c r="F163" s="429"/>
      <c r="G163" s="430"/>
    </row>
    <row r="164" spans="3:7" ht="19.5" customHeight="1">
      <c r="C164" s="429"/>
      <c r="D164" s="429"/>
      <c r="E164" s="429"/>
      <c r="F164" s="429"/>
      <c r="G164" s="430"/>
    </row>
    <row r="165" spans="3:7" ht="19.5" customHeight="1">
      <c r="C165" s="429"/>
      <c r="D165" s="429"/>
      <c r="E165" s="429"/>
      <c r="F165" s="429"/>
      <c r="G165" s="430"/>
    </row>
    <row r="166" spans="3:7" ht="19.5" customHeight="1">
      <c r="C166" s="429"/>
      <c r="D166" s="429"/>
      <c r="E166" s="429"/>
      <c r="F166" s="429"/>
      <c r="G166" s="430"/>
    </row>
    <row r="167" spans="3:7" ht="19.5" customHeight="1">
      <c r="C167" s="429"/>
      <c r="D167" s="429"/>
      <c r="E167" s="429"/>
      <c r="F167" s="429"/>
      <c r="G167" s="430"/>
    </row>
    <row r="168" spans="3:7" ht="19.5" customHeight="1">
      <c r="C168" s="429"/>
      <c r="D168" s="429"/>
      <c r="E168" s="429"/>
      <c r="F168" s="429"/>
      <c r="G168" s="430"/>
    </row>
    <row r="169" spans="3:7" ht="19.5" customHeight="1">
      <c r="C169" s="429"/>
      <c r="D169" s="429"/>
      <c r="E169" s="429"/>
      <c r="F169" s="429"/>
      <c r="G169" s="430"/>
    </row>
    <row r="170" spans="3:7" ht="19.5" customHeight="1">
      <c r="C170" s="429"/>
      <c r="D170" s="429"/>
      <c r="E170" s="429"/>
      <c r="F170" s="429"/>
      <c r="G170" s="430"/>
    </row>
    <row r="171" spans="3:7" ht="19.5" customHeight="1">
      <c r="C171" s="429"/>
      <c r="D171" s="429"/>
      <c r="E171" s="429"/>
      <c r="F171" s="429"/>
      <c r="G171" s="430"/>
    </row>
    <row r="172" spans="3:7" ht="19.5" customHeight="1">
      <c r="C172" s="429"/>
      <c r="D172" s="429"/>
      <c r="E172" s="429"/>
      <c r="F172" s="429"/>
      <c r="G172" s="430"/>
    </row>
    <row r="173" spans="3:7" ht="19.5" customHeight="1">
      <c r="C173" s="429"/>
      <c r="D173" s="429"/>
      <c r="E173" s="429"/>
      <c r="F173" s="429"/>
      <c r="G173" s="430"/>
    </row>
    <row r="174" spans="3:7" ht="19.5" customHeight="1">
      <c r="C174" s="429"/>
      <c r="D174" s="429"/>
      <c r="E174" s="429"/>
      <c r="F174" s="429"/>
      <c r="G174" s="430"/>
    </row>
    <row r="175" spans="3:7" ht="19.5" customHeight="1">
      <c r="C175" s="429"/>
      <c r="D175" s="429"/>
      <c r="E175" s="429"/>
      <c r="F175" s="429"/>
      <c r="G175" s="430"/>
    </row>
    <row r="176" spans="3:7" ht="19.5" customHeight="1">
      <c r="C176" s="429"/>
      <c r="D176" s="429"/>
      <c r="E176" s="429"/>
      <c r="F176" s="429"/>
      <c r="G176" s="430"/>
    </row>
    <row r="177" spans="3:7" ht="19.5" customHeight="1">
      <c r="C177" s="429"/>
      <c r="D177" s="429"/>
      <c r="E177" s="429"/>
      <c r="F177" s="429"/>
      <c r="G177" s="430"/>
    </row>
    <row r="178" spans="3:7" ht="19.5" customHeight="1">
      <c r="C178" s="429"/>
      <c r="D178" s="429"/>
      <c r="E178" s="429"/>
      <c r="F178" s="429"/>
      <c r="G178" s="430"/>
    </row>
    <row r="179" spans="3:7" ht="19.5" customHeight="1">
      <c r="C179" s="429"/>
      <c r="D179" s="429"/>
      <c r="E179" s="429"/>
      <c r="F179" s="429"/>
      <c r="G179" s="430"/>
    </row>
    <row r="180" spans="3:7" ht="19.5" customHeight="1">
      <c r="C180" s="429"/>
      <c r="D180" s="429"/>
      <c r="E180" s="429"/>
      <c r="F180" s="429"/>
      <c r="G180" s="430"/>
    </row>
    <row r="181" spans="3:7" ht="19.5" customHeight="1">
      <c r="C181" s="429"/>
      <c r="D181" s="429"/>
      <c r="E181" s="429"/>
      <c r="F181" s="429"/>
      <c r="G181" s="430"/>
    </row>
    <row r="182" spans="3:7" ht="19.5" customHeight="1">
      <c r="C182" s="429"/>
      <c r="D182" s="429"/>
      <c r="E182" s="429"/>
      <c r="F182" s="429"/>
      <c r="G182" s="430"/>
    </row>
    <row r="183" spans="3:7" ht="19.5" customHeight="1">
      <c r="C183" s="429"/>
      <c r="D183" s="429"/>
      <c r="E183" s="429"/>
      <c r="F183" s="429"/>
      <c r="G183" s="430"/>
    </row>
    <row r="184" spans="3:7" ht="19.5" customHeight="1">
      <c r="C184" s="429"/>
      <c r="D184" s="429"/>
      <c r="E184" s="429"/>
      <c r="F184" s="429"/>
      <c r="G184" s="430"/>
    </row>
    <row r="185" spans="3:7" ht="19.5" customHeight="1">
      <c r="C185" s="429"/>
      <c r="D185" s="429"/>
      <c r="E185" s="429"/>
      <c r="F185" s="429"/>
      <c r="G185" s="430"/>
    </row>
    <row r="186" spans="3:7" ht="19.5" customHeight="1">
      <c r="C186" s="429"/>
      <c r="D186" s="429"/>
      <c r="E186" s="429"/>
      <c r="F186" s="429"/>
      <c r="G186" s="430"/>
    </row>
    <row r="187" spans="3:7" ht="19.5" customHeight="1">
      <c r="C187" s="429"/>
      <c r="D187" s="429"/>
      <c r="E187" s="429"/>
      <c r="F187" s="429"/>
      <c r="G187" s="430"/>
    </row>
    <row r="188" spans="3:7" ht="19.5" customHeight="1">
      <c r="C188" s="429"/>
      <c r="D188" s="429"/>
      <c r="E188" s="429"/>
      <c r="F188" s="429"/>
      <c r="G188" s="430"/>
    </row>
    <row r="189" spans="3:7" ht="19.5" customHeight="1">
      <c r="C189" s="429"/>
      <c r="D189" s="429"/>
      <c r="E189" s="429"/>
      <c r="F189" s="429"/>
      <c r="G189" s="430"/>
    </row>
    <row r="190" spans="3:7" ht="19.5" customHeight="1">
      <c r="C190" s="429"/>
      <c r="D190" s="429"/>
      <c r="E190" s="429"/>
      <c r="F190" s="429"/>
      <c r="G190" s="430"/>
    </row>
    <row r="191" spans="3:7" ht="19.5" customHeight="1">
      <c r="C191" s="429"/>
      <c r="D191" s="429"/>
      <c r="E191" s="429"/>
      <c r="F191" s="429"/>
      <c r="G191" s="430"/>
    </row>
    <row r="192" spans="3:7" ht="19.5" customHeight="1">
      <c r="C192" s="429"/>
      <c r="D192" s="429"/>
      <c r="E192" s="429"/>
      <c r="F192" s="429"/>
      <c r="G192" s="430"/>
    </row>
    <row r="193" spans="3:7" ht="19.5" customHeight="1">
      <c r="C193" s="429"/>
      <c r="D193" s="429"/>
      <c r="E193" s="429"/>
      <c r="F193" s="429"/>
      <c r="G193" s="430"/>
    </row>
    <row r="194" spans="3:7" ht="19.5" customHeight="1">
      <c r="C194" s="429"/>
      <c r="D194" s="429"/>
      <c r="E194" s="429"/>
      <c r="F194" s="429"/>
      <c r="G194" s="430"/>
    </row>
    <row r="195" spans="3:7" ht="19.5" customHeight="1">
      <c r="C195" s="429"/>
      <c r="D195" s="429"/>
      <c r="E195" s="429"/>
      <c r="F195" s="429"/>
      <c r="G195" s="430"/>
    </row>
    <row r="196" spans="3:7" ht="19.5" customHeight="1">
      <c r="C196" s="429"/>
      <c r="D196" s="429"/>
      <c r="E196" s="429"/>
      <c r="F196" s="429"/>
      <c r="G196" s="430"/>
    </row>
    <row r="197" spans="3:7" ht="19.5" customHeight="1">
      <c r="C197" s="429"/>
      <c r="D197" s="429"/>
      <c r="E197" s="429"/>
      <c r="F197" s="429"/>
      <c r="G197" s="430"/>
    </row>
    <row r="198" spans="3:7" ht="19.5" customHeight="1">
      <c r="C198" s="429"/>
      <c r="D198" s="429"/>
      <c r="E198" s="429"/>
      <c r="F198" s="429"/>
      <c r="G198" s="430"/>
    </row>
    <row r="199" spans="3:7" ht="19.5" customHeight="1">
      <c r="C199" s="429"/>
      <c r="D199" s="429"/>
      <c r="E199" s="429"/>
      <c r="F199" s="429"/>
      <c r="G199" s="430"/>
    </row>
    <row r="200" spans="3:7" ht="19.5" customHeight="1">
      <c r="C200" s="429"/>
      <c r="D200" s="429"/>
      <c r="E200" s="429"/>
      <c r="F200" s="429"/>
      <c r="G200" s="430"/>
    </row>
    <row r="201" spans="3:7" ht="19.5" customHeight="1">
      <c r="C201" s="429"/>
      <c r="D201" s="429"/>
      <c r="E201" s="429"/>
      <c r="F201" s="429"/>
      <c r="G201" s="430"/>
    </row>
    <row r="202" spans="3:7" ht="19.5" customHeight="1">
      <c r="C202" s="429"/>
      <c r="D202" s="429"/>
      <c r="E202" s="429"/>
      <c r="F202" s="429"/>
      <c r="G202" s="430"/>
    </row>
    <row r="203" spans="3:7" ht="19.5" customHeight="1">
      <c r="C203" s="429"/>
      <c r="D203" s="429"/>
      <c r="E203" s="429"/>
      <c r="F203" s="429"/>
      <c r="G203" s="430"/>
    </row>
    <row r="204" spans="3:7" ht="19.5" customHeight="1">
      <c r="C204" s="429"/>
      <c r="D204" s="429"/>
      <c r="E204" s="429"/>
      <c r="F204" s="429"/>
      <c r="G204" s="430"/>
    </row>
    <row r="205" spans="3:7" ht="19.5" customHeight="1">
      <c r="C205" s="429"/>
      <c r="D205" s="429"/>
      <c r="E205" s="429"/>
      <c r="F205" s="429"/>
      <c r="G205" s="430"/>
    </row>
    <row r="206" spans="3:7" ht="19.5" customHeight="1">
      <c r="C206" s="429"/>
      <c r="D206" s="429"/>
      <c r="E206" s="429"/>
      <c r="F206" s="429"/>
      <c r="G206" s="430"/>
    </row>
    <row r="207" spans="3:7" ht="19.5" customHeight="1">
      <c r="C207" s="429"/>
      <c r="D207" s="429"/>
      <c r="E207" s="429"/>
      <c r="F207" s="429"/>
      <c r="G207" s="430"/>
    </row>
    <row r="208" spans="3:7" ht="19.5" customHeight="1">
      <c r="C208" s="429"/>
      <c r="D208" s="429"/>
      <c r="E208" s="429"/>
      <c r="F208" s="429"/>
      <c r="G208" s="430"/>
    </row>
    <row r="209" spans="3:7" ht="19.5" customHeight="1">
      <c r="C209" s="429"/>
      <c r="D209" s="429"/>
      <c r="E209" s="429"/>
      <c r="F209" s="429"/>
      <c r="G209" s="430"/>
    </row>
    <row r="210" spans="3:7" ht="19.5" customHeight="1">
      <c r="C210" s="429"/>
      <c r="D210" s="429"/>
      <c r="E210" s="429"/>
      <c r="F210" s="429"/>
      <c r="G210" s="430"/>
    </row>
    <row r="211" spans="3:7" ht="19.5" customHeight="1">
      <c r="C211" s="429"/>
      <c r="D211" s="429"/>
      <c r="E211" s="429"/>
      <c r="F211" s="429"/>
      <c r="G211" s="430"/>
    </row>
    <row r="212" spans="3:7" ht="19.5" customHeight="1">
      <c r="C212" s="429"/>
      <c r="D212" s="429"/>
      <c r="E212" s="429"/>
      <c r="F212" s="429"/>
      <c r="G212" s="430"/>
    </row>
    <row r="213" spans="3:7" ht="19.5" customHeight="1">
      <c r="C213" s="429"/>
      <c r="D213" s="429"/>
      <c r="E213" s="429"/>
      <c r="F213" s="429"/>
      <c r="G213" s="430"/>
    </row>
    <row r="214" spans="3:7" ht="19.5" customHeight="1">
      <c r="C214" s="429"/>
      <c r="D214" s="429"/>
      <c r="E214" s="429"/>
      <c r="F214" s="429"/>
      <c r="G214" s="430"/>
    </row>
    <row r="215" spans="3:7" ht="19.5" customHeight="1">
      <c r="C215" s="429"/>
      <c r="D215" s="429"/>
      <c r="E215" s="429"/>
      <c r="F215" s="429"/>
      <c r="G215" s="430"/>
    </row>
    <row r="216" spans="3:7" ht="19.5" customHeight="1">
      <c r="C216" s="429"/>
      <c r="D216" s="429"/>
      <c r="E216" s="429"/>
      <c r="F216" s="429"/>
      <c r="G216" s="430"/>
    </row>
    <row r="217" spans="3:7" ht="19.5" customHeight="1">
      <c r="C217" s="429"/>
      <c r="D217" s="429"/>
      <c r="E217" s="429"/>
      <c r="F217" s="429"/>
      <c r="G217" s="430"/>
    </row>
    <row r="218" spans="3:7" ht="19.5" customHeight="1">
      <c r="C218" s="429"/>
      <c r="D218" s="429"/>
      <c r="E218" s="429"/>
      <c r="F218" s="429"/>
      <c r="G218" s="430"/>
    </row>
    <row r="219" spans="3:7" ht="19.5" customHeight="1">
      <c r="C219" s="429"/>
      <c r="D219" s="429"/>
      <c r="E219" s="429"/>
      <c r="F219" s="429"/>
      <c r="G219" s="430"/>
    </row>
    <row r="220" spans="3:7" ht="19.5" customHeight="1">
      <c r="C220" s="429"/>
      <c r="D220" s="429"/>
      <c r="E220" s="429"/>
      <c r="F220" s="429"/>
      <c r="G220" s="430"/>
    </row>
    <row r="221" spans="3:7" ht="19.5" customHeight="1">
      <c r="C221" s="429"/>
      <c r="D221" s="429"/>
      <c r="E221" s="429"/>
      <c r="F221" s="429"/>
      <c r="G221" s="430"/>
    </row>
    <row r="222" spans="3:7" ht="19.5" customHeight="1">
      <c r="C222" s="429"/>
      <c r="D222" s="429"/>
      <c r="E222" s="429"/>
      <c r="F222" s="429"/>
      <c r="G222" s="430"/>
    </row>
    <row r="223" spans="3:7" ht="19.5" customHeight="1">
      <c r="C223" s="429"/>
      <c r="D223" s="429"/>
      <c r="E223" s="429"/>
      <c r="F223" s="429"/>
      <c r="G223" s="430"/>
    </row>
    <row r="224" spans="3:7" ht="19.5" customHeight="1">
      <c r="C224" s="429"/>
      <c r="D224" s="429"/>
      <c r="E224" s="429"/>
      <c r="F224" s="429"/>
      <c r="G224" s="430"/>
    </row>
    <row r="225" spans="3:7" ht="19.5" customHeight="1">
      <c r="C225" s="429"/>
      <c r="D225" s="429"/>
      <c r="E225" s="429"/>
      <c r="F225" s="429"/>
      <c r="G225" s="430"/>
    </row>
    <row r="226" spans="3:7" ht="19.5" customHeight="1">
      <c r="C226" s="429"/>
      <c r="D226" s="429"/>
      <c r="E226" s="429"/>
      <c r="F226" s="429"/>
      <c r="G226" s="430"/>
    </row>
    <row r="227" spans="3:7" ht="19.5" customHeight="1">
      <c r="C227" s="429"/>
      <c r="D227" s="429"/>
      <c r="E227" s="429"/>
      <c r="F227" s="429"/>
      <c r="G227" s="430"/>
    </row>
    <row r="228" spans="3:7" ht="19.5" customHeight="1">
      <c r="C228" s="429"/>
      <c r="D228" s="429"/>
      <c r="E228" s="429"/>
      <c r="F228" s="429"/>
      <c r="G228" s="430"/>
    </row>
    <row r="229" spans="3:7" ht="19.5" customHeight="1">
      <c r="C229" s="429"/>
      <c r="D229" s="429"/>
      <c r="E229" s="429"/>
      <c r="F229" s="429"/>
      <c r="G229" s="430"/>
    </row>
    <row r="230" spans="3:7" ht="19.5" customHeight="1">
      <c r="C230" s="429"/>
      <c r="D230" s="429"/>
      <c r="E230" s="429"/>
      <c r="F230" s="429"/>
      <c r="G230" s="430"/>
    </row>
    <row r="231" spans="3:7" ht="19.5" customHeight="1">
      <c r="C231" s="429"/>
      <c r="D231" s="429"/>
      <c r="E231" s="429"/>
      <c r="F231" s="429"/>
      <c r="G231" s="430"/>
    </row>
    <row r="232" spans="3:7" ht="19.5" customHeight="1">
      <c r="C232" s="429"/>
      <c r="D232" s="429"/>
      <c r="E232" s="429"/>
      <c r="F232" s="429"/>
      <c r="G232" s="430"/>
    </row>
    <row r="233" spans="3:7" ht="19.5" customHeight="1">
      <c r="C233" s="429"/>
      <c r="D233" s="429"/>
      <c r="E233" s="429"/>
      <c r="F233" s="429"/>
      <c r="G233" s="430"/>
    </row>
    <row r="234" spans="3:7" ht="19.5" customHeight="1">
      <c r="C234" s="429"/>
      <c r="D234" s="429"/>
      <c r="E234" s="429"/>
      <c r="F234" s="429"/>
      <c r="G234" s="430"/>
    </row>
    <row r="235" spans="3:7" ht="19.5" customHeight="1">
      <c r="C235" s="429"/>
      <c r="D235" s="429"/>
      <c r="E235" s="429"/>
      <c r="F235" s="429"/>
      <c r="G235" s="430"/>
    </row>
    <row r="236" spans="3:7" ht="19.5" customHeight="1">
      <c r="C236" s="429"/>
      <c r="D236" s="429"/>
      <c r="E236" s="429"/>
      <c r="F236" s="429"/>
      <c r="G236" s="430"/>
    </row>
    <row r="237" spans="3:7" ht="19.5" customHeight="1">
      <c r="C237" s="429"/>
      <c r="D237" s="429"/>
      <c r="E237" s="429"/>
      <c r="F237" s="429"/>
      <c r="G237" s="430"/>
    </row>
    <row r="238" spans="3:7" ht="19.5" customHeight="1">
      <c r="C238" s="429"/>
      <c r="D238" s="429"/>
      <c r="E238" s="429"/>
      <c r="F238" s="429"/>
      <c r="G238" s="430"/>
    </row>
    <row r="239" spans="3:7" ht="19.5" customHeight="1">
      <c r="C239" s="429"/>
      <c r="D239" s="429"/>
      <c r="E239" s="429"/>
      <c r="F239" s="429"/>
      <c r="G239" s="430"/>
    </row>
    <row r="240" spans="3:7" ht="19.5" customHeight="1">
      <c r="C240" s="429"/>
      <c r="D240" s="429"/>
      <c r="E240" s="429"/>
      <c r="F240" s="429"/>
      <c r="G240" s="430"/>
    </row>
    <row r="241" spans="3:7" ht="19.5" customHeight="1">
      <c r="C241" s="429"/>
      <c r="D241" s="429"/>
      <c r="E241" s="429"/>
      <c r="F241" s="429"/>
      <c r="G241" s="430"/>
    </row>
    <row r="242" spans="3:7" ht="19.5" customHeight="1">
      <c r="C242" s="429"/>
      <c r="D242" s="429"/>
      <c r="E242" s="429"/>
      <c r="F242" s="429"/>
      <c r="G242" s="430"/>
    </row>
    <row r="243" spans="3:7" ht="19.5" customHeight="1">
      <c r="C243" s="429"/>
      <c r="D243" s="429"/>
      <c r="E243" s="429"/>
      <c r="F243" s="429"/>
      <c r="G243" s="430"/>
    </row>
    <row r="244" spans="3:7" ht="19.5" customHeight="1">
      <c r="C244" s="429"/>
      <c r="D244" s="429"/>
      <c r="E244" s="429"/>
      <c r="F244" s="429"/>
      <c r="G244" s="430"/>
    </row>
    <row r="245" spans="3:7" ht="19.5" customHeight="1">
      <c r="C245" s="429"/>
      <c r="D245" s="429"/>
      <c r="E245" s="429"/>
      <c r="F245" s="429"/>
      <c r="G245" s="430"/>
    </row>
    <row r="246" spans="3:7" ht="19.5" customHeight="1">
      <c r="C246" s="429"/>
      <c r="D246" s="429"/>
      <c r="E246" s="429"/>
      <c r="F246" s="429"/>
      <c r="G246" s="430"/>
    </row>
    <row r="247" spans="3:7" ht="19.5" customHeight="1">
      <c r="C247" s="429"/>
      <c r="D247" s="429"/>
      <c r="E247" s="429"/>
      <c r="F247" s="429"/>
      <c r="G247" s="430"/>
    </row>
    <row r="248" spans="3:7" ht="19.5" customHeight="1">
      <c r="C248" s="429"/>
      <c r="D248" s="429"/>
      <c r="E248" s="429"/>
      <c r="F248" s="429"/>
      <c r="G248" s="430"/>
    </row>
    <row r="249" spans="3:7" ht="19.5" customHeight="1">
      <c r="C249" s="429"/>
      <c r="D249" s="429"/>
      <c r="E249" s="429"/>
      <c r="F249" s="429"/>
      <c r="G249" s="430"/>
    </row>
    <row r="250" spans="3:7" ht="19.5" customHeight="1">
      <c r="C250" s="429"/>
      <c r="D250" s="429"/>
      <c r="E250" s="429"/>
      <c r="F250" s="429"/>
      <c r="G250" s="430"/>
    </row>
    <row r="251" spans="3:7" ht="19.5" customHeight="1">
      <c r="C251" s="429"/>
      <c r="D251" s="429"/>
      <c r="E251" s="429"/>
      <c r="F251" s="429"/>
      <c r="G251" s="430"/>
    </row>
    <row r="252" spans="3:7" ht="19.5" customHeight="1">
      <c r="C252" s="429"/>
      <c r="D252" s="429"/>
      <c r="E252" s="429"/>
      <c r="F252" s="429"/>
      <c r="G252" s="430"/>
    </row>
    <row r="253" spans="3:7" ht="19.5" customHeight="1">
      <c r="C253" s="429"/>
      <c r="D253" s="429"/>
      <c r="E253" s="429"/>
      <c r="F253" s="429"/>
      <c r="G253" s="430"/>
    </row>
    <row r="254" spans="3:7" ht="19.5" customHeight="1">
      <c r="C254" s="429"/>
      <c r="D254" s="429"/>
      <c r="E254" s="429"/>
      <c r="F254" s="429"/>
      <c r="G254" s="430"/>
    </row>
    <row r="255" spans="3:7" ht="19.5" customHeight="1">
      <c r="C255" s="429"/>
      <c r="D255" s="429"/>
      <c r="E255" s="429"/>
      <c r="F255" s="429"/>
      <c r="G255" s="430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-CPYG!#REF!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7874015748031497" right="0.7480314960629921" top="0" bottom="0" header="0" footer="0"/>
  <pageSetup horizontalDpi="600" verticalDpi="600" orientation="portrait" paperSize="9" scale="35" r:id="rId2"/>
  <ignoredErrors>
    <ignoredError sqref="C8:E8 C42:E42" formulaRange="1"/>
    <ignoredError sqref="E44 C63:E64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theme="0"/>
  </sheetPr>
  <dimension ref="A2:Q547"/>
  <sheetViews>
    <sheetView showGridLines="0" zoomScalePageLayoutView="0" workbookViewId="0" topLeftCell="A1">
      <selection activeCell="A46" sqref="A46:IV46"/>
    </sheetView>
  </sheetViews>
  <sheetFormatPr defaultColWidth="10.7109375" defaultRowHeight="12.75"/>
  <cols>
    <col min="1" max="1" width="6.421875" style="475" customWidth="1"/>
    <col min="2" max="2" width="53.140625" style="475" bestFit="1" customWidth="1"/>
    <col min="3" max="3" width="17.421875" style="475" customWidth="1"/>
    <col min="4" max="4" width="19.8515625" style="475" customWidth="1"/>
    <col min="5" max="5" width="17.8515625" style="476" customWidth="1"/>
    <col min="6" max="6" width="1.7109375" style="477" customWidth="1"/>
    <col min="7" max="13" width="0" style="475" hidden="1" customWidth="1"/>
    <col min="14" max="14" width="10.7109375" style="475" customWidth="1"/>
    <col min="15" max="15" width="12.421875" style="475" hidden="1" customWidth="1"/>
    <col min="16" max="16" width="0" style="475" hidden="1" customWidth="1"/>
    <col min="17" max="17" width="12.421875" style="475" hidden="1" customWidth="1"/>
    <col min="18" max="16384" width="10.7109375" style="475" customWidth="1"/>
  </cols>
  <sheetData>
    <row r="2" spans="2:6" s="447" customFormat="1" ht="49.5" customHeight="1">
      <c r="B2" s="1059" t="s">
        <v>131</v>
      </c>
      <c r="C2" s="1059"/>
      <c r="D2" s="1059"/>
      <c r="E2" s="383">
        <f>CPYG!E2</f>
        <v>2017</v>
      </c>
      <c r="F2" s="384"/>
    </row>
    <row r="3" spans="2:6" s="447" customFormat="1" ht="37.5" customHeight="1">
      <c r="B3" s="1060" t="str">
        <f>CPYG!B3</f>
        <v>ENTIDAD: INSTITUTO TECNOLOGICO Y DE ENERGIAS RENOVABLES S.A.</v>
      </c>
      <c r="C3" s="1061"/>
      <c r="D3" s="1062"/>
      <c r="E3" s="388" t="s">
        <v>132</v>
      </c>
      <c r="F3" s="389"/>
    </row>
    <row r="4" spans="2:6" s="447" customFormat="1" ht="24.75" customHeight="1">
      <c r="B4" s="1063" t="s">
        <v>216</v>
      </c>
      <c r="C4" s="1063"/>
      <c r="D4" s="1063"/>
      <c r="E4" s="1063"/>
      <c r="F4" s="448"/>
    </row>
    <row r="5" spans="2:6" s="447" customFormat="1" ht="40.5" customHeight="1">
      <c r="B5" s="449" t="s">
        <v>132</v>
      </c>
      <c r="C5" s="450" t="s">
        <v>497</v>
      </c>
      <c r="D5" s="451" t="s">
        <v>503</v>
      </c>
      <c r="E5" s="451" t="s">
        <v>504</v>
      </c>
      <c r="F5" s="452"/>
    </row>
    <row r="6" spans="2:6" s="447" customFormat="1" ht="19.5" customHeight="1">
      <c r="B6" s="453" t="s">
        <v>274</v>
      </c>
      <c r="C6" s="526">
        <f>C7+C12+C16+C19+C20+C21+C22</f>
        <v>88115650.02000001</v>
      </c>
      <c r="D6" s="526">
        <f>D7+D12+D16+D19+D20+D21+D22</f>
        <v>89226073</v>
      </c>
      <c r="E6" s="526">
        <f>E7+E12+E16+E19+E20+E21+E22</f>
        <v>94510614.89000002</v>
      </c>
      <c r="F6" s="454"/>
    </row>
    <row r="7" spans="2:6" s="447" customFormat="1" ht="19.5" customHeight="1">
      <c r="B7" s="453" t="s">
        <v>162</v>
      </c>
      <c r="C7" s="526">
        <f>SUM(C8:C11)</f>
        <v>6520477.840000001</v>
      </c>
      <c r="D7" s="526">
        <f>SUM(D8:D11)</f>
        <v>6461306.630000001</v>
      </c>
      <c r="E7" s="526">
        <f>SUM(E8:E11)</f>
        <v>6455428.630000001</v>
      </c>
      <c r="F7" s="455"/>
    </row>
    <row r="8" spans="2:6" s="447" customFormat="1" ht="19.5" customHeight="1">
      <c r="B8" s="456" t="s">
        <v>277</v>
      </c>
      <c r="C8" s="569"/>
      <c r="D8" s="569"/>
      <c r="E8" s="569"/>
      <c r="F8" s="455"/>
    </row>
    <row r="9" spans="2:6" s="447" customFormat="1" ht="19.5" customHeight="1">
      <c r="B9" s="456" t="s">
        <v>276</v>
      </c>
      <c r="C9" s="569">
        <v>66665.12</v>
      </c>
      <c r="D9" s="569">
        <v>7493.91</v>
      </c>
      <c r="E9" s="569">
        <v>1615.91</v>
      </c>
      <c r="F9" s="455"/>
    </row>
    <row r="10" spans="2:6" s="447" customFormat="1" ht="19.5" customHeight="1">
      <c r="B10" s="456" t="s">
        <v>275</v>
      </c>
      <c r="C10" s="569"/>
      <c r="D10" s="569"/>
      <c r="E10" s="569"/>
      <c r="F10" s="455"/>
    </row>
    <row r="11" spans="2:6" s="447" customFormat="1" ht="19.5" customHeight="1">
      <c r="B11" s="456" t="s">
        <v>580</v>
      </c>
      <c r="C11" s="569">
        <f>6453812.69+0.03</f>
        <v>6453812.720000001</v>
      </c>
      <c r="D11" s="569">
        <f>0.03+6453812.69</f>
        <v>6453812.720000001</v>
      </c>
      <c r="E11" s="569">
        <f>6453812.69+0.03</f>
        <v>6453812.720000001</v>
      </c>
      <c r="F11" s="455"/>
    </row>
    <row r="12" spans="2:6" s="447" customFormat="1" ht="19.5" customHeight="1">
      <c r="B12" s="453" t="s">
        <v>163</v>
      </c>
      <c r="C12" s="526">
        <f>SUM(C13:C15)</f>
        <v>60022964.7</v>
      </c>
      <c r="D12" s="526">
        <f>SUM(D13:D15)</f>
        <v>61736585.67999999</v>
      </c>
      <c r="E12" s="526">
        <f>SUM(E13:E15)</f>
        <v>65882692.21</v>
      </c>
      <c r="F12" s="455"/>
    </row>
    <row r="13" spans="2:6" s="447" customFormat="1" ht="19.5" customHeight="1">
      <c r="B13" s="456" t="s">
        <v>378</v>
      </c>
      <c r="C13" s="569">
        <v>983156.28</v>
      </c>
      <c r="D13" s="569">
        <v>983156.28</v>
      </c>
      <c r="E13" s="569">
        <v>983156.28</v>
      </c>
      <c r="F13" s="455"/>
    </row>
    <row r="14" spans="2:6" s="447" customFormat="1" ht="19.5" customHeight="1">
      <c r="B14" s="456" t="s">
        <v>377</v>
      </c>
      <c r="C14" s="569"/>
      <c r="D14" s="569"/>
      <c r="E14" s="569"/>
      <c r="F14" s="455"/>
    </row>
    <row r="15" spans="2:6" s="447" customFormat="1" ht="19.5" customHeight="1">
      <c r="B15" s="456" t="s">
        <v>376</v>
      </c>
      <c r="C15" s="569">
        <v>59039808.42</v>
      </c>
      <c r="D15" s="569">
        <v>60753429.39999999</v>
      </c>
      <c r="E15" s="569">
        <v>64899535.93</v>
      </c>
      <c r="F15" s="455"/>
    </row>
    <row r="16" spans="2:6" s="447" customFormat="1" ht="19.5" customHeight="1">
      <c r="B16" s="453" t="s">
        <v>164</v>
      </c>
      <c r="C16" s="526">
        <f>SUM(C17:C18)</f>
        <v>0</v>
      </c>
      <c r="D16" s="526">
        <f>SUM(D17:D18)</f>
        <v>0</v>
      </c>
      <c r="E16" s="526">
        <f>SUM(E17:E18)</f>
        <v>0</v>
      </c>
      <c r="F16" s="455"/>
    </row>
    <row r="17" spans="2:6" s="447" customFormat="1" ht="19.5" customHeight="1">
      <c r="B17" s="456" t="s">
        <v>165</v>
      </c>
      <c r="C17" s="569"/>
      <c r="D17" s="569"/>
      <c r="E17" s="569"/>
      <c r="F17" s="455"/>
    </row>
    <row r="18" spans="2:6" s="447" customFormat="1" ht="19.5" customHeight="1">
      <c r="B18" s="456" t="s">
        <v>72</v>
      </c>
      <c r="C18" s="569"/>
      <c r="D18" s="569"/>
      <c r="E18" s="569"/>
      <c r="F18" s="455"/>
    </row>
    <row r="19" spans="2:15" s="447" customFormat="1" ht="19.5" customHeight="1">
      <c r="B19" s="453" t="s">
        <v>166</v>
      </c>
      <c r="C19" s="568">
        <v>18210672.34</v>
      </c>
      <c r="D19" s="568">
        <v>17258572.34</v>
      </c>
      <c r="E19" s="568">
        <v>16293472.34</v>
      </c>
      <c r="F19" s="455"/>
      <c r="O19" s="457">
        <f>E19-D19</f>
        <v>-965100</v>
      </c>
    </row>
    <row r="20" spans="1:15" s="447" customFormat="1" ht="19.5" customHeight="1">
      <c r="A20" s="458"/>
      <c r="B20" s="453" t="s">
        <v>167</v>
      </c>
      <c r="C20" s="568">
        <v>1549625.52</v>
      </c>
      <c r="D20" s="568">
        <v>1382211.76</v>
      </c>
      <c r="E20" s="568">
        <v>1382211.76</v>
      </c>
      <c r="F20" s="455"/>
      <c r="O20" s="457">
        <f>E20-D20</f>
        <v>0</v>
      </c>
    </row>
    <row r="21" spans="2:15" s="447" customFormat="1" ht="19.5" customHeight="1">
      <c r="B21" s="453" t="s">
        <v>73</v>
      </c>
      <c r="C21" s="568">
        <v>1811909.62</v>
      </c>
      <c r="D21" s="568">
        <v>2387396.59</v>
      </c>
      <c r="E21" s="568">
        <v>4496809.95</v>
      </c>
      <c r="G21" s="729" t="s">
        <v>265</v>
      </c>
      <c r="H21" s="730"/>
      <c r="I21" s="730"/>
      <c r="J21" s="730"/>
      <c r="K21" s="730"/>
      <c r="L21" s="730"/>
      <c r="M21" s="730"/>
      <c r="O21" s="457">
        <f>E21-D21</f>
        <v>2109413.3600000003</v>
      </c>
    </row>
    <row r="22" spans="2:13" s="447" customFormat="1" ht="19.5" customHeight="1">
      <c r="B22" s="453" t="s">
        <v>379</v>
      </c>
      <c r="C22" s="568"/>
      <c r="D22" s="568"/>
      <c r="E22" s="568"/>
      <c r="G22" s="729" t="s">
        <v>266</v>
      </c>
      <c r="H22" s="730"/>
      <c r="I22" s="730"/>
      <c r="J22" s="730"/>
      <c r="K22" s="730"/>
      <c r="L22" s="730"/>
      <c r="M22" s="730"/>
    </row>
    <row r="23" spans="2:15" s="447" customFormat="1" ht="19.5" customHeight="1">
      <c r="B23" s="453" t="s">
        <v>278</v>
      </c>
      <c r="C23" s="526">
        <f>C24+C30+C33+C37+C38+C39+C40</f>
        <v>47061222.660000004</v>
      </c>
      <c r="D23" s="526">
        <f>D24+D30+D33+D37+D38+D39+D40</f>
        <v>49373350.74</v>
      </c>
      <c r="E23" s="526">
        <f>E24+E30+E33+E37+E38+E39+E40</f>
        <v>40399171.75000001</v>
      </c>
      <c r="F23" s="454"/>
      <c r="O23" s="457">
        <f>E23-D23+O37</f>
        <v>-9813733.669999994</v>
      </c>
    </row>
    <row r="24" spans="2:6" s="447" customFormat="1" ht="23.25" customHeight="1">
      <c r="B24" s="453" t="s">
        <v>168</v>
      </c>
      <c r="C24" s="526">
        <f>C25+C28+C29</f>
        <v>0</v>
      </c>
      <c r="D24" s="526">
        <f>D25+D28+D29</f>
        <v>0</v>
      </c>
      <c r="E24" s="526">
        <f>E25+E28+E29</f>
        <v>0</v>
      </c>
      <c r="F24" s="455"/>
    </row>
    <row r="25" spans="2:6" s="447" customFormat="1" ht="23.25" customHeight="1">
      <c r="B25" s="456" t="s">
        <v>382</v>
      </c>
      <c r="C25" s="570">
        <f>SUM(C26:C27)</f>
        <v>0</v>
      </c>
      <c r="D25" s="570">
        <f>SUM(D26:D27)</f>
        <v>0</v>
      </c>
      <c r="E25" s="570">
        <f>SUM(E26:E27)</f>
        <v>0</v>
      </c>
      <c r="F25" s="455"/>
    </row>
    <row r="26" spans="2:6" s="447" customFormat="1" ht="23.25" customHeight="1">
      <c r="B26" s="456" t="s">
        <v>383</v>
      </c>
      <c r="C26" s="569"/>
      <c r="D26" s="569"/>
      <c r="E26" s="569"/>
      <c r="F26" s="455"/>
    </row>
    <row r="27" spans="2:6" s="447" customFormat="1" ht="23.25" customHeight="1">
      <c r="B27" s="456" t="s">
        <v>384</v>
      </c>
      <c r="C27" s="569"/>
      <c r="D27" s="569"/>
      <c r="E27" s="569"/>
      <c r="F27" s="455"/>
    </row>
    <row r="28" spans="2:6" s="447" customFormat="1" ht="23.25" customHeight="1">
      <c r="B28" s="456" t="s">
        <v>386</v>
      </c>
      <c r="C28" s="569"/>
      <c r="D28" s="569"/>
      <c r="E28" s="569"/>
      <c r="F28" s="455"/>
    </row>
    <row r="29" spans="2:6" s="447" customFormat="1" ht="23.25" customHeight="1">
      <c r="B29" s="456" t="s">
        <v>385</v>
      </c>
      <c r="C29" s="569"/>
      <c r="D29" s="569"/>
      <c r="E29" s="569"/>
      <c r="F29" s="455"/>
    </row>
    <row r="30" spans="2:6" s="447" customFormat="1" ht="19.5" customHeight="1">
      <c r="B30" s="453" t="s">
        <v>136</v>
      </c>
      <c r="C30" s="526">
        <f>SUM(C31:C32)</f>
        <v>1233715.92</v>
      </c>
      <c r="D30" s="526">
        <f>SUM(D31:D32)</f>
        <v>1226365.92</v>
      </c>
      <c r="E30" s="526">
        <f>SUM(E31:E32)</f>
        <v>1159465.92</v>
      </c>
      <c r="F30" s="455"/>
    </row>
    <row r="31" spans="2:6" s="447" customFormat="1" ht="19.5" customHeight="1">
      <c r="B31" s="456" t="s">
        <v>380</v>
      </c>
      <c r="C31" s="569">
        <v>1233715.91</v>
      </c>
      <c r="D31" s="569">
        <v>1226365.91</v>
      </c>
      <c r="E31" s="569">
        <v>1159465.91</v>
      </c>
      <c r="F31" s="455"/>
    </row>
    <row r="32" spans="2:6" s="447" customFormat="1" ht="19.5" customHeight="1">
      <c r="B32" s="456" t="s">
        <v>381</v>
      </c>
      <c r="C32" s="569">
        <v>0.01</v>
      </c>
      <c r="D32" s="569">
        <v>0.01</v>
      </c>
      <c r="E32" s="569">
        <v>0.01</v>
      </c>
      <c r="F32" s="455"/>
    </row>
    <row r="33" spans="2:6" s="447" customFormat="1" ht="19.5" customHeight="1">
      <c r="B33" s="453" t="s">
        <v>169</v>
      </c>
      <c r="C33" s="526">
        <f>SUM(C34:C36)</f>
        <v>15477481.05</v>
      </c>
      <c r="D33" s="526">
        <f>SUM(D34:D36)</f>
        <v>12369009.660000002</v>
      </c>
      <c r="E33" s="526">
        <f>SUM(E34:E36)</f>
        <v>10452356.91</v>
      </c>
      <c r="F33" s="455"/>
    </row>
    <row r="34" spans="2:6" s="447" customFormat="1" ht="19.5" customHeight="1">
      <c r="B34" s="456" t="s">
        <v>74</v>
      </c>
      <c r="C34" s="569">
        <v>3255108.96</v>
      </c>
      <c r="D34" s="569">
        <v>2139649.26</v>
      </c>
      <c r="E34" s="569">
        <v>1626281.84</v>
      </c>
      <c r="F34" s="455"/>
    </row>
    <row r="35" spans="2:6" s="447" customFormat="1" ht="19.5" customHeight="1">
      <c r="B35" s="456" t="s">
        <v>279</v>
      </c>
      <c r="C35" s="569"/>
      <c r="D35" s="569"/>
      <c r="E35" s="569"/>
      <c r="F35" s="455"/>
    </row>
    <row r="36" spans="2:6" s="447" customFormat="1" ht="19.5" customHeight="1">
      <c r="B36" s="456" t="s">
        <v>280</v>
      </c>
      <c r="C36" s="569">
        <v>12222372.09</v>
      </c>
      <c r="D36" s="569">
        <v>10229360.400000002</v>
      </c>
      <c r="E36" s="569">
        <v>8826075.07</v>
      </c>
      <c r="F36" s="455"/>
    </row>
    <row r="37" spans="2:17" s="447" customFormat="1" ht="19.5" customHeight="1">
      <c r="B37" s="453" t="s">
        <v>170</v>
      </c>
      <c r="C37" s="568">
        <v>1945342.44</v>
      </c>
      <c r="D37" s="568">
        <v>2545918.24</v>
      </c>
      <c r="E37" s="568">
        <v>1706363.56</v>
      </c>
      <c r="F37" s="455"/>
      <c r="O37" s="457">
        <f>E37-D37</f>
        <v>-839554.6800000002</v>
      </c>
      <c r="Q37" s="457">
        <f>O37+O19</f>
        <v>-1804654.6800000002</v>
      </c>
    </row>
    <row r="38" spans="2:6" s="447" customFormat="1" ht="19.5" customHeight="1">
      <c r="B38" s="453" t="s">
        <v>171</v>
      </c>
      <c r="C38" s="568">
        <v>27816682.05</v>
      </c>
      <c r="D38" s="568">
        <v>27077975.16</v>
      </c>
      <c r="E38" s="568">
        <v>26654853.09</v>
      </c>
      <c r="F38" s="455"/>
    </row>
    <row r="39" spans="2:6" s="447" customFormat="1" ht="19.5" customHeight="1">
      <c r="B39" s="453" t="s">
        <v>75</v>
      </c>
      <c r="C39" s="568">
        <v>80000</v>
      </c>
      <c r="D39" s="568">
        <v>70000</v>
      </c>
      <c r="E39" s="568">
        <v>60000</v>
      </c>
      <c r="F39" s="455"/>
    </row>
    <row r="40" spans="2:6" s="447" customFormat="1" ht="19.5" customHeight="1">
      <c r="B40" s="453" t="s">
        <v>76</v>
      </c>
      <c r="C40" s="526">
        <f>SUM(C41:C42)</f>
        <v>508001.2</v>
      </c>
      <c r="D40" s="526">
        <f>SUM(D41:D42)</f>
        <v>6084081.76</v>
      </c>
      <c r="E40" s="526">
        <f>SUM(E41:E42)</f>
        <v>366132.27</v>
      </c>
      <c r="F40" s="455"/>
    </row>
    <row r="41" spans="2:6" s="447" customFormat="1" ht="19.5" customHeight="1">
      <c r="B41" s="456" t="s">
        <v>77</v>
      </c>
      <c r="C41" s="569">
        <v>508001.2</v>
      </c>
      <c r="D41" s="569">
        <v>6084081.76</v>
      </c>
      <c r="E41" s="569">
        <v>366132.27</v>
      </c>
      <c r="F41" s="455"/>
    </row>
    <row r="42" spans="2:6" s="447" customFormat="1" ht="19.5" customHeight="1">
      <c r="B42" s="456" t="s">
        <v>95</v>
      </c>
      <c r="C42" s="569"/>
      <c r="D42" s="569"/>
      <c r="E42" s="569"/>
      <c r="F42" s="455"/>
    </row>
    <row r="43" spans="2:6" s="447" customFormat="1" ht="21.75" customHeight="1">
      <c r="B43" s="459" t="s">
        <v>128</v>
      </c>
      <c r="C43" s="526">
        <f>C23+C6</f>
        <v>135176872.68</v>
      </c>
      <c r="D43" s="526">
        <f>D23+D6</f>
        <v>138599423.74</v>
      </c>
      <c r="E43" s="526">
        <f>E23+E6</f>
        <v>134909786.64000002</v>
      </c>
      <c r="F43" s="454"/>
    </row>
    <row r="44" spans="2:6" s="447" customFormat="1" ht="40.5" customHeight="1">
      <c r="B44" s="460"/>
      <c r="C44" s="461"/>
      <c r="D44" s="461"/>
      <c r="E44" s="461"/>
      <c r="F44" s="454"/>
    </row>
    <row r="45" spans="2:6" s="447" customFormat="1" ht="12.75" hidden="1">
      <c r="B45" s="462" t="s">
        <v>96</v>
      </c>
      <c r="D45" s="457"/>
      <c r="E45" s="463"/>
      <c r="F45" s="464"/>
    </row>
    <row r="46" spans="2:6" s="447" customFormat="1" ht="12.75" hidden="1">
      <c r="B46" s="456" t="s">
        <v>741</v>
      </c>
      <c r="C46" s="465">
        <f>C43-PASIVO!C60</f>
        <v>0</v>
      </c>
      <c r="D46" s="465">
        <f>D43-PASIVO!D60</f>
        <v>0</v>
      </c>
      <c r="E46" s="465">
        <f>E43-PASIVO!E60</f>
        <v>0</v>
      </c>
      <c r="F46" s="466"/>
    </row>
    <row r="47" spans="2:6" s="447" customFormat="1" ht="12.75" hidden="1">
      <c r="B47" s="458"/>
      <c r="C47" s="466"/>
      <c r="D47" s="466"/>
      <c r="E47" s="466"/>
      <c r="F47" s="466"/>
    </row>
    <row r="48" spans="2:6" s="447" customFormat="1" ht="12.75" hidden="1">
      <c r="B48" s="458"/>
      <c r="C48" s="467"/>
      <c r="D48" s="467"/>
      <c r="E48" s="466"/>
      <c r="F48" s="466"/>
    </row>
    <row r="49" spans="2:6" s="447" customFormat="1" ht="12.75" hidden="1">
      <c r="B49" s="458" t="s">
        <v>90</v>
      </c>
      <c r="C49" s="468">
        <f>+C43-PASIVO!C60</f>
        <v>0</v>
      </c>
      <c r="D49" s="468">
        <f>+D43-PASIVO!D60</f>
        <v>0</v>
      </c>
      <c r="E49" s="468">
        <f>+E43-PASIVO!E60</f>
        <v>0</v>
      </c>
      <c r="F49" s="466"/>
    </row>
    <row r="50" spans="2:6" s="447" customFormat="1" ht="12.75" hidden="1">
      <c r="B50" s="458"/>
      <c r="C50" s="467"/>
      <c r="D50" s="467"/>
      <c r="E50" s="466"/>
      <c r="F50" s="466"/>
    </row>
    <row r="51" spans="2:6" s="447" customFormat="1" ht="12.75" hidden="1">
      <c r="B51" s="469" t="s">
        <v>89</v>
      </c>
      <c r="C51" s="465">
        <f>+C23-PASIVO!C43</f>
        <v>29079371.650000002</v>
      </c>
      <c r="D51" s="465">
        <f>+D23-PASIVO!D43</f>
        <v>40007247.89</v>
      </c>
      <c r="E51" s="465">
        <f>+E23-PASIVO!E43</f>
        <v>34739008.06000001</v>
      </c>
      <c r="F51" s="466"/>
    </row>
    <row r="52" spans="2:6" s="447" customFormat="1" ht="12.75" hidden="1">
      <c r="B52" s="470" t="s">
        <v>628</v>
      </c>
      <c r="C52" s="456"/>
      <c r="D52" s="465">
        <f>+D51-C51</f>
        <v>10927876.239999998</v>
      </c>
      <c r="E52" s="471">
        <f>+E51-D51</f>
        <v>-5268239.829999991</v>
      </c>
      <c r="F52" s="466"/>
    </row>
    <row r="53" spans="3:6" s="447" customFormat="1" ht="12.75" hidden="1">
      <c r="C53" s="472"/>
      <c r="D53" s="472"/>
      <c r="E53" s="473"/>
      <c r="F53" s="473"/>
    </row>
    <row r="54" spans="3:6" s="447" customFormat="1" ht="12.75" hidden="1">
      <c r="C54" s="467"/>
      <c r="D54" s="467"/>
      <c r="E54" s="474"/>
      <c r="F54" s="474"/>
    </row>
    <row r="55" spans="3:6" s="447" customFormat="1" ht="12.75" hidden="1">
      <c r="C55" s="467"/>
      <c r="D55" s="467"/>
      <c r="E55" s="466"/>
      <c r="F55" s="466"/>
    </row>
    <row r="56" spans="3:6" s="447" customFormat="1" ht="12.75">
      <c r="C56" s="466"/>
      <c r="D56" s="466"/>
      <c r="E56" s="466"/>
      <c r="F56" s="466"/>
    </row>
    <row r="57" spans="3:6" s="447" customFormat="1" ht="12.75">
      <c r="C57" s="466"/>
      <c r="D57" s="466"/>
      <c r="E57" s="466"/>
      <c r="F57" s="466">
        <f>+F43-F56</f>
        <v>0</v>
      </c>
    </row>
    <row r="58" spans="3:6" s="447" customFormat="1" ht="12.75">
      <c r="C58" s="467"/>
      <c r="D58" s="467"/>
      <c r="E58" s="466"/>
      <c r="F58" s="466"/>
    </row>
    <row r="59" spans="3:6" s="447" customFormat="1" ht="12.75">
      <c r="C59" s="467"/>
      <c r="D59" s="467"/>
      <c r="E59" s="466"/>
      <c r="F59" s="466"/>
    </row>
    <row r="60" spans="3:6" s="447" customFormat="1" ht="12.75">
      <c r="C60" s="467"/>
      <c r="D60" s="467"/>
      <c r="E60" s="466"/>
      <c r="F60" s="466"/>
    </row>
    <row r="61" spans="3:6" s="447" customFormat="1" ht="12.75">
      <c r="C61" s="472"/>
      <c r="D61" s="472"/>
      <c r="E61" s="473"/>
      <c r="F61" s="473"/>
    </row>
    <row r="62" spans="3:6" s="447" customFormat="1" ht="12.75">
      <c r="C62" s="467"/>
      <c r="D62" s="467"/>
      <c r="E62" s="474"/>
      <c r="F62" s="474"/>
    </row>
    <row r="63" spans="3:6" s="447" customFormat="1" ht="12.75">
      <c r="C63" s="467"/>
      <c r="D63" s="467"/>
      <c r="E63" s="474"/>
      <c r="F63" s="474"/>
    </row>
    <row r="64" spans="3:6" s="447" customFormat="1" ht="12.75">
      <c r="C64" s="467"/>
      <c r="D64" s="467"/>
      <c r="E64" s="474"/>
      <c r="F64" s="474"/>
    </row>
    <row r="65" spans="5:6" s="447" customFormat="1" ht="12.75">
      <c r="E65" s="463"/>
      <c r="F65" s="464"/>
    </row>
    <row r="66" spans="5:6" s="447" customFormat="1" ht="12.75">
      <c r="E66" s="463"/>
      <c r="F66" s="464"/>
    </row>
    <row r="67" spans="5:6" s="447" customFormat="1" ht="12.75">
      <c r="E67" s="463"/>
      <c r="F67" s="464"/>
    </row>
    <row r="68" spans="5:6" s="447" customFormat="1" ht="12.75">
      <c r="E68" s="463"/>
      <c r="F68" s="464"/>
    </row>
    <row r="69" spans="5:6" s="447" customFormat="1" ht="12.75">
      <c r="E69" s="463"/>
      <c r="F69" s="464"/>
    </row>
    <row r="70" spans="5:6" s="447" customFormat="1" ht="12.75">
      <c r="E70" s="463"/>
      <c r="F70" s="464"/>
    </row>
    <row r="71" spans="5:6" s="447" customFormat="1" ht="12.75">
      <c r="E71" s="463"/>
      <c r="F71" s="464"/>
    </row>
    <row r="72" spans="5:6" s="447" customFormat="1" ht="12.75">
      <c r="E72" s="463"/>
      <c r="F72" s="464"/>
    </row>
    <row r="73" spans="5:6" s="447" customFormat="1" ht="12.75">
      <c r="E73" s="463"/>
      <c r="F73" s="464"/>
    </row>
    <row r="74" spans="5:6" s="447" customFormat="1" ht="12.75">
      <c r="E74" s="463"/>
      <c r="F74" s="464"/>
    </row>
    <row r="75" spans="5:6" s="447" customFormat="1" ht="12.75">
      <c r="E75" s="463"/>
      <c r="F75" s="464"/>
    </row>
    <row r="76" spans="5:6" s="447" customFormat="1" ht="12.75">
      <c r="E76" s="463"/>
      <c r="F76" s="464"/>
    </row>
    <row r="77" spans="5:6" s="447" customFormat="1" ht="12.75">
      <c r="E77" s="463"/>
      <c r="F77" s="464"/>
    </row>
    <row r="78" spans="5:6" s="447" customFormat="1" ht="12.75">
      <c r="E78" s="463"/>
      <c r="F78" s="464"/>
    </row>
    <row r="79" spans="5:6" s="447" customFormat="1" ht="12.75">
      <c r="E79" s="463"/>
      <c r="F79" s="464"/>
    </row>
    <row r="80" spans="5:6" s="447" customFormat="1" ht="12.75">
      <c r="E80" s="463"/>
      <c r="F80" s="464"/>
    </row>
    <row r="81" spans="5:6" s="447" customFormat="1" ht="12.75">
      <c r="E81" s="463"/>
      <c r="F81" s="464"/>
    </row>
    <row r="82" spans="5:6" s="447" customFormat="1" ht="12.75">
      <c r="E82" s="463"/>
      <c r="F82" s="464"/>
    </row>
    <row r="83" spans="5:6" s="447" customFormat="1" ht="12.75">
      <c r="E83" s="463"/>
      <c r="F83" s="464"/>
    </row>
    <row r="84" spans="5:6" s="447" customFormat="1" ht="12.75">
      <c r="E84" s="463"/>
      <c r="F84" s="464"/>
    </row>
    <row r="85" spans="5:6" s="447" customFormat="1" ht="12.75">
      <c r="E85" s="463"/>
      <c r="F85" s="464"/>
    </row>
    <row r="86" spans="5:6" s="447" customFormat="1" ht="12.75">
      <c r="E86" s="463"/>
      <c r="F86" s="464"/>
    </row>
    <row r="87" spans="5:6" s="447" customFormat="1" ht="12.75">
      <c r="E87" s="463"/>
      <c r="F87" s="464"/>
    </row>
    <row r="88" spans="5:6" s="447" customFormat="1" ht="12.75">
      <c r="E88" s="463"/>
      <c r="F88" s="464"/>
    </row>
    <row r="89" spans="5:6" s="447" customFormat="1" ht="12.75">
      <c r="E89" s="463"/>
      <c r="F89" s="464"/>
    </row>
    <row r="90" spans="5:6" s="447" customFormat="1" ht="12.75">
      <c r="E90" s="463"/>
      <c r="F90" s="464"/>
    </row>
    <row r="91" spans="5:6" s="447" customFormat="1" ht="12.75">
      <c r="E91" s="463"/>
      <c r="F91" s="464"/>
    </row>
    <row r="92" spans="5:6" s="447" customFormat="1" ht="12.75">
      <c r="E92" s="463"/>
      <c r="F92" s="464"/>
    </row>
    <row r="93" spans="5:6" s="447" customFormat="1" ht="12.75">
      <c r="E93" s="463"/>
      <c r="F93" s="464"/>
    </row>
    <row r="94" spans="5:6" s="447" customFormat="1" ht="12.75">
      <c r="E94" s="463"/>
      <c r="F94" s="464"/>
    </row>
    <row r="95" spans="5:6" s="447" customFormat="1" ht="12.75">
      <c r="E95" s="463"/>
      <c r="F95" s="464"/>
    </row>
    <row r="96" spans="5:6" s="447" customFormat="1" ht="12.75">
      <c r="E96" s="463"/>
      <c r="F96" s="464"/>
    </row>
    <row r="97" spans="5:6" s="447" customFormat="1" ht="12.75">
      <c r="E97" s="463"/>
      <c r="F97" s="464"/>
    </row>
    <row r="98" spans="5:6" s="447" customFormat="1" ht="12.75">
      <c r="E98" s="463"/>
      <c r="F98" s="464"/>
    </row>
    <row r="99" spans="5:6" s="447" customFormat="1" ht="12.75">
      <c r="E99" s="463"/>
      <c r="F99" s="464"/>
    </row>
    <row r="100" spans="5:6" s="447" customFormat="1" ht="12.75">
      <c r="E100" s="463"/>
      <c r="F100" s="464"/>
    </row>
    <row r="101" spans="5:6" s="447" customFormat="1" ht="12.75">
      <c r="E101" s="463"/>
      <c r="F101" s="464"/>
    </row>
    <row r="102" spans="5:6" s="447" customFormat="1" ht="12.75">
      <c r="E102" s="463"/>
      <c r="F102" s="464"/>
    </row>
    <row r="103" spans="5:6" s="447" customFormat="1" ht="12.75">
      <c r="E103" s="463"/>
      <c r="F103" s="464"/>
    </row>
    <row r="104" spans="5:6" s="447" customFormat="1" ht="12.75">
      <c r="E104" s="463"/>
      <c r="F104" s="464"/>
    </row>
    <row r="105" spans="5:6" s="447" customFormat="1" ht="12.75">
      <c r="E105" s="463"/>
      <c r="F105" s="464"/>
    </row>
    <row r="106" spans="5:6" s="447" customFormat="1" ht="12.75">
      <c r="E106" s="463"/>
      <c r="F106" s="464"/>
    </row>
    <row r="107" spans="5:6" s="447" customFormat="1" ht="12.75">
      <c r="E107" s="463"/>
      <c r="F107" s="464"/>
    </row>
    <row r="108" spans="5:6" s="447" customFormat="1" ht="12.75">
      <c r="E108" s="463"/>
      <c r="F108" s="464"/>
    </row>
    <row r="109" spans="5:6" s="447" customFormat="1" ht="12.75">
      <c r="E109" s="463"/>
      <c r="F109" s="464"/>
    </row>
    <row r="110" spans="5:6" s="447" customFormat="1" ht="12.75">
      <c r="E110" s="463"/>
      <c r="F110" s="464"/>
    </row>
    <row r="111" spans="5:6" s="447" customFormat="1" ht="12.75">
      <c r="E111" s="463"/>
      <c r="F111" s="464"/>
    </row>
    <row r="112" spans="5:6" s="447" customFormat="1" ht="12.75">
      <c r="E112" s="463"/>
      <c r="F112" s="464"/>
    </row>
    <row r="113" spans="5:6" s="447" customFormat="1" ht="12.75">
      <c r="E113" s="463"/>
      <c r="F113" s="464"/>
    </row>
    <row r="114" spans="5:6" s="447" customFormat="1" ht="12.75">
      <c r="E114" s="463"/>
      <c r="F114" s="464"/>
    </row>
    <row r="115" spans="5:6" s="447" customFormat="1" ht="12.75">
      <c r="E115" s="463"/>
      <c r="F115" s="464"/>
    </row>
    <row r="116" spans="5:6" s="447" customFormat="1" ht="12.75">
      <c r="E116" s="463"/>
      <c r="F116" s="464"/>
    </row>
    <row r="117" spans="5:6" s="447" customFormat="1" ht="12.75">
      <c r="E117" s="463"/>
      <c r="F117" s="464"/>
    </row>
    <row r="118" spans="5:6" s="447" customFormat="1" ht="12.75">
      <c r="E118" s="463"/>
      <c r="F118" s="464"/>
    </row>
    <row r="119" spans="5:6" s="447" customFormat="1" ht="12.75">
      <c r="E119" s="463"/>
      <c r="F119" s="464"/>
    </row>
    <row r="120" spans="5:6" s="447" customFormat="1" ht="12.75">
      <c r="E120" s="463"/>
      <c r="F120" s="464"/>
    </row>
    <row r="121" spans="5:6" s="447" customFormat="1" ht="12.75">
      <c r="E121" s="463"/>
      <c r="F121" s="464"/>
    </row>
    <row r="122" spans="5:6" s="447" customFormat="1" ht="12.75">
      <c r="E122" s="463"/>
      <c r="F122" s="464"/>
    </row>
    <row r="123" spans="5:6" s="447" customFormat="1" ht="12.75">
      <c r="E123" s="463"/>
      <c r="F123" s="464"/>
    </row>
    <row r="124" spans="5:6" s="447" customFormat="1" ht="12.75">
      <c r="E124" s="463"/>
      <c r="F124" s="464"/>
    </row>
    <row r="125" spans="5:6" s="447" customFormat="1" ht="12.75">
      <c r="E125" s="463"/>
      <c r="F125" s="464"/>
    </row>
    <row r="126" spans="5:6" s="447" customFormat="1" ht="12.75">
      <c r="E126" s="463"/>
      <c r="F126" s="464"/>
    </row>
    <row r="127" spans="5:6" s="447" customFormat="1" ht="12.75">
      <c r="E127" s="463"/>
      <c r="F127" s="464"/>
    </row>
    <row r="128" spans="5:6" s="447" customFormat="1" ht="12.75">
      <c r="E128" s="463"/>
      <c r="F128" s="464"/>
    </row>
    <row r="129" spans="5:6" s="447" customFormat="1" ht="12.75">
      <c r="E129" s="463"/>
      <c r="F129" s="464"/>
    </row>
    <row r="130" spans="5:6" s="447" customFormat="1" ht="12.75">
      <c r="E130" s="463"/>
      <c r="F130" s="464"/>
    </row>
    <row r="131" spans="5:6" s="447" customFormat="1" ht="12.75">
      <c r="E131" s="463"/>
      <c r="F131" s="464"/>
    </row>
    <row r="132" spans="5:6" s="447" customFormat="1" ht="12.75">
      <c r="E132" s="463"/>
      <c r="F132" s="464"/>
    </row>
    <row r="133" spans="5:6" s="447" customFormat="1" ht="12.75">
      <c r="E133" s="463"/>
      <c r="F133" s="464"/>
    </row>
    <row r="134" spans="5:6" s="447" customFormat="1" ht="12.75">
      <c r="E134" s="463"/>
      <c r="F134" s="464"/>
    </row>
    <row r="135" spans="5:6" s="447" customFormat="1" ht="12.75">
      <c r="E135" s="463"/>
      <c r="F135" s="464"/>
    </row>
    <row r="136" spans="5:6" s="447" customFormat="1" ht="12.75">
      <c r="E136" s="463"/>
      <c r="F136" s="464"/>
    </row>
    <row r="137" spans="5:6" s="447" customFormat="1" ht="12.75">
      <c r="E137" s="463"/>
      <c r="F137" s="464"/>
    </row>
    <row r="138" spans="5:6" s="447" customFormat="1" ht="12.75">
      <c r="E138" s="463"/>
      <c r="F138" s="464"/>
    </row>
    <row r="139" spans="5:6" s="447" customFormat="1" ht="12.75">
      <c r="E139" s="463"/>
      <c r="F139" s="464"/>
    </row>
    <row r="140" spans="5:6" s="447" customFormat="1" ht="12.75">
      <c r="E140" s="463"/>
      <c r="F140" s="464"/>
    </row>
    <row r="141" spans="5:6" s="447" customFormat="1" ht="12.75">
      <c r="E141" s="463"/>
      <c r="F141" s="464"/>
    </row>
    <row r="142" spans="5:6" s="447" customFormat="1" ht="12.75">
      <c r="E142" s="463"/>
      <c r="F142" s="464"/>
    </row>
    <row r="143" spans="5:6" s="447" customFormat="1" ht="12.75">
      <c r="E143" s="463"/>
      <c r="F143" s="464"/>
    </row>
    <row r="144" spans="5:6" s="447" customFormat="1" ht="12.75">
      <c r="E144" s="463"/>
      <c r="F144" s="464"/>
    </row>
    <row r="145" spans="5:6" s="447" customFormat="1" ht="12.75">
      <c r="E145" s="463"/>
      <c r="F145" s="464"/>
    </row>
    <row r="146" spans="5:6" s="447" customFormat="1" ht="12.75">
      <c r="E146" s="463"/>
      <c r="F146" s="464"/>
    </row>
    <row r="147" spans="5:6" s="447" customFormat="1" ht="12.75">
      <c r="E147" s="463"/>
      <c r="F147" s="464"/>
    </row>
    <row r="148" spans="5:6" s="447" customFormat="1" ht="12.75">
      <c r="E148" s="463"/>
      <c r="F148" s="464"/>
    </row>
    <row r="149" spans="5:6" s="447" customFormat="1" ht="12.75">
      <c r="E149" s="463"/>
      <c r="F149" s="464"/>
    </row>
    <row r="150" spans="5:6" s="447" customFormat="1" ht="12.75">
      <c r="E150" s="463"/>
      <c r="F150" s="464"/>
    </row>
    <row r="151" spans="5:6" s="447" customFormat="1" ht="12.75">
      <c r="E151" s="463"/>
      <c r="F151" s="464"/>
    </row>
    <row r="152" spans="5:6" s="447" customFormat="1" ht="12.75">
      <c r="E152" s="463"/>
      <c r="F152" s="464"/>
    </row>
    <row r="153" spans="5:6" s="447" customFormat="1" ht="12.75">
      <c r="E153" s="463"/>
      <c r="F153" s="464"/>
    </row>
    <row r="154" spans="5:6" s="447" customFormat="1" ht="12.75">
      <c r="E154" s="463"/>
      <c r="F154" s="464"/>
    </row>
    <row r="155" spans="5:6" s="447" customFormat="1" ht="12.75">
      <c r="E155" s="463"/>
      <c r="F155" s="464"/>
    </row>
    <row r="156" spans="5:6" s="447" customFormat="1" ht="12.75">
      <c r="E156" s="463"/>
      <c r="F156" s="464"/>
    </row>
    <row r="157" spans="5:6" s="447" customFormat="1" ht="12.75">
      <c r="E157" s="463"/>
      <c r="F157" s="464"/>
    </row>
    <row r="158" spans="5:6" s="447" customFormat="1" ht="12.75">
      <c r="E158" s="463"/>
      <c r="F158" s="464"/>
    </row>
    <row r="159" spans="5:6" s="447" customFormat="1" ht="12.75">
      <c r="E159" s="463"/>
      <c r="F159" s="464"/>
    </row>
    <row r="160" spans="5:6" s="447" customFormat="1" ht="12.75">
      <c r="E160" s="463"/>
      <c r="F160" s="464"/>
    </row>
    <row r="161" spans="5:6" s="447" customFormat="1" ht="12.75">
      <c r="E161" s="463"/>
      <c r="F161" s="464"/>
    </row>
    <row r="162" spans="5:6" s="447" customFormat="1" ht="12.75">
      <c r="E162" s="463"/>
      <c r="F162" s="464"/>
    </row>
    <row r="163" spans="5:6" s="447" customFormat="1" ht="12.75">
      <c r="E163" s="463"/>
      <c r="F163" s="464"/>
    </row>
    <row r="164" spans="5:6" s="447" customFormat="1" ht="12.75">
      <c r="E164" s="463"/>
      <c r="F164" s="464"/>
    </row>
    <row r="165" spans="5:6" s="447" customFormat="1" ht="12.75">
      <c r="E165" s="463"/>
      <c r="F165" s="464"/>
    </row>
    <row r="166" spans="5:6" s="447" customFormat="1" ht="12.75">
      <c r="E166" s="463"/>
      <c r="F166" s="464"/>
    </row>
    <row r="167" spans="5:6" s="447" customFormat="1" ht="12.75">
      <c r="E167" s="463"/>
      <c r="F167" s="464"/>
    </row>
    <row r="168" spans="5:6" s="447" customFormat="1" ht="12.75">
      <c r="E168" s="463"/>
      <c r="F168" s="464"/>
    </row>
    <row r="169" spans="5:6" s="447" customFormat="1" ht="12.75">
      <c r="E169" s="463"/>
      <c r="F169" s="464"/>
    </row>
    <row r="170" spans="5:6" s="447" customFormat="1" ht="12.75">
      <c r="E170" s="463"/>
      <c r="F170" s="464"/>
    </row>
    <row r="171" spans="5:6" s="447" customFormat="1" ht="12.75">
      <c r="E171" s="463"/>
      <c r="F171" s="464"/>
    </row>
    <row r="172" spans="5:6" s="447" customFormat="1" ht="12.75">
      <c r="E172" s="463"/>
      <c r="F172" s="464"/>
    </row>
    <row r="173" spans="5:6" s="447" customFormat="1" ht="12.75">
      <c r="E173" s="463"/>
      <c r="F173" s="464"/>
    </row>
    <row r="174" spans="5:6" s="447" customFormat="1" ht="12.75">
      <c r="E174" s="463"/>
      <c r="F174" s="464"/>
    </row>
    <row r="175" spans="5:6" s="447" customFormat="1" ht="12.75">
      <c r="E175" s="463"/>
      <c r="F175" s="464"/>
    </row>
    <row r="176" spans="5:6" s="447" customFormat="1" ht="12.75">
      <c r="E176" s="463"/>
      <c r="F176" s="464"/>
    </row>
    <row r="177" spans="5:6" s="447" customFormat="1" ht="12.75">
      <c r="E177" s="463"/>
      <c r="F177" s="464"/>
    </row>
    <row r="178" spans="5:6" s="447" customFormat="1" ht="12.75">
      <c r="E178" s="463"/>
      <c r="F178" s="464"/>
    </row>
    <row r="179" spans="5:6" s="447" customFormat="1" ht="12.75">
      <c r="E179" s="463"/>
      <c r="F179" s="464"/>
    </row>
    <row r="180" spans="5:6" s="447" customFormat="1" ht="12.75">
      <c r="E180" s="463"/>
      <c r="F180" s="464"/>
    </row>
    <row r="181" spans="5:6" s="447" customFormat="1" ht="12.75">
      <c r="E181" s="463"/>
      <c r="F181" s="464"/>
    </row>
    <row r="182" spans="5:6" s="447" customFormat="1" ht="12.75">
      <c r="E182" s="463"/>
      <c r="F182" s="464"/>
    </row>
    <row r="183" spans="5:6" s="447" customFormat="1" ht="12.75">
      <c r="E183" s="463"/>
      <c r="F183" s="464"/>
    </row>
    <row r="184" spans="5:6" s="447" customFormat="1" ht="12.75">
      <c r="E184" s="463"/>
      <c r="F184" s="464"/>
    </row>
    <row r="185" spans="5:6" s="447" customFormat="1" ht="12.75">
      <c r="E185" s="463"/>
      <c r="F185" s="464"/>
    </row>
    <row r="186" spans="5:6" s="447" customFormat="1" ht="12.75">
      <c r="E186" s="463"/>
      <c r="F186" s="464"/>
    </row>
    <row r="187" spans="5:6" s="447" customFormat="1" ht="12.75">
      <c r="E187" s="463"/>
      <c r="F187" s="464"/>
    </row>
    <row r="188" spans="5:6" s="447" customFormat="1" ht="12.75">
      <c r="E188" s="463"/>
      <c r="F188" s="464"/>
    </row>
    <row r="189" spans="5:6" s="447" customFormat="1" ht="12.75">
      <c r="E189" s="463"/>
      <c r="F189" s="464"/>
    </row>
    <row r="190" spans="5:6" s="447" customFormat="1" ht="12.75">
      <c r="E190" s="463"/>
      <c r="F190" s="464"/>
    </row>
    <row r="191" spans="5:6" s="447" customFormat="1" ht="12.75">
      <c r="E191" s="463"/>
      <c r="F191" s="464"/>
    </row>
    <row r="192" spans="5:6" s="447" customFormat="1" ht="12.75">
      <c r="E192" s="463"/>
      <c r="F192" s="464"/>
    </row>
    <row r="193" spans="5:6" s="447" customFormat="1" ht="12.75">
      <c r="E193" s="463"/>
      <c r="F193" s="464"/>
    </row>
    <row r="194" spans="5:6" s="447" customFormat="1" ht="12.75">
      <c r="E194" s="463"/>
      <c r="F194" s="464"/>
    </row>
    <row r="195" spans="5:6" s="447" customFormat="1" ht="12.75">
      <c r="E195" s="463"/>
      <c r="F195" s="464"/>
    </row>
    <row r="196" spans="5:6" s="447" customFormat="1" ht="12.75">
      <c r="E196" s="463"/>
      <c r="F196" s="464"/>
    </row>
    <row r="197" spans="5:6" s="447" customFormat="1" ht="12.75">
      <c r="E197" s="463"/>
      <c r="F197" s="464"/>
    </row>
    <row r="198" spans="5:6" s="447" customFormat="1" ht="12.75">
      <c r="E198" s="463"/>
      <c r="F198" s="464"/>
    </row>
    <row r="199" spans="5:6" s="447" customFormat="1" ht="12.75">
      <c r="E199" s="463"/>
      <c r="F199" s="464"/>
    </row>
    <row r="200" spans="5:6" s="447" customFormat="1" ht="12.75">
      <c r="E200" s="463"/>
      <c r="F200" s="464"/>
    </row>
    <row r="201" spans="5:6" s="447" customFormat="1" ht="12.75">
      <c r="E201" s="463"/>
      <c r="F201" s="464"/>
    </row>
    <row r="202" spans="5:6" s="447" customFormat="1" ht="12.75">
      <c r="E202" s="463"/>
      <c r="F202" s="464"/>
    </row>
    <row r="203" spans="5:6" s="447" customFormat="1" ht="12.75">
      <c r="E203" s="463"/>
      <c r="F203" s="464"/>
    </row>
    <row r="204" spans="5:6" s="447" customFormat="1" ht="12.75">
      <c r="E204" s="463"/>
      <c r="F204" s="464"/>
    </row>
    <row r="205" spans="5:6" s="447" customFormat="1" ht="12.75">
      <c r="E205" s="463"/>
      <c r="F205" s="464"/>
    </row>
    <row r="206" spans="5:6" s="447" customFormat="1" ht="12.75">
      <c r="E206" s="463"/>
      <c r="F206" s="464"/>
    </row>
    <row r="207" spans="5:6" s="447" customFormat="1" ht="12.75">
      <c r="E207" s="463"/>
      <c r="F207" s="464"/>
    </row>
    <row r="208" spans="5:6" s="447" customFormat="1" ht="12.75">
      <c r="E208" s="463"/>
      <c r="F208" s="464"/>
    </row>
    <row r="209" spans="5:6" s="447" customFormat="1" ht="12.75">
      <c r="E209" s="463"/>
      <c r="F209" s="464"/>
    </row>
    <row r="210" spans="5:6" s="447" customFormat="1" ht="12.75">
      <c r="E210" s="463"/>
      <c r="F210" s="464"/>
    </row>
    <row r="211" spans="5:6" s="447" customFormat="1" ht="12.75">
      <c r="E211" s="463"/>
      <c r="F211" s="464"/>
    </row>
    <row r="212" spans="5:6" s="447" customFormat="1" ht="12.75">
      <c r="E212" s="463"/>
      <c r="F212" s="464"/>
    </row>
    <row r="213" spans="5:6" s="447" customFormat="1" ht="12.75">
      <c r="E213" s="463"/>
      <c r="F213" s="464"/>
    </row>
    <row r="214" spans="5:6" s="447" customFormat="1" ht="12.75">
      <c r="E214" s="463"/>
      <c r="F214" s="464"/>
    </row>
    <row r="215" spans="5:6" s="447" customFormat="1" ht="12.75">
      <c r="E215" s="463"/>
      <c r="F215" s="464"/>
    </row>
    <row r="216" spans="5:6" s="447" customFormat="1" ht="12.75">
      <c r="E216" s="463"/>
      <c r="F216" s="464"/>
    </row>
    <row r="217" spans="5:6" s="447" customFormat="1" ht="12.75">
      <c r="E217" s="463"/>
      <c r="F217" s="464"/>
    </row>
    <row r="218" spans="5:6" s="447" customFormat="1" ht="12.75">
      <c r="E218" s="463"/>
      <c r="F218" s="464"/>
    </row>
    <row r="219" spans="5:6" s="447" customFormat="1" ht="12.75">
      <c r="E219" s="463"/>
      <c r="F219" s="464"/>
    </row>
    <row r="220" spans="5:6" s="447" customFormat="1" ht="12.75">
      <c r="E220" s="463"/>
      <c r="F220" s="464"/>
    </row>
    <row r="221" spans="5:6" s="447" customFormat="1" ht="12.75">
      <c r="E221" s="463"/>
      <c r="F221" s="464"/>
    </row>
    <row r="222" spans="5:6" s="447" customFormat="1" ht="12.75">
      <c r="E222" s="463"/>
      <c r="F222" s="464"/>
    </row>
    <row r="223" spans="5:6" s="447" customFormat="1" ht="12.75">
      <c r="E223" s="463"/>
      <c r="F223" s="464"/>
    </row>
    <row r="224" spans="5:6" s="447" customFormat="1" ht="12.75">
      <c r="E224" s="463"/>
      <c r="F224" s="464"/>
    </row>
    <row r="225" spans="5:6" s="447" customFormat="1" ht="12.75">
      <c r="E225" s="463"/>
      <c r="F225" s="464"/>
    </row>
    <row r="226" spans="5:6" s="447" customFormat="1" ht="12.75">
      <c r="E226" s="463"/>
      <c r="F226" s="464"/>
    </row>
    <row r="227" spans="5:6" s="447" customFormat="1" ht="12.75">
      <c r="E227" s="463"/>
      <c r="F227" s="464"/>
    </row>
    <row r="228" spans="5:6" s="447" customFormat="1" ht="12.75">
      <c r="E228" s="463"/>
      <c r="F228" s="464"/>
    </row>
    <row r="229" spans="5:6" s="447" customFormat="1" ht="12.75">
      <c r="E229" s="463"/>
      <c r="F229" s="464"/>
    </row>
    <row r="230" spans="5:6" s="447" customFormat="1" ht="12.75">
      <c r="E230" s="463"/>
      <c r="F230" s="464"/>
    </row>
    <row r="231" spans="5:6" s="447" customFormat="1" ht="12.75">
      <c r="E231" s="463"/>
      <c r="F231" s="464"/>
    </row>
    <row r="232" spans="5:6" s="447" customFormat="1" ht="12.75">
      <c r="E232" s="463"/>
      <c r="F232" s="464"/>
    </row>
    <row r="233" spans="5:6" s="447" customFormat="1" ht="12.75">
      <c r="E233" s="463"/>
      <c r="F233" s="464"/>
    </row>
    <row r="234" spans="5:6" s="447" customFormat="1" ht="12.75">
      <c r="E234" s="463"/>
      <c r="F234" s="464"/>
    </row>
    <row r="235" spans="5:6" s="447" customFormat="1" ht="12.75">
      <c r="E235" s="463"/>
      <c r="F235" s="464"/>
    </row>
    <row r="236" spans="5:6" s="447" customFormat="1" ht="12.75">
      <c r="E236" s="463"/>
      <c r="F236" s="464"/>
    </row>
    <row r="237" spans="5:6" s="447" customFormat="1" ht="12.75">
      <c r="E237" s="463"/>
      <c r="F237" s="464"/>
    </row>
    <row r="238" spans="5:6" s="447" customFormat="1" ht="12.75">
      <c r="E238" s="463"/>
      <c r="F238" s="464"/>
    </row>
    <row r="239" spans="5:6" s="447" customFormat="1" ht="12.75">
      <c r="E239" s="463"/>
      <c r="F239" s="464"/>
    </row>
    <row r="240" spans="5:6" s="447" customFormat="1" ht="12.75">
      <c r="E240" s="463"/>
      <c r="F240" s="464"/>
    </row>
    <row r="241" spans="5:6" s="447" customFormat="1" ht="12.75">
      <c r="E241" s="463"/>
      <c r="F241" s="464"/>
    </row>
    <row r="242" spans="5:6" s="447" customFormat="1" ht="12.75">
      <c r="E242" s="463"/>
      <c r="F242" s="464"/>
    </row>
    <row r="243" spans="5:6" s="447" customFormat="1" ht="12.75">
      <c r="E243" s="463"/>
      <c r="F243" s="464"/>
    </row>
    <row r="244" spans="5:6" s="447" customFormat="1" ht="12.75">
      <c r="E244" s="463"/>
      <c r="F244" s="464"/>
    </row>
    <row r="245" spans="5:6" s="447" customFormat="1" ht="12.75">
      <c r="E245" s="463"/>
      <c r="F245" s="464"/>
    </row>
    <row r="246" spans="5:6" s="447" customFormat="1" ht="12.75">
      <c r="E246" s="463"/>
      <c r="F246" s="464"/>
    </row>
    <row r="247" spans="5:6" s="447" customFormat="1" ht="12.75">
      <c r="E247" s="463"/>
      <c r="F247" s="464"/>
    </row>
    <row r="248" spans="5:6" s="447" customFormat="1" ht="12.75">
      <c r="E248" s="463"/>
      <c r="F248" s="464"/>
    </row>
    <row r="249" spans="5:6" s="447" customFormat="1" ht="12.75">
      <c r="E249" s="463"/>
      <c r="F249" s="464"/>
    </row>
    <row r="250" spans="5:6" s="447" customFormat="1" ht="12.75">
      <c r="E250" s="463"/>
      <c r="F250" s="464"/>
    </row>
    <row r="251" spans="5:6" s="447" customFormat="1" ht="12.75">
      <c r="E251" s="463"/>
      <c r="F251" s="464"/>
    </row>
    <row r="252" spans="5:6" s="447" customFormat="1" ht="12.75">
      <c r="E252" s="463"/>
      <c r="F252" s="464"/>
    </row>
    <row r="253" spans="5:6" s="447" customFormat="1" ht="12.75">
      <c r="E253" s="463"/>
      <c r="F253" s="464"/>
    </row>
    <row r="254" spans="5:6" s="447" customFormat="1" ht="12.75">
      <c r="E254" s="463"/>
      <c r="F254" s="464"/>
    </row>
    <row r="255" spans="5:6" s="447" customFormat="1" ht="12.75">
      <c r="E255" s="463"/>
      <c r="F255" s="464"/>
    </row>
    <row r="256" spans="5:6" s="447" customFormat="1" ht="12.75">
      <c r="E256" s="463"/>
      <c r="F256" s="464"/>
    </row>
    <row r="257" spans="5:6" s="447" customFormat="1" ht="12.75">
      <c r="E257" s="463"/>
      <c r="F257" s="464"/>
    </row>
    <row r="258" spans="5:6" s="447" customFormat="1" ht="12.75">
      <c r="E258" s="463"/>
      <c r="F258" s="464"/>
    </row>
    <row r="259" spans="5:6" s="447" customFormat="1" ht="12.75">
      <c r="E259" s="463"/>
      <c r="F259" s="464"/>
    </row>
    <row r="260" spans="5:6" s="447" customFormat="1" ht="12.75">
      <c r="E260" s="463"/>
      <c r="F260" s="464"/>
    </row>
    <row r="261" spans="5:6" s="447" customFormat="1" ht="12.75">
      <c r="E261" s="463"/>
      <c r="F261" s="464"/>
    </row>
    <row r="262" spans="5:6" s="447" customFormat="1" ht="12.75">
      <c r="E262" s="463"/>
      <c r="F262" s="464"/>
    </row>
    <row r="263" spans="5:6" s="447" customFormat="1" ht="12.75">
      <c r="E263" s="463"/>
      <c r="F263" s="464"/>
    </row>
    <row r="264" spans="5:6" s="447" customFormat="1" ht="12.75">
      <c r="E264" s="463"/>
      <c r="F264" s="464"/>
    </row>
    <row r="265" spans="5:6" s="447" customFormat="1" ht="12.75">
      <c r="E265" s="463"/>
      <c r="F265" s="464"/>
    </row>
    <row r="266" spans="5:6" s="447" customFormat="1" ht="12.75">
      <c r="E266" s="463"/>
      <c r="F266" s="464"/>
    </row>
    <row r="267" spans="5:6" s="447" customFormat="1" ht="12.75">
      <c r="E267" s="463"/>
      <c r="F267" s="464"/>
    </row>
    <row r="268" spans="5:6" s="447" customFormat="1" ht="12.75">
      <c r="E268" s="463"/>
      <c r="F268" s="464"/>
    </row>
    <row r="269" spans="5:6" s="447" customFormat="1" ht="12.75">
      <c r="E269" s="463"/>
      <c r="F269" s="464"/>
    </row>
    <row r="270" spans="5:6" s="447" customFormat="1" ht="12.75">
      <c r="E270" s="463"/>
      <c r="F270" s="464"/>
    </row>
    <row r="271" spans="5:6" s="447" customFormat="1" ht="12.75">
      <c r="E271" s="463"/>
      <c r="F271" s="464"/>
    </row>
    <row r="272" spans="5:6" s="447" customFormat="1" ht="12.75">
      <c r="E272" s="463"/>
      <c r="F272" s="464"/>
    </row>
    <row r="273" spans="5:6" s="447" customFormat="1" ht="12.75">
      <c r="E273" s="463"/>
      <c r="F273" s="464"/>
    </row>
    <row r="274" spans="5:6" s="447" customFormat="1" ht="12.75">
      <c r="E274" s="463"/>
      <c r="F274" s="464"/>
    </row>
    <row r="275" spans="5:6" s="447" customFormat="1" ht="12.75">
      <c r="E275" s="463"/>
      <c r="F275" s="464"/>
    </row>
    <row r="276" spans="5:6" s="447" customFormat="1" ht="12.75">
      <c r="E276" s="463"/>
      <c r="F276" s="464"/>
    </row>
    <row r="277" spans="5:6" s="447" customFormat="1" ht="12.75">
      <c r="E277" s="463"/>
      <c r="F277" s="464"/>
    </row>
    <row r="278" spans="5:6" s="447" customFormat="1" ht="12.75">
      <c r="E278" s="463"/>
      <c r="F278" s="464"/>
    </row>
    <row r="279" spans="5:6" s="447" customFormat="1" ht="12.75">
      <c r="E279" s="463"/>
      <c r="F279" s="464"/>
    </row>
    <row r="280" spans="5:6" s="447" customFormat="1" ht="12.75">
      <c r="E280" s="463"/>
      <c r="F280" s="464"/>
    </row>
    <row r="281" spans="5:6" s="447" customFormat="1" ht="12.75">
      <c r="E281" s="463"/>
      <c r="F281" s="464"/>
    </row>
    <row r="282" spans="5:6" s="447" customFormat="1" ht="12.75">
      <c r="E282" s="463"/>
      <c r="F282" s="464"/>
    </row>
    <row r="283" spans="5:6" s="447" customFormat="1" ht="12.75">
      <c r="E283" s="463"/>
      <c r="F283" s="464"/>
    </row>
    <row r="284" spans="5:6" s="447" customFormat="1" ht="12.75">
      <c r="E284" s="463"/>
      <c r="F284" s="464"/>
    </row>
    <row r="285" spans="5:6" s="447" customFormat="1" ht="12.75">
      <c r="E285" s="463"/>
      <c r="F285" s="464"/>
    </row>
    <row r="286" spans="5:6" s="447" customFormat="1" ht="12.75">
      <c r="E286" s="463"/>
      <c r="F286" s="464"/>
    </row>
    <row r="287" spans="5:6" s="447" customFormat="1" ht="12.75">
      <c r="E287" s="463"/>
      <c r="F287" s="464"/>
    </row>
    <row r="288" spans="5:6" s="447" customFormat="1" ht="12.75">
      <c r="E288" s="463"/>
      <c r="F288" s="464"/>
    </row>
    <row r="289" spans="5:6" s="447" customFormat="1" ht="12.75">
      <c r="E289" s="463"/>
      <c r="F289" s="464"/>
    </row>
    <row r="290" spans="5:6" s="447" customFormat="1" ht="12.75">
      <c r="E290" s="463"/>
      <c r="F290" s="464"/>
    </row>
    <row r="291" spans="5:6" s="447" customFormat="1" ht="12.75">
      <c r="E291" s="463"/>
      <c r="F291" s="464"/>
    </row>
    <row r="292" spans="5:6" s="447" customFormat="1" ht="12.75">
      <c r="E292" s="463"/>
      <c r="F292" s="464"/>
    </row>
    <row r="293" spans="5:6" s="447" customFormat="1" ht="12.75">
      <c r="E293" s="463"/>
      <c r="F293" s="464"/>
    </row>
    <row r="294" spans="5:6" s="447" customFormat="1" ht="12.75">
      <c r="E294" s="463"/>
      <c r="F294" s="464"/>
    </row>
    <row r="295" spans="5:6" s="447" customFormat="1" ht="12.75">
      <c r="E295" s="463"/>
      <c r="F295" s="464"/>
    </row>
    <row r="296" spans="5:6" s="447" customFormat="1" ht="12.75">
      <c r="E296" s="463"/>
      <c r="F296" s="464"/>
    </row>
    <row r="297" spans="5:6" s="447" customFormat="1" ht="12.75">
      <c r="E297" s="463"/>
      <c r="F297" s="464"/>
    </row>
    <row r="298" spans="5:6" s="447" customFormat="1" ht="12.75">
      <c r="E298" s="463"/>
      <c r="F298" s="464"/>
    </row>
    <row r="299" spans="5:6" s="447" customFormat="1" ht="12.75">
      <c r="E299" s="463"/>
      <c r="F299" s="464"/>
    </row>
    <row r="300" spans="5:6" s="447" customFormat="1" ht="12.75">
      <c r="E300" s="463"/>
      <c r="F300" s="464"/>
    </row>
    <row r="301" spans="5:6" s="447" customFormat="1" ht="12.75">
      <c r="E301" s="463"/>
      <c r="F301" s="464"/>
    </row>
    <row r="302" spans="5:6" s="447" customFormat="1" ht="12.75">
      <c r="E302" s="463"/>
      <c r="F302" s="464"/>
    </row>
    <row r="303" spans="5:6" s="447" customFormat="1" ht="12.75">
      <c r="E303" s="463"/>
      <c r="F303" s="464"/>
    </row>
    <row r="304" spans="5:6" s="447" customFormat="1" ht="12.75">
      <c r="E304" s="463"/>
      <c r="F304" s="464"/>
    </row>
    <row r="305" spans="5:6" s="447" customFormat="1" ht="12.75">
      <c r="E305" s="463"/>
      <c r="F305" s="464"/>
    </row>
    <row r="306" spans="5:6" s="447" customFormat="1" ht="12.75">
      <c r="E306" s="463"/>
      <c r="F306" s="464"/>
    </row>
    <row r="307" spans="5:6" s="447" customFormat="1" ht="12.75">
      <c r="E307" s="463"/>
      <c r="F307" s="464"/>
    </row>
    <row r="308" spans="5:6" s="447" customFormat="1" ht="12.75">
      <c r="E308" s="463"/>
      <c r="F308" s="464"/>
    </row>
    <row r="309" spans="5:6" s="447" customFormat="1" ht="12.75">
      <c r="E309" s="463"/>
      <c r="F309" s="464"/>
    </row>
    <row r="310" spans="5:6" s="447" customFormat="1" ht="12.75">
      <c r="E310" s="463"/>
      <c r="F310" s="464"/>
    </row>
    <row r="311" spans="5:6" s="447" customFormat="1" ht="12.75">
      <c r="E311" s="463"/>
      <c r="F311" s="464"/>
    </row>
    <row r="312" spans="5:6" s="447" customFormat="1" ht="12.75">
      <c r="E312" s="463"/>
      <c r="F312" s="464"/>
    </row>
    <row r="313" spans="5:6" s="447" customFormat="1" ht="12.75">
      <c r="E313" s="463"/>
      <c r="F313" s="464"/>
    </row>
    <row r="314" spans="5:6" s="447" customFormat="1" ht="12.75">
      <c r="E314" s="463"/>
      <c r="F314" s="464"/>
    </row>
    <row r="315" spans="5:6" s="447" customFormat="1" ht="12.75">
      <c r="E315" s="463"/>
      <c r="F315" s="464"/>
    </row>
    <row r="316" spans="5:6" s="447" customFormat="1" ht="12.75">
      <c r="E316" s="463"/>
      <c r="F316" s="464"/>
    </row>
    <row r="317" spans="5:6" s="447" customFormat="1" ht="12.75">
      <c r="E317" s="463"/>
      <c r="F317" s="464"/>
    </row>
    <row r="318" spans="5:6" s="447" customFormat="1" ht="12.75">
      <c r="E318" s="463"/>
      <c r="F318" s="464"/>
    </row>
    <row r="319" spans="5:6" s="447" customFormat="1" ht="12.75">
      <c r="E319" s="463"/>
      <c r="F319" s="464"/>
    </row>
    <row r="320" spans="5:6" s="447" customFormat="1" ht="12.75">
      <c r="E320" s="463"/>
      <c r="F320" s="464"/>
    </row>
    <row r="321" spans="5:6" s="447" customFormat="1" ht="12.75">
      <c r="E321" s="463"/>
      <c r="F321" s="464"/>
    </row>
    <row r="322" spans="5:6" s="447" customFormat="1" ht="12.75">
      <c r="E322" s="463"/>
      <c r="F322" s="464"/>
    </row>
    <row r="323" spans="5:6" s="447" customFormat="1" ht="12.75">
      <c r="E323" s="463"/>
      <c r="F323" s="464"/>
    </row>
    <row r="324" spans="5:6" s="447" customFormat="1" ht="12.75">
      <c r="E324" s="463"/>
      <c r="F324" s="464"/>
    </row>
    <row r="325" spans="5:6" s="447" customFormat="1" ht="12.75">
      <c r="E325" s="463"/>
      <c r="F325" s="464"/>
    </row>
    <row r="326" spans="5:6" s="447" customFormat="1" ht="12.75">
      <c r="E326" s="463"/>
      <c r="F326" s="464"/>
    </row>
    <row r="327" spans="5:6" s="447" customFormat="1" ht="12.75">
      <c r="E327" s="463"/>
      <c r="F327" s="464"/>
    </row>
    <row r="328" spans="5:6" s="447" customFormat="1" ht="12.75">
      <c r="E328" s="463"/>
      <c r="F328" s="464"/>
    </row>
    <row r="329" spans="5:6" s="447" customFormat="1" ht="12.75">
      <c r="E329" s="463"/>
      <c r="F329" s="464"/>
    </row>
    <row r="330" spans="5:6" s="447" customFormat="1" ht="12.75">
      <c r="E330" s="463"/>
      <c r="F330" s="464"/>
    </row>
    <row r="331" spans="5:6" s="447" customFormat="1" ht="12.75">
      <c r="E331" s="463"/>
      <c r="F331" s="464"/>
    </row>
    <row r="332" spans="5:6" s="447" customFormat="1" ht="12.75">
      <c r="E332" s="463"/>
      <c r="F332" s="464"/>
    </row>
    <row r="333" spans="5:6" s="447" customFormat="1" ht="12.75">
      <c r="E333" s="463"/>
      <c r="F333" s="464"/>
    </row>
    <row r="334" spans="5:6" s="447" customFormat="1" ht="12.75">
      <c r="E334" s="463"/>
      <c r="F334" s="464"/>
    </row>
    <row r="335" spans="5:6" s="447" customFormat="1" ht="12.75">
      <c r="E335" s="463"/>
      <c r="F335" s="464"/>
    </row>
    <row r="336" spans="5:6" s="447" customFormat="1" ht="12.75">
      <c r="E336" s="463"/>
      <c r="F336" s="464"/>
    </row>
    <row r="337" spans="5:6" s="447" customFormat="1" ht="12.75">
      <c r="E337" s="463"/>
      <c r="F337" s="464"/>
    </row>
    <row r="338" spans="5:6" s="447" customFormat="1" ht="12.75">
      <c r="E338" s="463"/>
      <c r="F338" s="464"/>
    </row>
    <row r="339" spans="5:6" s="447" customFormat="1" ht="12.75">
      <c r="E339" s="463"/>
      <c r="F339" s="464"/>
    </row>
    <row r="340" spans="5:6" s="447" customFormat="1" ht="12.75">
      <c r="E340" s="463"/>
      <c r="F340" s="464"/>
    </row>
    <row r="341" spans="5:6" s="447" customFormat="1" ht="12.75">
      <c r="E341" s="463"/>
      <c r="F341" s="464"/>
    </row>
    <row r="342" spans="5:6" s="447" customFormat="1" ht="12.75">
      <c r="E342" s="463"/>
      <c r="F342" s="464"/>
    </row>
    <row r="343" spans="5:6" s="447" customFormat="1" ht="12.75">
      <c r="E343" s="463"/>
      <c r="F343" s="464"/>
    </row>
    <row r="344" spans="5:6" s="447" customFormat="1" ht="12.75">
      <c r="E344" s="463"/>
      <c r="F344" s="464"/>
    </row>
    <row r="345" spans="5:6" s="447" customFormat="1" ht="12.75">
      <c r="E345" s="463"/>
      <c r="F345" s="464"/>
    </row>
    <row r="346" spans="5:6" s="447" customFormat="1" ht="12.75">
      <c r="E346" s="463"/>
      <c r="F346" s="464"/>
    </row>
    <row r="347" spans="5:6" s="447" customFormat="1" ht="12.75">
      <c r="E347" s="463"/>
      <c r="F347" s="464"/>
    </row>
    <row r="348" spans="5:6" s="447" customFormat="1" ht="12.75">
      <c r="E348" s="463"/>
      <c r="F348" s="464"/>
    </row>
    <row r="349" spans="5:6" s="447" customFormat="1" ht="12.75">
      <c r="E349" s="463"/>
      <c r="F349" s="464"/>
    </row>
    <row r="350" spans="5:6" s="447" customFormat="1" ht="12.75">
      <c r="E350" s="463"/>
      <c r="F350" s="464"/>
    </row>
    <row r="351" spans="5:6" s="447" customFormat="1" ht="12.75">
      <c r="E351" s="463"/>
      <c r="F351" s="464"/>
    </row>
    <row r="352" spans="5:6" s="447" customFormat="1" ht="12.75">
      <c r="E352" s="463"/>
      <c r="F352" s="464"/>
    </row>
    <row r="353" spans="5:6" s="447" customFormat="1" ht="12.75">
      <c r="E353" s="463"/>
      <c r="F353" s="464"/>
    </row>
    <row r="354" spans="5:6" s="447" customFormat="1" ht="12.75">
      <c r="E354" s="463"/>
      <c r="F354" s="464"/>
    </row>
    <row r="355" spans="5:6" s="447" customFormat="1" ht="12.75">
      <c r="E355" s="463"/>
      <c r="F355" s="464"/>
    </row>
    <row r="356" spans="5:6" s="447" customFormat="1" ht="12.75">
      <c r="E356" s="463"/>
      <c r="F356" s="464"/>
    </row>
    <row r="357" spans="5:6" s="447" customFormat="1" ht="12.75">
      <c r="E357" s="463"/>
      <c r="F357" s="464"/>
    </row>
    <row r="358" spans="5:6" s="447" customFormat="1" ht="12.75">
      <c r="E358" s="463"/>
      <c r="F358" s="464"/>
    </row>
    <row r="359" spans="5:6" s="447" customFormat="1" ht="12.75">
      <c r="E359" s="463"/>
      <c r="F359" s="464"/>
    </row>
    <row r="360" spans="5:6" s="447" customFormat="1" ht="12.75">
      <c r="E360" s="463"/>
      <c r="F360" s="464"/>
    </row>
    <row r="361" spans="5:6" s="447" customFormat="1" ht="12.75">
      <c r="E361" s="463"/>
      <c r="F361" s="464"/>
    </row>
    <row r="362" spans="5:6" s="447" customFormat="1" ht="12.75">
      <c r="E362" s="463"/>
      <c r="F362" s="464"/>
    </row>
    <row r="363" spans="5:6" s="447" customFormat="1" ht="12.75">
      <c r="E363" s="463"/>
      <c r="F363" s="464"/>
    </row>
    <row r="364" spans="5:6" s="447" customFormat="1" ht="12.75">
      <c r="E364" s="463"/>
      <c r="F364" s="464"/>
    </row>
    <row r="365" spans="5:6" s="447" customFormat="1" ht="12.75">
      <c r="E365" s="463"/>
      <c r="F365" s="464"/>
    </row>
    <row r="366" spans="5:6" s="447" customFormat="1" ht="12.75">
      <c r="E366" s="463"/>
      <c r="F366" s="464"/>
    </row>
    <row r="367" spans="5:6" s="447" customFormat="1" ht="12.75">
      <c r="E367" s="463"/>
      <c r="F367" s="464"/>
    </row>
    <row r="368" spans="5:6" s="447" customFormat="1" ht="12.75">
      <c r="E368" s="463"/>
      <c r="F368" s="464"/>
    </row>
    <row r="369" spans="5:6" s="447" customFormat="1" ht="12.75">
      <c r="E369" s="463"/>
      <c r="F369" s="464"/>
    </row>
    <row r="370" spans="5:6" s="447" customFormat="1" ht="12.75">
      <c r="E370" s="463"/>
      <c r="F370" s="464"/>
    </row>
    <row r="371" spans="5:6" s="447" customFormat="1" ht="12.75">
      <c r="E371" s="463"/>
      <c r="F371" s="464"/>
    </row>
    <row r="372" spans="5:6" s="447" customFormat="1" ht="12.75">
      <c r="E372" s="463"/>
      <c r="F372" s="464"/>
    </row>
    <row r="373" spans="5:6" s="447" customFormat="1" ht="12.75">
      <c r="E373" s="463"/>
      <c r="F373" s="464"/>
    </row>
    <row r="374" spans="5:6" s="447" customFormat="1" ht="12.75">
      <c r="E374" s="463"/>
      <c r="F374" s="464"/>
    </row>
    <row r="375" spans="5:6" s="447" customFormat="1" ht="12.75">
      <c r="E375" s="463"/>
      <c r="F375" s="464"/>
    </row>
    <row r="376" spans="5:6" s="447" customFormat="1" ht="12.75">
      <c r="E376" s="463"/>
      <c r="F376" s="464"/>
    </row>
    <row r="377" spans="5:6" s="447" customFormat="1" ht="12.75">
      <c r="E377" s="463"/>
      <c r="F377" s="464"/>
    </row>
    <row r="378" spans="5:6" s="447" customFormat="1" ht="12.75">
      <c r="E378" s="463"/>
      <c r="F378" s="464"/>
    </row>
    <row r="379" spans="5:6" s="447" customFormat="1" ht="12.75">
      <c r="E379" s="463"/>
      <c r="F379" s="464"/>
    </row>
    <row r="380" spans="5:6" s="447" customFormat="1" ht="12.75">
      <c r="E380" s="463"/>
      <c r="F380" s="464"/>
    </row>
    <row r="381" spans="5:6" s="447" customFormat="1" ht="12.75">
      <c r="E381" s="463"/>
      <c r="F381" s="464"/>
    </row>
    <row r="382" spans="5:6" s="447" customFormat="1" ht="12.75">
      <c r="E382" s="463"/>
      <c r="F382" s="464"/>
    </row>
    <row r="383" spans="5:6" s="447" customFormat="1" ht="12.75">
      <c r="E383" s="463"/>
      <c r="F383" s="464"/>
    </row>
    <row r="384" spans="5:6" s="447" customFormat="1" ht="12.75">
      <c r="E384" s="463"/>
      <c r="F384" s="464"/>
    </row>
    <row r="385" spans="5:6" s="447" customFormat="1" ht="12.75">
      <c r="E385" s="463"/>
      <c r="F385" s="464"/>
    </row>
    <row r="386" spans="5:6" s="447" customFormat="1" ht="12.75">
      <c r="E386" s="463"/>
      <c r="F386" s="464"/>
    </row>
    <row r="387" spans="5:6" s="447" customFormat="1" ht="12.75">
      <c r="E387" s="463"/>
      <c r="F387" s="464"/>
    </row>
    <row r="388" spans="5:6" s="447" customFormat="1" ht="12.75">
      <c r="E388" s="463"/>
      <c r="F388" s="464"/>
    </row>
    <row r="389" spans="5:6" s="447" customFormat="1" ht="12.75">
      <c r="E389" s="463"/>
      <c r="F389" s="464"/>
    </row>
    <row r="390" spans="5:6" s="447" customFormat="1" ht="12.75">
      <c r="E390" s="463"/>
      <c r="F390" s="464"/>
    </row>
    <row r="391" spans="5:6" s="447" customFormat="1" ht="12.75">
      <c r="E391" s="463"/>
      <c r="F391" s="464"/>
    </row>
    <row r="392" spans="5:6" s="447" customFormat="1" ht="12.75">
      <c r="E392" s="463"/>
      <c r="F392" s="464"/>
    </row>
    <row r="393" spans="5:6" s="447" customFormat="1" ht="12.75">
      <c r="E393" s="463"/>
      <c r="F393" s="464"/>
    </row>
    <row r="394" spans="5:6" s="447" customFormat="1" ht="12.75">
      <c r="E394" s="463"/>
      <c r="F394" s="464"/>
    </row>
    <row r="395" spans="5:6" s="447" customFormat="1" ht="12.75">
      <c r="E395" s="463"/>
      <c r="F395" s="464"/>
    </row>
    <row r="396" spans="5:6" s="447" customFormat="1" ht="12.75">
      <c r="E396" s="463"/>
      <c r="F396" s="464"/>
    </row>
    <row r="397" spans="5:6" s="447" customFormat="1" ht="12.75">
      <c r="E397" s="463"/>
      <c r="F397" s="464"/>
    </row>
    <row r="398" spans="5:6" s="447" customFormat="1" ht="12.75">
      <c r="E398" s="463"/>
      <c r="F398" s="464"/>
    </row>
    <row r="399" spans="5:6" s="447" customFormat="1" ht="12.75">
      <c r="E399" s="463"/>
      <c r="F399" s="464"/>
    </row>
    <row r="400" spans="5:6" s="447" customFormat="1" ht="12.75">
      <c r="E400" s="463"/>
      <c r="F400" s="464"/>
    </row>
    <row r="401" spans="5:6" s="447" customFormat="1" ht="12.75">
      <c r="E401" s="463"/>
      <c r="F401" s="464"/>
    </row>
    <row r="402" spans="5:6" s="447" customFormat="1" ht="12.75">
      <c r="E402" s="463"/>
      <c r="F402" s="464"/>
    </row>
    <row r="403" spans="5:6" s="447" customFormat="1" ht="12.75">
      <c r="E403" s="463"/>
      <c r="F403" s="464"/>
    </row>
    <row r="404" spans="5:6" s="447" customFormat="1" ht="12.75">
      <c r="E404" s="463"/>
      <c r="F404" s="464"/>
    </row>
    <row r="405" spans="5:6" s="447" customFormat="1" ht="12.75">
      <c r="E405" s="463"/>
      <c r="F405" s="464"/>
    </row>
    <row r="406" spans="5:6" s="447" customFormat="1" ht="12.75">
      <c r="E406" s="463"/>
      <c r="F406" s="464"/>
    </row>
    <row r="407" spans="5:6" s="447" customFormat="1" ht="12.75">
      <c r="E407" s="463"/>
      <c r="F407" s="464"/>
    </row>
    <row r="408" spans="5:6" s="447" customFormat="1" ht="12.75">
      <c r="E408" s="463"/>
      <c r="F408" s="464"/>
    </row>
    <row r="409" spans="5:6" s="447" customFormat="1" ht="12.75">
      <c r="E409" s="463"/>
      <c r="F409" s="464"/>
    </row>
    <row r="410" spans="5:6" s="447" customFormat="1" ht="12.75">
      <c r="E410" s="463"/>
      <c r="F410" s="464"/>
    </row>
    <row r="411" spans="5:6" s="447" customFormat="1" ht="12.75">
      <c r="E411" s="463"/>
      <c r="F411" s="464"/>
    </row>
    <row r="412" spans="5:6" s="447" customFormat="1" ht="12.75">
      <c r="E412" s="463"/>
      <c r="F412" s="464"/>
    </row>
    <row r="413" spans="5:6" s="447" customFormat="1" ht="12.75">
      <c r="E413" s="463"/>
      <c r="F413" s="464"/>
    </row>
    <row r="414" spans="5:6" s="447" customFormat="1" ht="12.75">
      <c r="E414" s="463"/>
      <c r="F414" s="464"/>
    </row>
    <row r="415" spans="5:6" s="447" customFormat="1" ht="12.75">
      <c r="E415" s="463"/>
      <c r="F415" s="464"/>
    </row>
    <row r="416" spans="5:6" s="447" customFormat="1" ht="12.75">
      <c r="E416" s="463"/>
      <c r="F416" s="464"/>
    </row>
    <row r="417" spans="5:6" s="447" customFormat="1" ht="12.75">
      <c r="E417" s="463"/>
      <c r="F417" s="464"/>
    </row>
    <row r="418" spans="5:6" s="447" customFormat="1" ht="12.75">
      <c r="E418" s="463"/>
      <c r="F418" s="464"/>
    </row>
    <row r="419" spans="5:6" s="447" customFormat="1" ht="12.75">
      <c r="E419" s="463"/>
      <c r="F419" s="464"/>
    </row>
    <row r="420" spans="5:6" s="447" customFormat="1" ht="12.75">
      <c r="E420" s="463"/>
      <c r="F420" s="464"/>
    </row>
    <row r="421" spans="5:6" s="447" customFormat="1" ht="12.75">
      <c r="E421" s="463"/>
      <c r="F421" s="464"/>
    </row>
    <row r="422" spans="5:6" s="447" customFormat="1" ht="12.75">
      <c r="E422" s="463"/>
      <c r="F422" s="464"/>
    </row>
    <row r="423" spans="5:6" s="447" customFormat="1" ht="12.75">
      <c r="E423" s="463"/>
      <c r="F423" s="464"/>
    </row>
    <row r="424" spans="5:6" s="447" customFormat="1" ht="12.75">
      <c r="E424" s="463"/>
      <c r="F424" s="464"/>
    </row>
    <row r="425" spans="5:6" s="447" customFormat="1" ht="12.75">
      <c r="E425" s="463"/>
      <c r="F425" s="464"/>
    </row>
    <row r="426" spans="5:6" s="447" customFormat="1" ht="12.75">
      <c r="E426" s="463"/>
      <c r="F426" s="464"/>
    </row>
    <row r="427" spans="5:6" s="447" customFormat="1" ht="12.75">
      <c r="E427" s="463"/>
      <c r="F427" s="464"/>
    </row>
    <row r="428" spans="5:6" s="447" customFormat="1" ht="12.75">
      <c r="E428" s="463"/>
      <c r="F428" s="464"/>
    </row>
    <row r="429" spans="5:6" s="447" customFormat="1" ht="12.75">
      <c r="E429" s="463"/>
      <c r="F429" s="464"/>
    </row>
    <row r="430" spans="5:6" s="447" customFormat="1" ht="12.75">
      <c r="E430" s="463"/>
      <c r="F430" s="464"/>
    </row>
    <row r="431" spans="5:6" s="447" customFormat="1" ht="12.75">
      <c r="E431" s="463"/>
      <c r="F431" s="464"/>
    </row>
    <row r="432" spans="5:6" s="447" customFormat="1" ht="12.75">
      <c r="E432" s="463"/>
      <c r="F432" s="464"/>
    </row>
    <row r="433" spans="5:6" s="447" customFormat="1" ht="12.75">
      <c r="E433" s="463"/>
      <c r="F433" s="464"/>
    </row>
    <row r="434" spans="5:6" s="447" customFormat="1" ht="12.75">
      <c r="E434" s="463"/>
      <c r="F434" s="464"/>
    </row>
    <row r="435" spans="5:6" s="447" customFormat="1" ht="12.75">
      <c r="E435" s="463"/>
      <c r="F435" s="464"/>
    </row>
    <row r="436" spans="5:6" s="447" customFormat="1" ht="12.75">
      <c r="E436" s="463"/>
      <c r="F436" s="464"/>
    </row>
    <row r="437" spans="5:6" s="447" customFormat="1" ht="12.75">
      <c r="E437" s="463"/>
      <c r="F437" s="464"/>
    </row>
    <row r="438" spans="5:6" s="447" customFormat="1" ht="12.75">
      <c r="E438" s="463"/>
      <c r="F438" s="464"/>
    </row>
    <row r="439" spans="5:6" s="447" customFormat="1" ht="12.75">
      <c r="E439" s="463"/>
      <c r="F439" s="464"/>
    </row>
    <row r="440" spans="5:6" s="447" customFormat="1" ht="12.75">
      <c r="E440" s="463"/>
      <c r="F440" s="464"/>
    </row>
    <row r="441" spans="5:6" s="447" customFormat="1" ht="12.75">
      <c r="E441" s="463"/>
      <c r="F441" s="464"/>
    </row>
    <row r="442" spans="5:6" s="447" customFormat="1" ht="12.75">
      <c r="E442" s="463"/>
      <c r="F442" s="464"/>
    </row>
    <row r="443" spans="5:6" s="447" customFormat="1" ht="12.75">
      <c r="E443" s="463"/>
      <c r="F443" s="464"/>
    </row>
    <row r="444" spans="5:6" s="447" customFormat="1" ht="12.75">
      <c r="E444" s="463"/>
      <c r="F444" s="464"/>
    </row>
    <row r="445" spans="5:6" s="447" customFormat="1" ht="12.75">
      <c r="E445" s="463"/>
      <c r="F445" s="464"/>
    </row>
    <row r="446" spans="5:6" s="447" customFormat="1" ht="12.75">
      <c r="E446" s="463"/>
      <c r="F446" s="464"/>
    </row>
    <row r="447" spans="5:6" s="447" customFormat="1" ht="12.75">
      <c r="E447" s="463"/>
      <c r="F447" s="464"/>
    </row>
    <row r="448" spans="5:6" s="447" customFormat="1" ht="12.75">
      <c r="E448" s="463"/>
      <c r="F448" s="464"/>
    </row>
    <row r="449" spans="5:6" s="447" customFormat="1" ht="12.75">
      <c r="E449" s="463"/>
      <c r="F449" s="464"/>
    </row>
    <row r="450" spans="5:6" s="447" customFormat="1" ht="12.75">
      <c r="E450" s="463"/>
      <c r="F450" s="464"/>
    </row>
    <row r="451" spans="5:6" s="447" customFormat="1" ht="12.75">
      <c r="E451" s="463"/>
      <c r="F451" s="464"/>
    </row>
    <row r="452" spans="5:6" s="447" customFormat="1" ht="12.75">
      <c r="E452" s="463"/>
      <c r="F452" s="464"/>
    </row>
    <row r="453" spans="5:6" s="447" customFormat="1" ht="12.75">
      <c r="E453" s="463"/>
      <c r="F453" s="464"/>
    </row>
    <row r="454" spans="5:6" s="447" customFormat="1" ht="12.75">
      <c r="E454" s="463"/>
      <c r="F454" s="464"/>
    </row>
    <row r="455" spans="5:6" s="447" customFormat="1" ht="12.75">
      <c r="E455" s="463"/>
      <c r="F455" s="464"/>
    </row>
    <row r="456" spans="5:6" s="447" customFormat="1" ht="12.75">
      <c r="E456" s="463"/>
      <c r="F456" s="464"/>
    </row>
    <row r="457" spans="5:6" s="447" customFormat="1" ht="12.75">
      <c r="E457" s="463"/>
      <c r="F457" s="464"/>
    </row>
    <row r="458" spans="5:6" s="447" customFormat="1" ht="12.75">
      <c r="E458" s="463"/>
      <c r="F458" s="464"/>
    </row>
    <row r="459" spans="5:6" s="447" customFormat="1" ht="12.75">
      <c r="E459" s="463"/>
      <c r="F459" s="464"/>
    </row>
    <row r="460" spans="5:6" s="447" customFormat="1" ht="12.75">
      <c r="E460" s="463"/>
      <c r="F460" s="464"/>
    </row>
    <row r="461" spans="5:6" s="447" customFormat="1" ht="12.75">
      <c r="E461" s="463"/>
      <c r="F461" s="464"/>
    </row>
    <row r="462" spans="5:6" s="447" customFormat="1" ht="12.75">
      <c r="E462" s="463"/>
      <c r="F462" s="464"/>
    </row>
    <row r="463" spans="5:6" s="447" customFormat="1" ht="12.75">
      <c r="E463" s="463"/>
      <c r="F463" s="464"/>
    </row>
    <row r="464" spans="5:6" s="447" customFormat="1" ht="12.75">
      <c r="E464" s="463"/>
      <c r="F464" s="464"/>
    </row>
    <row r="465" spans="5:6" s="447" customFormat="1" ht="12.75">
      <c r="E465" s="463"/>
      <c r="F465" s="464"/>
    </row>
    <row r="466" spans="5:6" s="447" customFormat="1" ht="12.75">
      <c r="E466" s="463"/>
      <c r="F466" s="464"/>
    </row>
    <row r="467" spans="5:6" s="447" customFormat="1" ht="12.75">
      <c r="E467" s="463"/>
      <c r="F467" s="464"/>
    </row>
    <row r="468" spans="5:6" s="447" customFormat="1" ht="12.75">
      <c r="E468" s="463"/>
      <c r="F468" s="464"/>
    </row>
    <row r="469" spans="5:6" s="447" customFormat="1" ht="12.75">
      <c r="E469" s="463"/>
      <c r="F469" s="464"/>
    </row>
    <row r="470" spans="5:6" s="447" customFormat="1" ht="12.75">
      <c r="E470" s="463"/>
      <c r="F470" s="464"/>
    </row>
    <row r="471" spans="5:6" s="447" customFormat="1" ht="12.75">
      <c r="E471" s="463"/>
      <c r="F471" s="464"/>
    </row>
    <row r="472" spans="5:6" s="447" customFormat="1" ht="12.75">
      <c r="E472" s="463"/>
      <c r="F472" s="464"/>
    </row>
    <row r="473" spans="5:6" s="447" customFormat="1" ht="12.75">
      <c r="E473" s="463"/>
      <c r="F473" s="464"/>
    </row>
    <row r="474" spans="5:6" s="447" customFormat="1" ht="12.75">
      <c r="E474" s="463"/>
      <c r="F474" s="464"/>
    </row>
    <row r="475" spans="5:6" s="447" customFormat="1" ht="12.75">
      <c r="E475" s="463"/>
      <c r="F475" s="464"/>
    </row>
    <row r="476" spans="5:6" s="447" customFormat="1" ht="12.75">
      <c r="E476" s="463"/>
      <c r="F476" s="464"/>
    </row>
    <row r="477" spans="5:6" s="447" customFormat="1" ht="12.75">
      <c r="E477" s="463"/>
      <c r="F477" s="464"/>
    </row>
    <row r="478" spans="5:6" s="447" customFormat="1" ht="12.75">
      <c r="E478" s="463"/>
      <c r="F478" s="464"/>
    </row>
    <row r="479" spans="5:6" s="447" customFormat="1" ht="12.75">
      <c r="E479" s="463"/>
      <c r="F479" s="464"/>
    </row>
    <row r="480" spans="5:6" s="447" customFormat="1" ht="12.75">
      <c r="E480" s="463"/>
      <c r="F480" s="464"/>
    </row>
    <row r="481" spans="5:6" s="447" customFormat="1" ht="12.75">
      <c r="E481" s="463"/>
      <c r="F481" s="464"/>
    </row>
    <row r="482" spans="5:6" s="447" customFormat="1" ht="12.75">
      <c r="E482" s="463"/>
      <c r="F482" s="464"/>
    </row>
    <row r="483" spans="5:6" s="447" customFormat="1" ht="12.75">
      <c r="E483" s="463"/>
      <c r="F483" s="464"/>
    </row>
    <row r="484" spans="5:6" s="447" customFormat="1" ht="12.75">
      <c r="E484" s="463"/>
      <c r="F484" s="464"/>
    </row>
    <row r="485" spans="5:6" s="447" customFormat="1" ht="12.75">
      <c r="E485" s="463"/>
      <c r="F485" s="464"/>
    </row>
    <row r="486" spans="5:6" s="447" customFormat="1" ht="12.75">
      <c r="E486" s="463"/>
      <c r="F486" s="464"/>
    </row>
    <row r="487" spans="5:6" s="447" customFormat="1" ht="12.75">
      <c r="E487" s="463"/>
      <c r="F487" s="464"/>
    </row>
    <row r="488" spans="5:6" s="447" customFormat="1" ht="12.75">
      <c r="E488" s="463"/>
      <c r="F488" s="464"/>
    </row>
    <row r="489" spans="5:6" s="447" customFormat="1" ht="12.75">
      <c r="E489" s="463"/>
      <c r="F489" s="464"/>
    </row>
    <row r="490" spans="5:6" s="447" customFormat="1" ht="12.75">
      <c r="E490" s="463"/>
      <c r="F490" s="464"/>
    </row>
    <row r="491" spans="5:6" s="447" customFormat="1" ht="12.75">
      <c r="E491" s="463"/>
      <c r="F491" s="464"/>
    </row>
    <row r="492" spans="5:6" s="447" customFormat="1" ht="12.75">
      <c r="E492" s="463"/>
      <c r="F492" s="464"/>
    </row>
    <row r="493" spans="5:6" s="447" customFormat="1" ht="12.75">
      <c r="E493" s="463"/>
      <c r="F493" s="464"/>
    </row>
    <row r="494" spans="5:6" s="447" customFormat="1" ht="12.75">
      <c r="E494" s="463"/>
      <c r="F494" s="464"/>
    </row>
    <row r="495" spans="5:6" s="447" customFormat="1" ht="12.75">
      <c r="E495" s="463"/>
      <c r="F495" s="464"/>
    </row>
    <row r="496" spans="5:6" s="447" customFormat="1" ht="12.75">
      <c r="E496" s="463"/>
      <c r="F496" s="464"/>
    </row>
    <row r="497" spans="5:6" s="447" customFormat="1" ht="12.75">
      <c r="E497" s="463"/>
      <c r="F497" s="464"/>
    </row>
    <row r="498" spans="5:6" s="447" customFormat="1" ht="12.75">
      <c r="E498" s="463"/>
      <c r="F498" s="464"/>
    </row>
    <row r="499" spans="5:6" s="447" customFormat="1" ht="12.75">
      <c r="E499" s="463"/>
      <c r="F499" s="464"/>
    </row>
    <row r="500" spans="5:6" s="447" customFormat="1" ht="12.75">
      <c r="E500" s="463"/>
      <c r="F500" s="464"/>
    </row>
    <row r="501" spans="5:6" s="447" customFormat="1" ht="12.75">
      <c r="E501" s="463"/>
      <c r="F501" s="464"/>
    </row>
    <row r="502" spans="5:6" s="447" customFormat="1" ht="12.75">
      <c r="E502" s="463"/>
      <c r="F502" s="464"/>
    </row>
    <row r="503" spans="5:6" s="447" customFormat="1" ht="12.75">
      <c r="E503" s="463"/>
      <c r="F503" s="464"/>
    </row>
    <row r="504" spans="5:6" s="447" customFormat="1" ht="12.75">
      <c r="E504" s="463"/>
      <c r="F504" s="464"/>
    </row>
    <row r="505" spans="5:6" s="447" customFormat="1" ht="12.75">
      <c r="E505" s="463"/>
      <c r="F505" s="464"/>
    </row>
    <row r="506" spans="5:6" s="447" customFormat="1" ht="12.75">
      <c r="E506" s="463"/>
      <c r="F506" s="464"/>
    </row>
    <row r="507" spans="5:6" s="447" customFormat="1" ht="12.75">
      <c r="E507" s="463"/>
      <c r="F507" s="464"/>
    </row>
    <row r="508" spans="5:6" s="447" customFormat="1" ht="12.75">
      <c r="E508" s="463"/>
      <c r="F508" s="464"/>
    </row>
    <row r="509" spans="5:6" s="447" customFormat="1" ht="12.75">
      <c r="E509" s="463"/>
      <c r="F509" s="464"/>
    </row>
    <row r="510" spans="5:6" s="447" customFormat="1" ht="12.75">
      <c r="E510" s="463"/>
      <c r="F510" s="464"/>
    </row>
    <row r="511" spans="5:6" s="447" customFormat="1" ht="12.75">
      <c r="E511" s="463"/>
      <c r="F511" s="464"/>
    </row>
    <row r="512" spans="5:6" s="447" customFormat="1" ht="12.75">
      <c r="E512" s="463"/>
      <c r="F512" s="464"/>
    </row>
    <row r="513" spans="5:6" s="447" customFormat="1" ht="12.75">
      <c r="E513" s="463"/>
      <c r="F513" s="464"/>
    </row>
    <row r="514" spans="5:6" s="447" customFormat="1" ht="12.75">
      <c r="E514" s="463"/>
      <c r="F514" s="464"/>
    </row>
    <row r="515" spans="5:6" s="447" customFormat="1" ht="12.75">
      <c r="E515" s="463"/>
      <c r="F515" s="464"/>
    </row>
    <row r="516" spans="5:6" s="447" customFormat="1" ht="12.75">
      <c r="E516" s="463"/>
      <c r="F516" s="464"/>
    </row>
    <row r="517" spans="5:6" s="447" customFormat="1" ht="12.75">
      <c r="E517" s="463"/>
      <c r="F517" s="464"/>
    </row>
    <row r="518" spans="5:6" s="447" customFormat="1" ht="12.75">
      <c r="E518" s="463"/>
      <c r="F518" s="464"/>
    </row>
    <row r="519" spans="5:6" s="447" customFormat="1" ht="12.75">
      <c r="E519" s="463"/>
      <c r="F519" s="464"/>
    </row>
    <row r="520" spans="5:6" s="447" customFormat="1" ht="12.75">
      <c r="E520" s="463"/>
      <c r="F520" s="464"/>
    </row>
    <row r="521" spans="5:6" s="447" customFormat="1" ht="12.75">
      <c r="E521" s="463"/>
      <c r="F521" s="464"/>
    </row>
    <row r="522" spans="5:6" s="447" customFormat="1" ht="12.75">
      <c r="E522" s="463"/>
      <c r="F522" s="464"/>
    </row>
    <row r="523" spans="5:6" s="447" customFormat="1" ht="12.75">
      <c r="E523" s="463"/>
      <c r="F523" s="464"/>
    </row>
    <row r="524" spans="5:6" s="447" customFormat="1" ht="12.75">
      <c r="E524" s="463"/>
      <c r="F524" s="464"/>
    </row>
    <row r="525" spans="5:6" s="447" customFormat="1" ht="12.75">
      <c r="E525" s="463"/>
      <c r="F525" s="464"/>
    </row>
    <row r="526" spans="5:6" s="447" customFormat="1" ht="12.75">
      <c r="E526" s="463"/>
      <c r="F526" s="464"/>
    </row>
    <row r="527" spans="5:6" s="447" customFormat="1" ht="12.75">
      <c r="E527" s="463"/>
      <c r="F527" s="464"/>
    </row>
    <row r="528" spans="5:6" s="447" customFormat="1" ht="12.75">
      <c r="E528" s="463"/>
      <c r="F528" s="464"/>
    </row>
    <row r="529" spans="5:6" s="447" customFormat="1" ht="12.75">
      <c r="E529" s="463"/>
      <c r="F529" s="464"/>
    </row>
    <row r="530" spans="5:6" s="447" customFormat="1" ht="12.75">
      <c r="E530" s="463"/>
      <c r="F530" s="464"/>
    </row>
    <row r="531" spans="5:6" s="447" customFormat="1" ht="12.75">
      <c r="E531" s="463"/>
      <c r="F531" s="464"/>
    </row>
    <row r="532" spans="5:6" s="447" customFormat="1" ht="12.75">
      <c r="E532" s="463"/>
      <c r="F532" s="464"/>
    </row>
    <row r="533" spans="5:6" s="447" customFormat="1" ht="12.75">
      <c r="E533" s="463"/>
      <c r="F533" s="464"/>
    </row>
    <row r="534" spans="5:6" s="447" customFormat="1" ht="12.75">
      <c r="E534" s="463"/>
      <c r="F534" s="464"/>
    </row>
    <row r="535" spans="5:6" s="447" customFormat="1" ht="12.75">
      <c r="E535" s="463"/>
      <c r="F535" s="464"/>
    </row>
    <row r="536" spans="5:6" s="447" customFormat="1" ht="12.75">
      <c r="E536" s="463"/>
      <c r="F536" s="464"/>
    </row>
    <row r="537" spans="5:6" s="447" customFormat="1" ht="12.75">
      <c r="E537" s="463"/>
      <c r="F537" s="464"/>
    </row>
    <row r="538" spans="5:6" s="447" customFormat="1" ht="12.75">
      <c r="E538" s="463"/>
      <c r="F538" s="464"/>
    </row>
    <row r="539" spans="5:6" s="447" customFormat="1" ht="12.75">
      <c r="E539" s="463"/>
      <c r="F539" s="464"/>
    </row>
    <row r="540" spans="5:6" s="447" customFormat="1" ht="12.75">
      <c r="E540" s="463"/>
      <c r="F540" s="464"/>
    </row>
    <row r="541" spans="5:6" s="447" customFormat="1" ht="12.75">
      <c r="E541" s="463"/>
      <c r="F541" s="464"/>
    </row>
    <row r="542" spans="5:6" s="447" customFormat="1" ht="12.75">
      <c r="E542" s="463"/>
      <c r="F542" s="464"/>
    </row>
    <row r="543" spans="5:6" s="447" customFormat="1" ht="12.75">
      <c r="E543" s="463"/>
      <c r="F543" s="464"/>
    </row>
    <row r="544" spans="5:6" s="447" customFormat="1" ht="12.75">
      <c r="E544" s="463"/>
      <c r="F544" s="464"/>
    </row>
    <row r="545" spans="5:6" s="447" customFormat="1" ht="12.75">
      <c r="E545" s="463"/>
      <c r="F545" s="464"/>
    </row>
    <row r="546" spans="2:6" s="447" customFormat="1" ht="12.75">
      <c r="B546" s="475"/>
      <c r="C546" s="475"/>
      <c r="D546" s="475"/>
      <c r="E546" s="476"/>
      <c r="F546" s="477"/>
    </row>
    <row r="547" spans="2:6" s="447" customFormat="1" ht="12.75">
      <c r="B547" s="475"/>
      <c r="C547" s="475"/>
      <c r="D547" s="475"/>
      <c r="E547" s="476"/>
      <c r="F547" s="477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300" verticalDpi="300" orientation="portrait" paperSize="9" scale="80" r:id="rId1"/>
  <headerFooter alignWithMargins="0">
    <oddHeader>&amp;L                     &amp;R      
</oddHeader>
  </headerFooter>
  <ignoredErrors>
    <ignoredError sqref="C11" unlockedFormula="1"/>
    <ignoredError sqref="C16:E16 C33:E33" formulaRange="1"/>
    <ignoredError sqref="D11:E1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tabColor theme="0"/>
  </sheetPr>
  <dimension ref="A2:H564"/>
  <sheetViews>
    <sheetView showGridLines="0" tabSelected="1" zoomScalePageLayoutView="0" workbookViewId="0" topLeftCell="A1">
      <selection activeCell="G1" sqref="G1:G65536"/>
    </sheetView>
  </sheetViews>
  <sheetFormatPr defaultColWidth="10.7109375" defaultRowHeight="12.75"/>
  <cols>
    <col min="1" max="1" width="6.140625" style="475" customWidth="1"/>
    <col min="2" max="2" width="54.28125" style="475" customWidth="1"/>
    <col min="3" max="3" width="18.140625" style="475" customWidth="1"/>
    <col min="4" max="4" width="17.421875" style="475" customWidth="1"/>
    <col min="5" max="5" width="18.140625" style="475" customWidth="1"/>
    <col min="6" max="6" width="2.421875" style="478" customWidth="1"/>
    <col min="7" max="7" width="0" style="475" hidden="1" customWidth="1"/>
    <col min="8" max="8" width="11.7109375" style="475" bestFit="1" customWidth="1"/>
    <col min="9" max="16384" width="10.7109375" style="475" customWidth="1"/>
  </cols>
  <sheetData>
    <row r="1" ht="27" customHeight="1"/>
    <row r="2" spans="2:6" s="447" customFormat="1" ht="49.5" customHeight="1">
      <c r="B2" s="1056" t="s">
        <v>131</v>
      </c>
      <c r="C2" s="1057"/>
      <c r="D2" s="1058"/>
      <c r="E2" s="446">
        <f>CPYG!E2</f>
        <v>2017</v>
      </c>
      <c r="F2" s="479"/>
    </row>
    <row r="3" spans="2:6" s="447" customFormat="1" ht="25.5" customHeight="1">
      <c r="B3" s="1064" t="str">
        <f>CPYG!B3</f>
        <v>ENTIDAD: INSTITUTO TECNOLOGICO Y DE ENERGIAS RENOVABLES S.A.</v>
      </c>
      <c r="C3" s="1065"/>
      <c r="D3" s="1065"/>
      <c r="E3" s="446" t="s">
        <v>133</v>
      </c>
      <c r="F3" s="389"/>
    </row>
    <row r="4" spans="2:6" s="447" customFormat="1" ht="24.75" customHeight="1">
      <c r="B4" s="1063" t="s">
        <v>216</v>
      </c>
      <c r="C4" s="1063"/>
      <c r="D4" s="1063"/>
      <c r="E4" s="1063"/>
      <c r="F4" s="448"/>
    </row>
    <row r="5" spans="2:6" s="447" customFormat="1" ht="40.5" customHeight="1">
      <c r="B5" s="449" t="s">
        <v>431</v>
      </c>
      <c r="C5" s="229" t="s">
        <v>497</v>
      </c>
      <c r="D5" s="480" t="s">
        <v>505</v>
      </c>
      <c r="E5" s="480" t="s">
        <v>495</v>
      </c>
      <c r="F5" s="481"/>
    </row>
    <row r="6" spans="2:6" s="447" customFormat="1" ht="22.5" customHeight="1">
      <c r="B6" s="482" t="s">
        <v>172</v>
      </c>
      <c r="C6" s="526">
        <f>C7+C23+C27</f>
        <v>97361772.64</v>
      </c>
      <c r="D6" s="526">
        <f>D7+D23+D27</f>
        <v>112538899.19999999</v>
      </c>
      <c r="E6" s="526">
        <f>E7+E23+E27</f>
        <v>116140586.83</v>
      </c>
      <c r="F6" s="454"/>
    </row>
    <row r="7" spans="2:6" s="447" customFormat="1" ht="19.5" customHeight="1">
      <c r="B7" s="483" t="s">
        <v>173</v>
      </c>
      <c r="C7" s="563">
        <f>+C8+C11+C12+C15+C16+C19+C20+C21+C22</f>
        <v>95114042.03</v>
      </c>
      <c r="D7" s="563">
        <f>+D8+D11+D12+D15+D16+D19+D20+D21+D22</f>
        <v>102981809.64999999</v>
      </c>
      <c r="E7" s="563">
        <f>+E8+E11+E12+E15+E16+E19+E20+E21+E22</f>
        <v>106516918.3</v>
      </c>
      <c r="F7" s="473"/>
    </row>
    <row r="8" spans="2:6" s="447" customFormat="1" ht="19.5" customHeight="1">
      <c r="B8" s="483" t="s">
        <v>174</v>
      </c>
      <c r="C8" s="564">
        <f>SUM(C9:C10)</f>
        <v>20816236</v>
      </c>
      <c r="D8" s="564">
        <f>SUM(D9:D10)</f>
        <v>26816139.2</v>
      </c>
      <c r="E8" s="564">
        <f>SUM(E9:E10)</f>
        <v>27816083</v>
      </c>
      <c r="F8" s="466"/>
    </row>
    <row r="9" spans="2:7" s="447" customFormat="1" ht="19.5" customHeight="1">
      <c r="B9" s="484" t="s">
        <v>36</v>
      </c>
      <c r="C9" s="558">
        <v>20816236</v>
      </c>
      <c r="D9" s="558">
        <v>26816139.2</v>
      </c>
      <c r="E9" s="558">
        <v>27816083</v>
      </c>
      <c r="F9" s="466"/>
      <c r="G9" s="457">
        <f>E9-D9</f>
        <v>999943.8000000007</v>
      </c>
    </row>
    <row r="10" spans="2:6" s="447" customFormat="1" ht="19.5" customHeight="1">
      <c r="B10" s="484" t="s">
        <v>37</v>
      </c>
      <c r="C10" s="558"/>
      <c r="D10" s="558"/>
      <c r="E10" s="558"/>
      <c r="F10" s="466"/>
    </row>
    <row r="11" spans="2:6" s="447" customFormat="1" ht="19.5" customHeight="1">
      <c r="B11" s="483" t="s">
        <v>134</v>
      </c>
      <c r="C11" s="558">
        <v>1608057.62</v>
      </c>
      <c r="D11" s="558">
        <v>1608057.62</v>
      </c>
      <c r="E11" s="558">
        <v>1608057.62</v>
      </c>
      <c r="F11" s="466"/>
    </row>
    <row r="12" spans="2:6" s="447" customFormat="1" ht="19.5" customHeight="1">
      <c r="B12" s="483" t="s">
        <v>175</v>
      </c>
      <c r="C12" s="564">
        <f>SUM(C13:C14)</f>
        <v>72943027.66</v>
      </c>
      <c r="D12" s="564">
        <f>SUM(D13:D14)</f>
        <v>74691910.44</v>
      </c>
      <c r="E12" s="564">
        <f>SUM(E13:E14)</f>
        <v>76559774.86</v>
      </c>
      <c r="F12" s="466"/>
    </row>
    <row r="13" spans="2:6" s="447" customFormat="1" ht="19.5" customHeight="1">
      <c r="B13" s="484" t="s">
        <v>38</v>
      </c>
      <c r="C13" s="558">
        <v>2904745.2</v>
      </c>
      <c r="D13" s="558">
        <v>3079633.48</v>
      </c>
      <c r="E13" s="558">
        <v>3402324.11</v>
      </c>
      <c r="F13" s="466"/>
    </row>
    <row r="14" spans="2:6" s="447" customFormat="1" ht="19.5" customHeight="1">
      <c r="B14" s="484" t="s">
        <v>39</v>
      </c>
      <c r="C14" s="558">
        <v>70038282.46</v>
      </c>
      <c r="D14" s="558">
        <v>71612276.96</v>
      </c>
      <c r="E14" s="558">
        <v>73157450.75</v>
      </c>
      <c r="F14" s="466"/>
    </row>
    <row r="15" spans="2:6" s="447" customFormat="1" ht="19.5" customHeight="1">
      <c r="B15" s="483" t="s">
        <v>40</v>
      </c>
      <c r="C15" s="558">
        <v>-2000000</v>
      </c>
      <c r="D15" s="558">
        <v>-2000000</v>
      </c>
      <c r="E15" s="558">
        <v>-2000000</v>
      </c>
      <c r="F15" s="466"/>
    </row>
    <row r="16" spans="2:6" s="447" customFormat="1" ht="19.5" customHeight="1">
      <c r="B16" s="483" t="s">
        <v>135</v>
      </c>
      <c r="C16" s="564">
        <f>SUM(C17:C18)</f>
        <v>-2162.03</v>
      </c>
      <c r="D16" s="564">
        <f>SUM(D17:D18)</f>
        <v>-2162.03</v>
      </c>
      <c r="E16" s="564">
        <f>SUM(E17:E18)</f>
        <v>-2162.03</v>
      </c>
      <c r="F16" s="466"/>
    </row>
    <row r="17" spans="2:6" s="447" customFormat="1" ht="19.5" customHeight="1">
      <c r="B17" s="484" t="s">
        <v>41</v>
      </c>
      <c r="C17" s="558"/>
      <c r="D17" s="558"/>
      <c r="E17" s="558"/>
      <c r="F17" s="466"/>
    </row>
    <row r="18" spans="2:6" s="447" customFormat="1" ht="19.5" customHeight="1">
      <c r="B18" s="484" t="s">
        <v>176</v>
      </c>
      <c r="C18" s="558">
        <v>-2162.03</v>
      </c>
      <c r="D18" s="559">
        <v>-2162.03</v>
      </c>
      <c r="E18" s="559">
        <v>-2162.03</v>
      </c>
      <c r="F18" s="466"/>
    </row>
    <row r="19" spans="2:6" s="447" customFormat="1" ht="19.5" customHeight="1">
      <c r="B19" s="483" t="s">
        <v>44</v>
      </c>
      <c r="C19" s="559"/>
      <c r="D19" s="559"/>
      <c r="E19" s="559"/>
      <c r="F19" s="466"/>
    </row>
    <row r="20" spans="2:7" s="447" customFormat="1" ht="19.5" customHeight="1">
      <c r="B20" s="483" t="s">
        <v>45</v>
      </c>
      <c r="C20" s="560">
        <f>CPYG!C94</f>
        <v>1748882.7799999996</v>
      </c>
      <c r="D20" s="561">
        <f>CPYG!D94</f>
        <v>1867864.419999998</v>
      </c>
      <c r="E20" s="561">
        <f>CPYG!E94</f>
        <v>2535164.8499999996</v>
      </c>
      <c r="F20" s="485"/>
      <c r="G20" s="457"/>
    </row>
    <row r="21" spans="2:6" s="447" customFormat="1" ht="19.5" customHeight="1">
      <c r="B21" s="483" t="s">
        <v>46</v>
      </c>
      <c r="C21" s="558"/>
      <c r="D21" s="558"/>
      <c r="E21" s="558"/>
      <c r="F21" s="466"/>
    </row>
    <row r="22" spans="2:6" s="447" customFormat="1" ht="19.5" customHeight="1">
      <c r="B22" s="483" t="s">
        <v>47</v>
      </c>
      <c r="C22" s="558"/>
      <c r="D22" s="558"/>
      <c r="E22" s="558"/>
      <c r="F22" s="466"/>
    </row>
    <row r="23" spans="2:6" s="447" customFormat="1" ht="19.5" customHeight="1">
      <c r="B23" s="483" t="s">
        <v>48</v>
      </c>
      <c r="C23" s="563">
        <f>SUM(C24:C26)</f>
        <v>0</v>
      </c>
      <c r="D23" s="563">
        <f>SUM(D24:D26)</f>
        <v>0</v>
      </c>
      <c r="E23" s="563">
        <f>SUM(E24:E26)</f>
        <v>0</v>
      </c>
      <c r="F23" s="473"/>
    </row>
    <row r="24" spans="2:6" s="447" customFormat="1" ht="19.5" customHeight="1">
      <c r="B24" s="483" t="s">
        <v>49</v>
      </c>
      <c r="C24" s="558"/>
      <c r="D24" s="558"/>
      <c r="E24" s="558"/>
      <c r="F24" s="466"/>
    </row>
    <row r="25" spans="2:6" s="447" customFormat="1" ht="19.5" customHeight="1">
      <c r="B25" s="483" t="s">
        <v>50</v>
      </c>
      <c r="C25" s="558"/>
      <c r="D25" s="558"/>
      <c r="E25" s="558"/>
      <c r="F25" s="466"/>
    </row>
    <row r="26" spans="2:6" s="447" customFormat="1" ht="19.5" customHeight="1">
      <c r="B26" s="483" t="s">
        <v>51</v>
      </c>
      <c r="C26" s="558"/>
      <c r="D26" s="559"/>
      <c r="E26" s="559"/>
      <c r="F26" s="466"/>
    </row>
    <row r="27" spans="1:8" s="447" customFormat="1" ht="19.5" customHeight="1">
      <c r="A27" s="458"/>
      <c r="B27" s="483" t="s">
        <v>52</v>
      </c>
      <c r="C27" s="558">
        <v>2247730.61</v>
      </c>
      <c r="D27" s="559">
        <v>9557089.55</v>
      </c>
      <c r="E27" s="559">
        <f>9609418.53+14250</f>
        <v>9623668.53</v>
      </c>
      <c r="F27" s="466"/>
      <c r="G27" s="457">
        <f>E27-D27</f>
        <v>66578.97999999858</v>
      </c>
      <c r="H27" s="457"/>
    </row>
    <row r="28" spans="2:6" s="447" customFormat="1" ht="19.5" customHeight="1">
      <c r="B28" s="482" t="s">
        <v>177</v>
      </c>
      <c r="C28" s="563">
        <f>C29+C33+C38+C39+C40+C41+C4+C42</f>
        <v>19833249.030000005</v>
      </c>
      <c r="D28" s="563">
        <f>D29+D33+D38+D39+D40+D41+D4+D42</f>
        <v>16694421.69</v>
      </c>
      <c r="E28" s="563">
        <f>E29+E33+E38+E39+E40+E41+E4+E42</f>
        <v>13109036.120000001</v>
      </c>
      <c r="F28" s="473"/>
    </row>
    <row r="29" spans="2:6" s="447" customFormat="1" ht="19.5" customHeight="1">
      <c r="B29" s="453" t="s">
        <v>53</v>
      </c>
      <c r="C29" s="565">
        <f>SUM(C30:C32)</f>
        <v>27363.26</v>
      </c>
      <c r="D29" s="565">
        <f>SUM(D30:D32)</f>
        <v>28563.26</v>
      </c>
      <c r="E29" s="565">
        <f>SUM(E30:E32)</f>
        <v>29763.26</v>
      </c>
      <c r="F29" s="466"/>
    </row>
    <row r="30" spans="2:6" s="447" customFormat="1" ht="19.5" customHeight="1">
      <c r="B30" s="456" t="s">
        <v>434</v>
      </c>
      <c r="C30" s="559"/>
      <c r="D30" s="559"/>
      <c r="E30" s="559"/>
      <c r="F30" s="466"/>
    </row>
    <row r="31" spans="2:6" s="447" customFormat="1" ht="28.5" customHeight="1">
      <c r="B31" s="486" t="s">
        <v>435</v>
      </c>
      <c r="C31" s="559"/>
      <c r="D31" s="559"/>
      <c r="E31" s="559"/>
      <c r="F31" s="466"/>
    </row>
    <row r="32" spans="2:6" s="447" customFormat="1" ht="19.5" customHeight="1">
      <c r="B32" s="456" t="s">
        <v>436</v>
      </c>
      <c r="C32" s="559">
        <v>27363.26</v>
      </c>
      <c r="D32" s="559">
        <v>28563.26</v>
      </c>
      <c r="E32" s="559">
        <v>29763.26</v>
      </c>
      <c r="F32" s="473"/>
    </row>
    <row r="33" spans="2:6" s="447" customFormat="1" ht="19.5" customHeight="1">
      <c r="B33" s="453" t="s">
        <v>54</v>
      </c>
      <c r="C33" s="565">
        <f>SUM(C34:C37)</f>
        <v>18763161.240000002</v>
      </c>
      <c r="D33" s="565">
        <f>SUM(D34:D37)</f>
        <v>13214229.29</v>
      </c>
      <c r="E33" s="565">
        <f>SUM(E34:E37)</f>
        <v>9632598.4</v>
      </c>
      <c r="F33" s="466"/>
    </row>
    <row r="34" spans="2:6" s="447" customFormat="1" ht="19.5" customHeight="1">
      <c r="B34" s="456" t="s">
        <v>56</v>
      </c>
      <c r="C34" s="562"/>
      <c r="D34" s="562"/>
      <c r="E34" s="562"/>
      <c r="F34" s="473"/>
    </row>
    <row r="35" spans="2:6" s="447" customFormat="1" ht="19.5" customHeight="1">
      <c r="B35" s="456" t="s">
        <v>67</v>
      </c>
      <c r="C35" s="559">
        <v>14150825.07</v>
      </c>
      <c r="D35" s="559">
        <v>10856920.68</v>
      </c>
      <c r="E35" s="559">
        <v>9468711.17</v>
      </c>
      <c r="F35" s="466"/>
    </row>
    <row r="36" spans="2:6" s="447" customFormat="1" ht="19.5" customHeight="1">
      <c r="B36" s="456" t="s">
        <v>57</v>
      </c>
      <c r="C36" s="559"/>
      <c r="D36" s="559"/>
      <c r="E36" s="559"/>
      <c r="F36" s="466"/>
    </row>
    <row r="37" spans="2:6" s="447" customFormat="1" ht="19.5" customHeight="1">
      <c r="B37" s="456" t="s">
        <v>437</v>
      </c>
      <c r="C37" s="559">
        <v>4612336.17</v>
      </c>
      <c r="D37" s="559">
        <v>2357308.61</v>
      </c>
      <c r="E37" s="559">
        <v>163887.23</v>
      </c>
      <c r="F37" s="466"/>
    </row>
    <row r="38" spans="2:6" s="447" customFormat="1" ht="19.5" customHeight="1">
      <c r="B38" s="453" t="s">
        <v>58</v>
      </c>
      <c r="C38" s="562"/>
      <c r="D38" s="562"/>
      <c r="E38" s="562"/>
      <c r="F38" s="466"/>
    </row>
    <row r="39" spans="1:6" s="447" customFormat="1" ht="19.5" customHeight="1">
      <c r="A39" s="458"/>
      <c r="B39" s="453" t="s">
        <v>59</v>
      </c>
      <c r="C39" s="562">
        <v>1042724.53</v>
      </c>
      <c r="D39" s="562">
        <v>3451629.14</v>
      </c>
      <c r="E39" s="562">
        <v>3446674.46</v>
      </c>
      <c r="F39" s="466"/>
    </row>
    <row r="40" spans="2:6" s="447" customFormat="1" ht="19.5" customHeight="1">
      <c r="B40" s="453" t="s">
        <v>60</v>
      </c>
      <c r="C40" s="562"/>
      <c r="D40" s="562"/>
      <c r="E40" s="562"/>
      <c r="F40" s="473"/>
    </row>
    <row r="41" spans="2:6" s="447" customFormat="1" ht="19.5" customHeight="1">
      <c r="B41" s="453" t="s">
        <v>438</v>
      </c>
      <c r="C41" s="562"/>
      <c r="D41" s="562"/>
      <c r="E41" s="562"/>
      <c r="F41" s="473"/>
    </row>
    <row r="42" spans="2:6" s="447" customFormat="1" ht="19.5" customHeight="1">
      <c r="B42" s="453" t="s">
        <v>439</v>
      </c>
      <c r="C42" s="562"/>
      <c r="D42" s="562"/>
      <c r="E42" s="562"/>
      <c r="F42" s="473"/>
    </row>
    <row r="43" spans="2:6" s="447" customFormat="1" ht="19.5" customHeight="1">
      <c r="B43" s="482" t="s">
        <v>129</v>
      </c>
      <c r="C43" s="565">
        <f>+C44+C45+C49+C54+C55+C58+C59</f>
        <v>17981851.01</v>
      </c>
      <c r="D43" s="565">
        <f>+D44+D45+D49+D54+D55+D58+D59</f>
        <v>9366102.850000001</v>
      </c>
      <c r="E43" s="565">
        <f>+E44+E45+E49+E54+E55+E58+E59</f>
        <v>5660163.69</v>
      </c>
      <c r="F43" s="473"/>
    </row>
    <row r="44" spans="2:6" s="447" customFormat="1" ht="30" customHeight="1">
      <c r="B44" s="487" t="s">
        <v>64</v>
      </c>
      <c r="C44" s="562"/>
      <c r="D44" s="562"/>
      <c r="E44" s="562"/>
      <c r="F44" s="473"/>
    </row>
    <row r="45" spans="2:6" s="447" customFormat="1" ht="19.5" customHeight="1">
      <c r="B45" s="453" t="s">
        <v>65</v>
      </c>
      <c r="C45" s="565">
        <f>+C46+C47+C48</f>
        <v>0</v>
      </c>
      <c r="D45" s="565">
        <f>+D46+D47+D48</f>
        <v>0</v>
      </c>
      <c r="E45" s="565">
        <f>+E46+E47+E48</f>
        <v>0</v>
      </c>
      <c r="F45" s="473"/>
    </row>
    <row r="46" spans="2:6" s="447" customFormat="1" ht="19.5" customHeight="1">
      <c r="B46" s="456" t="s">
        <v>434</v>
      </c>
      <c r="C46" s="562"/>
      <c r="D46" s="562"/>
      <c r="E46" s="562"/>
      <c r="F46" s="473"/>
    </row>
    <row r="47" spans="2:6" s="447" customFormat="1" ht="28.5" customHeight="1">
      <c r="B47" s="486" t="s">
        <v>435</v>
      </c>
      <c r="C47" s="562"/>
      <c r="D47" s="562"/>
      <c r="E47" s="562"/>
      <c r="F47" s="473"/>
    </row>
    <row r="48" spans="2:6" s="447" customFormat="1" ht="19.5" customHeight="1">
      <c r="B48" s="456" t="s">
        <v>436</v>
      </c>
      <c r="C48" s="562"/>
      <c r="D48" s="562"/>
      <c r="E48" s="562"/>
      <c r="F48" s="473"/>
    </row>
    <row r="49" spans="2:6" s="447" customFormat="1" ht="19.5" customHeight="1">
      <c r="B49" s="453" t="s">
        <v>66</v>
      </c>
      <c r="C49" s="565">
        <f>SUM(C50:C53)</f>
        <v>14068208.91</v>
      </c>
      <c r="D49" s="565">
        <f>SUM(D50:D53)</f>
        <v>5538840.03</v>
      </c>
      <c r="E49" s="565">
        <f>SUM(E50:E53)</f>
        <v>3742836.1900000004</v>
      </c>
      <c r="F49" s="466"/>
    </row>
    <row r="50" spans="2:6" s="447" customFormat="1" ht="19.5" customHeight="1">
      <c r="B50" s="456" t="s">
        <v>56</v>
      </c>
      <c r="C50" s="559"/>
      <c r="D50" s="559"/>
      <c r="E50" s="559"/>
      <c r="F50" s="466"/>
    </row>
    <row r="51" spans="2:5" s="447" customFormat="1" ht="19.5" customHeight="1">
      <c r="B51" s="456" t="s">
        <v>67</v>
      </c>
      <c r="C51" s="559">
        <v>5245121.49</v>
      </c>
      <c r="D51" s="559">
        <v>2122274.37</v>
      </c>
      <c r="E51" s="559">
        <v>1388209.51</v>
      </c>
    </row>
    <row r="52" spans="2:6" s="447" customFormat="1" ht="19.5" customHeight="1">
      <c r="B52" s="456" t="s">
        <v>57</v>
      </c>
      <c r="C52" s="562"/>
      <c r="D52" s="562"/>
      <c r="E52" s="562"/>
      <c r="F52" s="473"/>
    </row>
    <row r="53" spans="2:6" s="447" customFormat="1" ht="19.5" customHeight="1">
      <c r="B53" s="456" t="s">
        <v>440</v>
      </c>
      <c r="C53" s="559">
        <v>8823087.42</v>
      </c>
      <c r="D53" s="559">
        <v>3416565.66</v>
      </c>
      <c r="E53" s="559">
        <v>2354626.68</v>
      </c>
      <c r="F53" s="473"/>
    </row>
    <row r="54" spans="2:6" s="447" customFormat="1" ht="19.5" customHeight="1">
      <c r="B54" s="453" t="s">
        <v>68</v>
      </c>
      <c r="C54" s="562">
        <v>1593122.07</v>
      </c>
      <c r="D54" s="562">
        <v>947624.38</v>
      </c>
      <c r="E54" s="562">
        <v>418272.74</v>
      </c>
      <c r="F54" s="473"/>
    </row>
    <row r="55" spans="2:6" s="447" customFormat="1" ht="19.5" customHeight="1">
      <c r="B55" s="453" t="s">
        <v>69</v>
      </c>
      <c r="C55" s="565">
        <f>SUM(C56:C57)</f>
        <v>1970846.59</v>
      </c>
      <c r="D55" s="565">
        <f>SUM(D56:D57)</f>
        <v>2726753.8</v>
      </c>
      <c r="E55" s="565">
        <f>SUM(E56:E57)</f>
        <v>1433003.8</v>
      </c>
      <c r="F55" s="466"/>
    </row>
    <row r="56" spans="2:6" s="447" customFormat="1" ht="19.5" customHeight="1">
      <c r="B56" s="456" t="s">
        <v>70</v>
      </c>
      <c r="C56" s="559">
        <v>1992.97</v>
      </c>
      <c r="D56" s="559"/>
      <c r="E56" s="559"/>
      <c r="F56" s="466"/>
    </row>
    <row r="57" spans="2:6" s="447" customFormat="1" ht="19.5" customHeight="1">
      <c r="B57" s="456" t="s">
        <v>441</v>
      </c>
      <c r="C57" s="559">
        <v>1968853.62</v>
      </c>
      <c r="D57" s="559">
        <v>2726753.8</v>
      </c>
      <c r="E57" s="559">
        <v>1433003.8</v>
      </c>
      <c r="F57" s="466"/>
    </row>
    <row r="58" spans="1:6" s="447" customFormat="1" ht="19.5" customHeight="1">
      <c r="A58" s="458"/>
      <c r="B58" s="453" t="s">
        <v>91</v>
      </c>
      <c r="C58" s="562">
        <v>349673.44</v>
      </c>
      <c r="D58" s="562">
        <v>152884.64</v>
      </c>
      <c r="E58" s="562">
        <v>66050.96</v>
      </c>
      <c r="F58" s="473"/>
    </row>
    <row r="59" spans="1:6" s="447" customFormat="1" ht="19.5" customHeight="1">
      <c r="A59" s="458"/>
      <c r="B59" s="453" t="s">
        <v>442</v>
      </c>
      <c r="C59" s="562"/>
      <c r="D59" s="562"/>
      <c r="E59" s="562"/>
      <c r="F59" s="473"/>
    </row>
    <row r="60" spans="2:6" s="447" customFormat="1" ht="30" customHeight="1">
      <c r="B60" s="459" t="s">
        <v>130</v>
      </c>
      <c r="C60" s="566">
        <f>C43+C28+C6</f>
        <v>135176872.68</v>
      </c>
      <c r="D60" s="566">
        <f>D43+D28+D6</f>
        <v>138599423.73999998</v>
      </c>
      <c r="E60" s="566">
        <f>E43+E28+E6</f>
        <v>134909786.64</v>
      </c>
      <c r="F60" s="454"/>
    </row>
    <row r="61" spans="3:6" s="447" customFormat="1" ht="12.75">
      <c r="C61" s="457"/>
      <c r="D61" s="457"/>
      <c r="E61" s="457"/>
      <c r="F61" s="488"/>
    </row>
    <row r="62" spans="3:6" s="447" customFormat="1" ht="12.75">
      <c r="C62" s="457"/>
      <c r="D62" s="457"/>
      <c r="E62" s="457"/>
      <c r="F62" s="488"/>
    </row>
    <row r="63" spans="2:6" s="447" customFormat="1" ht="12.75" hidden="1">
      <c r="B63" s="462" t="s">
        <v>71</v>
      </c>
      <c r="C63" s="457"/>
      <c r="D63" s="457"/>
      <c r="E63" s="457"/>
      <c r="F63" s="488"/>
    </row>
    <row r="64" s="447" customFormat="1" ht="12.75">
      <c r="F64" s="458"/>
    </row>
    <row r="65" spans="3:6" s="447" customFormat="1" ht="12.75">
      <c r="C65" s="457"/>
      <c r="D65" s="457"/>
      <c r="E65" s="457"/>
      <c r="F65" s="488"/>
    </row>
    <row r="66" spans="3:6" s="447" customFormat="1" ht="12.75" hidden="1">
      <c r="C66" s="457"/>
      <c r="D66" s="457"/>
      <c r="E66" s="457"/>
      <c r="F66" s="488"/>
    </row>
    <row r="67" spans="2:6" s="447" customFormat="1" ht="12.75" hidden="1">
      <c r="B67" s="447" t="s">
        <v>92</v>
      </c>
      <c r="C67" s="457">
        <f>+ACTIVO!C43</f>
        <v>135176872.68</v>
      </c>
      <c r="D67" s="457">
        <f>+ACTIVO!D43</f>
        <v>138599423.74</v>
      </c>
      <c r="E67" s="457">
        <f>+ACTIVO!E43</f>
        <v>134909786.64000002</v>
      </c>
      <c r="F67" s="488"/>
    </row>
    <row r="68" spans="2:6" s="447" customFormat="1" ht="12.75" hidden="1">
      <c r="B68" s="458" t="s">
        <v>90</v>
      </c>
      <c r="C68" s="468">
        <f>+C60-C67</f>
        <v>0</v>
      </c>
      <c r="D68" s="468">
        <f>+D60-D67</f>
        <v>0</v>
      </c>
      <c r="E68" s="468">
        <f>+E60-E67</f>
        <v>0</v>
      </c>
      <c r="F68" s="466"/>
    </row>
    <row r="69" s="447" customFormat="1" ht="12.75" hidden="1">
      <c r="F69" s="458"/>
    </row>
    <row r="70" spans="5:6" s="447" customFormat="1" ht="12.75" hidden="1">
      <c r="E70" s="457"/>
      <c r="F70" s="488"/>
    </row>
    <row r="71" s="447" customFormat="1" ht="12.75">
      <c r="F71" s="458"/>
    </row>
    <row r="72" s="447" customFormat="1" ht="12.75">
      <c r="F72" s="458"/>
    </row>
    <row r="73" s="447" customFormat="1" ht="12.75">
      <c r="F73" s="458"/>
    </row>
    <row r="74" s="447" customFormat="1" ht="12.75">
      <c r="F74" s="458"/>
    </row>
    <row r="75" s="447" customFormat="1" ht="12.75">
      <c r="F75" s="458"/>
    </row>
    <row r="76" s="447" customFormat="1" ht="12.75">
      <c r="F76" s="458"/>
    </row>
    <row r="77" s="447" customFormat="1" ht="12.75">
      <c r="F77" s="458"/>
    </row>
    <row r="78" s="447" customFormat="1" ht="12.75">
      <c r="F78" s="458"/>
    </row>
    <row r="79" s="447" customFormat="1" ht="12.75">
      <c r="F79" s="458"/>
    </row>
    <row r="80" s="447" customFormat="1" ht="12.75">
      <c r="F80" s="458"/>
    </row>
    <row r="81" s="447" customFormat="1" ht="12.75">
      <c r="F81" s="458"/>
    </row>
    <row r="82" s="447" customFormat="1" ht="12.75">
      <c r="F82" s="458"/>
    </row>
    <row r="83" s="447" customFormat="1" ht="12.75">
      <c r="F83" s="458"/>
    </row>
    <row r="84" s="447" customFormat="1" ht="12.75">
      <c r="F84" s="458"/>
    </row>
    <row r="85" s="447" customFormat="1" ht="12.75">
      <c r="F85" s="458"/>
    </row>
    <row r="86" s="447" customFormat="1" ht="12.75">
      <c r="F86" s="458"/>
    </row>
    <row r="87" s="447" customFormat="1" ht="12.75">
      <c r="F87" s="458"/>
    </row>
    <row r="88" s="447" customFormat="1" ht="12.75">
      <c r="F88" s="458"/>
    </row>
    <row r="89" s="447" customFormat="1" ht="12.75">
      <c r="F89" s="458"/>
    </row>
    <row r="90" s="447" customFormat="1" ht="12.75">
      <c r="F90" s="458"/>
    </row>
    <row r="91" s="447" customFormat="1" ht="12.75">
      <c r="F91" s="458"/>
    </row>
    <row r="92" s="447" customFormat="1" ht="12.75">
      <c r="F92" s="458"/>
    </row>
    <row r="93" s="447" customFormat="1" ht="12.75">
      <c r="F93" s="458"/>
    </row>
    <row r="94" s="447" customFormat="1" ht="12.75">
      <c r="F94" s="458"/>
    </row>
    <row r="95" s="447" customFormat="1" ht="12.75">
      <c r="F95" s="458"/>
    </row>
    <row r="96" s="447" customFormat="1" ht="12.75">
      <c r="F96" s="458"/>
    </row>
    <row r="97" s="447" customFormat="1" ht="12.75">
      <c r="F97" s="458"/>
    </row>
    <row r="98" s="447" customFormat="1" ht="12.75">
      <c r="F98" s="458"/>
    </row>
    <row r="99" s="447" customFormat="1" ht="12.75">
      <c r="F99" s="458"/>
    </row>
    <row r="100" s="447" customFormat="1" ht="12.75">
      <c r="F100" s="458"/>
    </row>
    <row r="101" s="447" customFormat="1" ht="12.75">
      <c r="F101" s="458"/>
    </row>
    <row r="102" s="447" customFormat="1" ht="12.75">
      <c r="F102" s="458"/>
    </row>
    <row r="103" s="447" customFormat="1" ht="12.75">
      <c r="F103" s="458"/>
    </row>
    <row r="104" s="447" customFormat="1" ht="12.75">
      <c r="F104" s="458"/>
    </row>
    <row r="105" s="447" customFormat="1" ht="12.75">
      <c r="F105" s="458"/>
    </row>
    <row r="106" s="447" customFormat="1" ht="12.75">
      <c r="F106" s="458"/>
    </row>
    <row r="107" s="447" customFormat="1" ht="12.75">
      <c r="F107" s="458"/>
    </row>
    <row r="108" s="447" customFormat="1" ht="12.75">
      <c r="F108" s="458"/>
    </row>
    <row r="109" s="447" customFormat="1" ht="12.75">
      <c r="F109" s="458"/>
    </row>
    <row r="110" s="447" customFormat="1" ht="12.75">
      <c r="F110" s="458"/>
    </row>
    <row r="111" s="447" customFormat="1" ht="12.75">
      <c r="F111" s="458"/>
    </row>
    <row r="112" s="447" customFormat="1" ht="12.75">
      <c r="F112" s="458"/>
    </row>
    <row r="113" s="447" customFormat="1" ht="12.75">
      <c r="F113" s="458"/>
    </row>
    <row r="114" s="447" customFormat="1" ht="12.75">
      <c r="F114" s="458"/>
    </row>
    <row r="115" s="447" customFormat="1" ht="12.75">
      <c r="F115" s="458"/>
    </row>
    <row r="116" s="447" customFormat="1" ht="12.75">
      <c r="F116" s="458"/>
    </row>
    <row r="117" s="447" customFormat="1" ht="12.75">
      <c r="F117" s="458"/>
    </row>
    <row r="118" s="447" customFormat="1" ht="12.75">
      <c r="F118" s="458"/>
    </row>
    <row r="119" s="447" customFormat="1" ht="12.75">
      <c r="F119" s="458"/>
    </row>
    <row r="120" s="447" customFormat="1" ht="12.75">
      <c r="F120" s="458"/>
    </row>
    <row r="121" s="447" customFormat="1" ht="12.75">
      <c r="F121" s="458"/>
    </row>
    <row r="122" s="447" customFormat="1" ht="12.75">
      <c r="F122" s="458"/>
    </row>
    <row r="123" s="447" customFormat="1" ht="12.75">
      <c r="F123" s="458"/>
    </row>
    <row r="124" s="447" customFormat="1" ht="12.75">
      <c r="F124" s="458"/>
    </row>
    <row r="125" s="447" customFormat="1" ht="12.75">
      <c r="F125" s="458"/>
    </row>
    <row r="126" s="447" customFormat="1" ht="12.75">
      <c r="F126" s="458"/>
    </row>
    <row r="127" s="447" customFormat="1" ht="12.75">
      <c r="F127" s="458"/>
    </row>
    <row r="128" s="447" customFormat="1" ht="12.75">
      <c r="F128" s="458"/>
    </row>
    <row r="129" s="447" customFormat="1" ht="12.75">
      <c r="F129" s="458"/>
    </row>
    <row r="130" s="447" customFormat="1" ht="12.75">
      <c r="F130" s="458"/>
    </row>
    <row r="131" s="447" customFormat="1" ht="12.75">
      <c r="F131" s="458"/>
    </row>
    <row r="132" s="447" customFormat="1" ht="12.75">
      <c r="F132" s="458"/>
    </row>
    <row r="133" s="447" customFormat="1" ht="12.75">
      <c r="F133" s="458"/>
    </row>
    <row r="134" s="447" customFormat="1" ht="12.75">
      <c r="F134" s="458"/>
    </row>
    <row r="135" s="447" customFormat="1" ht="12.75">
      <c r="F135" s="458"/>
    </row>
    <row r="136" s="447" customFormat="1" ht="12.75">
      <c r="F136" s="458"/>
    </row>
    <row r="137" s="447" customFormat="1" ht="12.75">
      <c r="F137" s="458"/>
    </row>
    <row r="138" s="447" customFormat="1" ht="12.75">
      <c r="F138" s="458"/>
    </row>
    <row r="139" s="447" customFormat="1" ht="12.75">
      <c r="F139" s="458"/>
    </row>
    <row r="140" s="447" customFormat="1" ht="12.75">
      <c r="F140" s="458"/>
    </row>
    <row r="141" s="447" customFormat="1" ht="12.75">
      <c r="F141" s="458"/>
    </row>
    <row r="142" s="447" customFormat="1" ht="12.75">
      <c r="F142" s="458"/>
    </row>
    <row r="143" s="447" customFormat="1" ht="12.75">
      <c r="F143" s="458"/>
    </row>
    <row r="144" s="447" customFormat="1" ht="12.75">
      <c r="F144" s="458"/>
    </row>
    <row r="145" s="447" customFormat="1" ht="12.75">
      <c r="F145" s="458"/>
    </row>
    <row r="146" s="447" customFormat="1" ht="12.75">
      <c r="F146" s="458"/>
    </row>
    <row r="147" s="447" customFormat="1" ht="12.75">
      <c r="F147" s="458"/>
    </row>
    <row r="148" s="447" customFormat="1" ht="12.75">
      <c r="F148" s="458"/>
    </row>
    <row r="149" s="447" customFormat="1" ht="12.75">
      <c r="F149" s="458"/>
    </row>
    <row r="150" s="447" customFormat="1" ht="12.75">
      <c r="F150" s="458"/>
    </row>
    <row r="151" s="447" customFormat="1" ht="12.75">
      <c r="F151" s="458"/>
    </row>
    <row r="152" s="447" customFormat="1" ht="12.75">
      <c r="F152" s="458"/>
    </row>
    <row r="153" s="447" customFormat="1" ht="12.75">
      <c r="F153" s="458"/>
    </row>
    <row r="154" s="447" customFormat="1" ht="12.75">
      <c r="F154" s="458"/>
    </row>
    <row r="155" s="447" customFormat="1" ht="12.75">
      <c r="F155" s="458"/>
    </row>
    <row r="156" s="447" customFormat="1" ht="12.75">
      <c r="F156" s="458"/>
    </row>
    <row r="157" s="447" customFormat="1" ht="12.75">
      <c r="F157" s="458"/>
    </row>
    <row r="158" s="447" customFormat="1" ht="12.75">
      <c r="F158" s="458"/>
    </row>
    <row r="159" s="447" customFormat="1" ht="12.75">
      <c r="F159" s="458"/>
    </row>
    <row r="160" s="447" customFormat="1" ht="12.75">
      <c r="F160" s="458"/>
    </row>
    <row r="161" s="447" customFormat="1" ht="12.75">
      <c r="F161" s="458"/>
    </row>
    <row r="162" s="447" customFormat="1" ht="12.75">
      <c r="F162" s="458"/>
    </row>
    <row r="163" s="447" customFormat="1" ht="12.75">
      <c r="F163" s="458"/>
    </row>
    <row r="164" s="447" customFormat="1" ht="12.75">
      <c r="F164" s="458"/>
    </row>
    <row r="165" s="447" customFormat="1" ht="12.75">
      <c r="F165" s="458"/>
    </row>
    <row r="166" s="447" customFormat="1" ht="12.75">
      <c r="F166" s="458"/>
    </row>
    <row r="167" s="447" customFormat="1" ht="12.75">
      <c r="F167" s="458"/>
    </row>
    <row r="168" s="447" customFormat="1" ht="12.75">
      <c r="F168" s="458"/>
    </row>
    <row r="169" s="447" customFormat="1" ht="12.75">
      <c r="F169" s="458"/>
    </row>
    <row r="170" s="447" customFormat="1" ht="12.75">
      <c r="F170" s="458"/>
    </row>
    <row r="171" s="447" customFormat="1" ht="12.75">
      <c r="F171" s="458"/>
    </row>
    <row r="172" s="447" customFormat="1" ht="12.75">
      <c r="F172" s="458"/>
    </row>
    <row r="173" s="447" customFormat="1" ht="12.75">
      <c r="F173" s="458"/>
    </row>
    <row r="174" s="447" customFormat="1" ht="12.75">
      <c r="F174" s="458"/>
    </row>
    <row r="175" s="447" customFormat="1" ht="12.75">
      <c r="F175" s="458"/>
    </row>
    <row r="176" s="447" customFormat="1" ht="12.75">
      <c r="F176" s="458"/>
    </row>
    <row r="177" s="447" customFormat="1" ht="12.75">
      <c r="F177" s="458"/>
    </row>
    <row r="178" s="447" customFormat="1" ht="12.75">
      <c r="F178" s="458"/>
    </row>
    <row r="179" s="447" customFormat="1" ht="12.75">
      <c r="F179" s="458"/>
    </row>
    <row r="180" s="447" customFormat="1" ht="12.75">
      <c r="F180" s="458"/>
    </row>
    <row r="181" s="447" customFormat="1" ht="12.75">
      <c r="F181" s="458"/>
    </row>
    <row r="182" s="447" customFormat="1" ht="12.75">
      <c r="F182" s="458"/>
    </row>
    <row r="183" s="447" customFormat="1" ht="12.75">
      <c r="F183" s="458"/>
    </row>
    <row r="184" s="447" customFormat="1" ht="12.75">
      <c r="F184" s="458"/>
    </row>
    <row r="185" s="447" customFormat="1" ht="12.75">
      <c r="F185" s="458"/>
    </row>
    <row r="186" s="447" customFormat="1" ht="12.75">
      <c r="F186" s="458"/>
    </row>
    <row r="187" s="447" customFormat="1" ht="12.75">
      <c r="F187" s="458"/>
    </row>
    <row r="188" s="447" customFormat="1" ht="12.75">
      <c r="F188" s="458"/>
    </row>
    <row r="189" s="447" customFormat="1" ht="12.75">
      <c r="F189" s="458"/>
    </row>
    <row r="190" s="447" customFormat="1" ht="12.75">
      <c r="F190" s="458"/>
    </row>
    <row r="191" s="447" customFormat="1" ht="12.75">
      <c r="F191" s="458"/>
    </row>
    <row r="192" s="447" customFormat="1" ht="12.75">
      <c r="F192" s="458"/>
    </row>
    <row r="193" s="447" customFormat="1" ht="12.75">
      <c r="F193" s="458"/>
    </row>
    <row r="194" s="447" customFormat="1" ht="12.75">
      <c r="F194" s="458"/>
    </row>
    <row r="195" s="447" customFormat="1" ht="12.75">
      <c r="F195" s="458"/>
    </row>
    <row r="196" s="447" customFormat="1" ht="12.75">
      <c r="F196" s="458"/>
    </row>
    <row r="197" s="447" customFormat="1" ht="12.75">
      <c r="F197" s="458"/>
    </row>
    <row r="198" s="447" customFormat="1" ht="12.75">
      <c r="F198" s="458"/>
    </row>
    <row r="199" s="447" customFormat="1" ht="12.75">
      <c r="F199" s="458"/>
    </row>
    <row r="200" s="447" customFormat="1" ht="12.75">
      <c r="F200" s="458"/>
    </row>
    <row r="201" s="447" customFormat="1" ht="12.75">
      <c r="F201" s="458"/>
    </row>
    <row r="202" s="447" customFormat="1" ht="12.75">
      <c r="F202" s="458"/>
    </row>
    <row r="203" s="447" customFormat="1" ht="12.75">
      <c r="F203" s="458"/>
    </row>
    <row r="204" s="447" customFormat="1" ht="12.75">
      <c r="F204" s="458"/>
    </row>
    <row r="205" s="447" customFormat="1" ht="12.75">
      <c r="F205" s="458"/>
    </row>
    <row r="206" s="447" customFormat="1" ht="12.75">
      <c r="F206" s="458"/>
    </row>
    <row r="207" s="447" customFormat="1" ht="12.75">
      <c r="F207" s="458"/>
    </row>
    <row r="208" s="447" customFormat="1" ht="12.75">
      <c r="F208" s="458"/>
    </row>
    <row r="209" s="447" customFormat="1" ht="12.75">
      <c r="F209" s="458"/>
    </row>
    <row r="210" s="447" customFormat="1" ht="12.75">
      <c r="F210" s="458"/>
    </row>
    <row r="211" s="447" customFormat="1" ht="12.75">
      <c r="F211" s="458"/>
    </row>
    <row r="212" s="447" customFormat="1" ht="12.75">
      <c r="F212" s="458"/>
    </row>
    <row r="213" s="447" customFormat="1" ht="12.75">
      <c r="F213" s="458"/>
    </row>
    <row r="214" s="447" customFormat="1" ht="12.75">
      <c r="F214" s="458"/>
    </row>
    <row r="215" s="447" customFormat="1" ht="12.75">
      <c r="F215" s="458"/>
    </row>
    <row r="216" s="447" customFormat="1" ht="12.75">
      <c r="F216" s="458"/>
    </row>
    <row r="217" s="447" customFormat="1" ht="12.75">
      <c r="F217" s="458"/>
    </row>
    <row r="218" s="447" customFormat="1" ht="12.75">
      <c r="F218" s="458"/>
    </row>
    <row r="219" s="447" customFormat="1" ht="12.75">
      <c r="F219" s="458"/>
    </row>
    <row r="220" s="447" customFormat="1" ht="12.75">
      <c r="F220" s="458"/>
    </row>
    <row r="221" s="447" customFormat="1" ht="12.75">
      <c r="F221" s="458"/>
    </row>
    <row r="222" s="447" customFormat="1" ht="12.75">
      <c r="F222" s="458"/>
    </row>
    <row r="223" s="447" customFormat="1" ht="12.75">
      <c r="F223" s="458"/>
    </row>
    <row r="224" s="447" customFormat="1" ht="12.75">
      <c r="F224" s="458"/>
    </row>
    <row r="225" s="447" customFormat="1" ht="12.75">
      <c r="F225" s="458"/>
    </row>
    <row r="226" s="447" customFormat="1" ht="12.75">
      <c r="F226" s="458"/>
    </row>
    <row r="227" s="447" customFormat="1" ht="12.75">
      <c r="F227" s="458"/>
    </row>
    <row r="228" s="447" customFormat="1" ht="12.75">
      <c r="F228" s="458"/>
    </row>
    <row r="229" s="447" customFormat="1" ht="12.75">
      <c r="F229" s="458"/>
    </row>
    <row r="230" s="447" customFormat="1" ht="12.75">
      <c r="F230" s="458"/>
    </row>
    <row r="231" s="447" customFormat="1" ht="12.75">
      <c r="F231" s="458"/>
    </row>
    <row r="232" s="447" customFormat="1" ht="12.75">
      <c r="F232" s="458"/>
    </row>
    <row r="233" s="447" customFormat="1" ht="12.75">
      <c r="F233" s="458"/>
    </row>
    <row r="234" s="447" customFormat="1" ht="12.75">
      <c r="F234" s="458"/>
    </row>
    <row r="235" s="447" customFormat="1" ht="12.75">
      <c r="F235" s="458"/>
    </row>
    <row r="236" s="447" customFormat="1" ht="12.75">
      <c r="F236" s="458"/>
    </row>
    <row r="237" s="447" customFormat="1" ht="12.75">
      <c r="F237" s="458"/>
    </row>
    <row r="238" s="447" customFormat="1" ht="12.75">
      <c r="F238" s="458"/>
    </row>
    <row r="239" s="447" customFormat="1" ht="12.75">
      <c r="F239" s="458"/>
    </row>
    <row r="240" s="447" customFormat="1" ht="12.75">
      <c r="F240" s="458"/>
    </row>
    <row r="241" s="447" customFormat="1" ht="12.75">
      <c r="F241" s="458"/>
    </row>
    <row r="242" s="447" customFormat="1" ht="12.75">
      <c r="F242" s="458"/>
    </row>
    <row r="243" s="447" customFormat="1" ht="12.75">
      <c r="F243" s="458"/>
    </row>
    <row r="244" s="447" customFormat="1" ht="12.75">
      <c r="F244" s="458"/>
    </row>
    <row r="245" s="447" customFormat="1" ht="12.75">
      <c r="F245" s="458"/>
    </row>
    <row r="246" s="447" customFormat="1" ht="12.75">
      <c r="F246" s="458"/>
    </row>
    <row r="247" s="447" customFormat="1" ht="12.75">
      <c r="F247" s="458"/>
    </row>
    <row r="248" s="447" customFormat="1" ht="12.75">
      <c r="F248" s="458"/>
    </row>
    <row r="249" s="447" customFormat="1" ht="12.75">
      <c r="F249" s="458"/>
    </row>
    <row r="250" s="447" customFormat="1" ht="12.75">
      <c r="F250" s="458"/>
    </row>
    <row r="251" s="447" customFormat="1" ht="12.75">
      <c r="F251" s="458"/>
    </row>
    <row r="252" s="447" customFormat="1" ht="12.75">
      <c r="F252" s="458"/>
    </row>
    <row r="253" s="447" customFormat="1" ht="12.75">
      <c r="F253" s="458"/>
    </row>
    <row r="254" s="447" customFormat="1" ht="12.75">
      <c r="F254" s="458"/>
    </row>
    <row r="255" s="447" customFormat="1" ht="12.75">
      <c r="F255" s="458"/>
    </row>
    <row r="256" s="447" customFormat="1" ht="12.75">
      <c r="F256" s="458"/>
    </row>
    <row r="257" s="447" customFormat="1" ht="12.75">
      <c r="F257" s="458"/>
    </row>
    <row r="258" s="447" customFormat="1" ht="12.75">
      <c r="F258" s="458"/>
    </row>
    <row r="259" s="447" customFormat="1" ht="12.75">
      <c r="F259" s="458"/>
    </row>
    <row r="260" s="447" customFormat="1" ht="12.75">
      <c r="F260" s="458"/>
    </row>
    <row r="261" s="447" customFormat="1" ht="12.75">
      <c r="F261" s="458"/>
    </row>
    <row r="262" s="447" customFormat="1" ht="12.75">
      <c r="F262" s="458"/>
    </row>
    <row r="263" s="447" customFormat="1" ht="12.75">
      <c r="F263" s="458"/>
    </row>
    <row r="264" s="447" customFormat="1" ht="12.75">
      <c r="F264" s="458"/>
    </row>
    <row r="265" s="447" customFormat="1" ht="12.75">
      <c r="F265" s="458"/>
    </row>
    <row r="266" s="447" customFormat="1" ht="12.75">
      <c r="F266" s="458"/>
    </row>
    <row r="267" s="447" customFormat="1" ht="12.75">
      <c r="F267" s="458"/>
    </row>
    <row r="268" s="447" customFormat="1" ht="12.75">
      <c r="F268" s="458"/>
    </row>
    <row r="269" s="447" customFormat="1" ht="12.75">
      <c r="F269" s="458"/>
    </row>
    <row r="270" s="447" customFormat="1" ht="12.75">
      <c r="F270" s="458"/>
    </row>
    <row r="271" s="447" customFormat="1" ht="12.75">
      <c r="F271" s="458"/>
    </row>
    <row r="272" s="447" customFormat="1" ht="12.75">
      <c r="F272" s="458"/>
    </row>
    <row r="273" s="447" customFormat="1" ht="12.75">
      <c r="F273" s="458"/>
    </row>
    <row r="274" s="447" customFormat="1" ht="12.75">
      <c r="F274" s="458"/>
    </row>
    <row r="275" s="447" customFormat="1" ht="12.75">
      <c r="F275" s="458"/>
    </row>
    <row r="276" s="447" customFormat="1" ht="12.75">
      <c r="F276" s="458"/>
    </row>
    <row r="277" s="447" customFormat="1" ht="12.75">
      <c r="F277" s="458"/>
    </row>
    <row r="278" s="447" customFormat="1" ht="12.75">
      <c r="F278" s="458"/>
    </row>
    <row r="279" s="447" customFormat="1" ht="12.75">
      <c r="F279" s="458"/>
    </row>
    <row r="280" s="447" customFormat="1" ht="12.75">
      <c r="F280" s="458"/>
    </row>
    <row r="281" s="447" customFormat="1" ht="12.75">
      <c r="F281" s="458"/>
    </row>
    <row r="282" s="447" customFormat="1" ht="12.75">
      <c r="F282" s="458"/>
    </row>
    <row r="283" s="447" customFormat="1" ht="12.75">
      <c r="F283" s="458"/>
    </row>
    <row r="284" s="447" customFormat="1" ht="12.75">
      <c r="F284" s="458"/>
    </row>
    <row r="285" s="447" customFormat="1" ht="12.75">
      <c r="F285" s="458"/>
    </row>
    <row r="286" s="447" customFormat="1" ht="12.75">
      <c r="F286" s="458"/>
    </row>
    <row r="287" s="447" customFormat="1" ht="12.75">
      <c r="F287" s="458"/>
    </row>
    <row r="288" s="447" customFormat="1" ht="12.75">
      <c r="F288" s="458"/>
    </row>
    <row r="289" s="447" customFormat="1" ht="12.75">
      <c r="F289" s="458"/>
    </row>
    <row r="290" s="447" customFormat="1" ht="12.75">
      <c r="F290" s="458"/>
    </row>
    <row r="291" s="447" customFormat="1" ht="12.75">
      <c r="F291" s="458"/>
    </row>
    <row r="292" s="447" customFormat="1" ht="12.75">
      <c r="F292" s="458"/>
    </row>
    <row r="293" s="447" customFormat="1" ht="12.75">
      <c r="F293" s="458"/>
    </row>
    <row r="294" s="447" customFormat="1" ht="12.75">
      <c r="F294" s="458"/>
    </row>
    <row r="295" s="447" customFormat="1" ht="12.75">
      <c r="F295" s="458"/>
    </row>
    <row r="296" s="447" customFormat="1" ht="12.75">
      <c r="F296" s="458"/>
    </row>
    <row r="297" s="447" customFormat="1" ht="12.75">
      <c r="F297" s="458"/>
    </row>
    <row r="298" s="447" customFormat="1" ht="12.75">
      <c r="F298" s="458"/>
    </row>
    <row r="299" s="447" customFormat="1" ht="12.75">
      <c r="F299" s="458"/>
    </row>
    <row r="300" s="447" customFormat="1" ht="12.75">
      <c r="F300" s="458"/>
    </row>
    <row r="301" s="447" customFormat="1" ht="12.75">
      <c r="F301" s="458"/>
    </row>
    <row r="302" s="447" customFormat="1" ht="12.75">
      <c r="F302" s="458"/>
    </row>
    <row r="303" s="447" customFormat="1" ht="12.75">
      <c r="F303" s="458"/>
    </row>
    <row r="304" s="447" customFormat="1" ht="12.75">
      <c r="F304" s="458"/>
    </row>
    <row r="305" s="447" customFormat="1" ht="12.75">
      <c r="F305" s="458"/>
    </row>
    <row r="306" s="447" customFormat="1" ht="12.75">
      <c r="F306" s="458"/>
    </row>
    <row r="307" s="447" customFormat="1" ht="12.75">
      <c r="F307" s="458"/>
    </row>
    <row r="308" s="447" customFormat="1" ht="12.75">
      <c r="F308" s="458"/>
    </row>
    <row r="309" s="447" customFormat="1" ht="12.75">
      <c r="F309" s="458"/>
    </row>
    <row r="310" s="447" customFormat="1" ht="12.75">
      <c r="F310" s="458"/>
    </row>
    <row r="311" s="447" customFormat="1" ht="12.75">
      <c r="F311" s="458"/>
    </row>
    <row r="312" s="447" customFormat="1" ht="12.75">
      <c r="F312" s="458"/>
    </row>
    <row r="313" s="447" customFormat="1" ht="12.75">
      <c r="F313" s="458"/>
    </row>
    <row r="314" s="447" customFormat="1" ht="12.75">
      <c r="F314" s="458"/>
    </row>
    <row r="315" s="447" customFormat="1" ht="12.75">
      <c r="F315" s="458"/>
    </row>
    <row r="316" s="447" customFormat="1" ht="12.75">
      <c r="F316" s="458"/>
    </row>
    <row r="317" s="447" customFormat="1" ht="12.75">
      <c r="F317" s="458"/>
    </row>
    <row r="318" s="447" customFormat="1" ht="12.75">
      <c r="F318" s="458"/>
    </row>
    <row r="319" s="447" customFormat="1" ht="12.75">
      <c r="F319" s="458"/>
    </row>
    <row r="320" s="447" customFormat="1" ht="12.75">
      <c r="F320" s="458"/>
    </row>
    <row r="321" s="447" customFormat="1" ht="12.75">
      <c r="F321" s="458"/>
    </row>
    <row r="322" s="447" customFormat="1" ht="12.75">
      <c r="F322" s="458"/>
    </row>
    <row r="323" s="447" customFormat="1" ht="12.75">
      <c r="F323" s="458"/>
    </row>
    <row r="324" s="447" customFormat="1" ht="12.75">
      <c r="F324" s="458"/>
    </row>
    <row r="325" s="447" customFormat="1" ht="12.75">
      <c r="F325" s="458"/>
    </row>
    <row r="326" s="447" customFormat="1" ht="12.75">
      <c r="F326" s="458"/>
    </row>
    <row r="327" s="447" customFormat="1" ht="12.75">
      <c r="F327" s="458"/>
    </row>
    <row r="328" s="447" customFormat="1" ht="12.75">
      <c r="F328" s="458"/>
    </row>
    <row r="329" s="447" customFormat="1" ht="12.75">
      <c r="F329" s="458"/>
    </row>
    <row r="330" s="447" customFormat="1" ht="12.75">
      <c r="F330" s="458"/>
    </row>
    <row r="331" s="447" customFormat="1" ht="12.75">
      <c r="F331" s="458"/>
    </row>
    <row r="332" s="447" customFormat="1" ht="12.75">
      <c r="F332" s="458"/>
    </row>
    <row r="333" s="447" customFormat="1" ht="12.75">
      <c r="F333" s="458"/>
    </row>
    <row r="334" s="447" customFormat="1" ht="12.75">
      <c r="F334" s="458"/>
    </row>
    <row r="335" s="447" customFormat="1" ht="12.75">
      <c r="F335" s="458"/>
    </row>
    <row r="336" s="447" customFormat="1" ht="12.75">
      <c r="F336" s="458"/>
    </row>
    <row r="337" s="447" customFormat="1" ht="12.75">
      <c r="F337" s="458"/>
    </row>
    <row r="338" s="447" customFormat="1" ht="12.75">
      <c r="F338" s="458"/>
    </row>
    <row r="339" s="447" customFormat="1" ht="12.75">
      <c r="F339" s="458"/>
    </row>
    <row r="340" s="447" customFormat="1" ht="12.75">
      <c r="F340" s="458"/>
    </row>
    <row r="341" s="447" customFormat="1" ht="12.75">
      <c r="F341" s="458"/>
    </row>
    <row r="342" s="447" customFormat="1" ht="12.75">
      <c r="F342" s="458"/>
    </row>
    <row r="343" s="447" customFormat="1" ht="12.75">
      <c r="F343" s="458"/>
    </row>
    <row r="344" s="447" customFormat="1" ht="12.75">
      <c r="F344" s="458"/>
    </row>
    <row r="345" s="447" customFormat="1" ht="12.75">
      <c r="F345" s="458"/>
    </row>
    <row r="346" s="447" customFormat="1" ht="12.75">
      <c r="F346" s="458"/>
    </row>
    <row r="347" s="447" customFormat="1" ht="12.75">
      <c r="F347" s="458"/>
    </row>
    <row r="348" s="447" customFormat="1" ht="12.75">
      <c r="F348" s="458"/>
    </row>
    <row r="349" s="447" customFormat="1" ht="12.75">
      <c r="F349" s="458"/>
    </row>
    <row r="350" s="447" customFormat="1" ht="12.75">
      <c r="F350" s="458"/>
    </row>
    <row r="351" s="447" customFormat="1" ht="12.75">
      <c r="F351" s="458"/>
    </row>
    <row r="352" s="447" customFormat="1" ht="12.75">
      <c r="F352" s="458"/>
    </row>
    <row r="353" s="447" customFormat="1" ht="12.75">
      <c r="F353" s="458"/>
    </row>
    <row r="354" s="447" customFormat="1" ht="12.75">
      <c r="F354" s="458"/>
    </row>
    <row r="355" s="447" customFormat="1" ht="12.75">
      <c r="F355" s="458"/>
    </row>
    <row r="356" s="447" customFormat="1" ht="12.75">
      <c r="F356" s="458"/>
    </row>
    <row r="357" s="447" customFormat="1" ht="12.75">
      <c r="F357" s="458"/>
    </row>
    <row r="358" s="447" customFormat="1" ht="12.75">
      <c r="F358" s="458"/>
    </row>
    <row r="359" s="447" customFormat="1" ht="12.75">
      <c r="F359" s="458"/>
    </row>
    <row r="360" s="447" customFormat="1" ht="12.75">
      <c r="F360" s="458"/>
    </row>
    <row r="361" s="447" customFormat="1" ht="12.75">
      <c r="F361" s="458"/>
    </row>
    <row r="362" s="447" customFormat="1" ht="12.75">
      <c r="F362" s="458"/>
    </row>
    <row r="363" s="447" customFormat="1" ht="12.75">
      <c r="F363" s="458"/>
    </row>
    <row r="364" s="447" customFormat="1" ht="12.75">
      <c r="F364" s="458"/>
    </row>
    <row r="365" s="447" customFormat="1" ht="12.75">
      <c r="F365" s="458"/>
    </row>
    <row r="366" s="447" customFormat="1" ht="12.75">
      <c r="F366" s="458"/>
    </row>
    <row r="367" s="447" customFormat="1" ht="12.75">
      <c r="F367" s="458"/>
    </row>
    <row r="368" s="447" customFormat="1" ht="12.75">
      <c r="F368" s="458"/>
    </row>
    <row r="369" s="447" customFormat="1" ht="12.75">
      <c r="F369" s="458"/>
    </row>
    <row r="370" s="447" customFormat="1" ht="12.75">
      <c r="F370" s="458"/>
    </row>
    <row r="371" s="447" customFormat="1" ht="12.75">
      <c r="F371" s="458"/>
    </row>
    <row r="372" s="447" customFormat="1" ht="12.75">
      <c r="F372" s="458"/>
    </row>
    <row r="373" s="447" customFormat="1" ht="12.75">
      <c r="F373" s="458"/>
    </row>
    <row r="374" s="447" customFormat="1" ht="12.75">
      <c r="F374" s="458"/>
    </row>
    <row r="375" s="447" customFormat="1" ht="12.75">
      <c r="F375" s="458"/>
    </row>
    <row r="376" s="447" customFormat="1" ht="12.75">
      <c r="F376" s="458"/>
    </row>
    <row r="377" s="447" customFormat="1" ht="12.75">
      <c r="F377" s="458"/>
    </row>
    <row r="378" s="447" customFormat="1" ht="12.75">
      <c r="F378" s="458"/>
    </row>
    <row r="379" s="447" customFormat="1" ht="12.75">
      <c r="F379" s="458"/>
    </row>
    <row r="380" s="447" customFormat="1" ht="12.75">
      <c r="F380" s="458"/>
    </row>
    <row r="381" s="447" customFormat="1" ht="12.75">
      <c r="F381" s="458"/>
    </row>
    <row r="382" s="447" customFormat="1" ht="12.75">
      <c r="F382" s="458"/>
    </row>
    <row r="383" s="447" customFormat="1" ht="12.75">
      <c r="F383" s="458"/>
    </row>
    <row r="384" s="447" customFormat="1" ht="12.75">
      <c r="F384" s="458"/>
    </row>
    <row r="385" s="447" customFormat="1" ht="12.75">
      <c r="F385" s="458"/>
    </row>
    <row r="386" s="447" customFormat="1" ht="12.75">
      <c r="F386" s="458"/>
    </row>
    <row r="387" s="447" customFormat="1" ht="12.75">
      <c r="F387" s="458"/>
    </row>
    <row r="388" s="447" customFormat="1" ht="12.75">
      <c r="F388" s="458"/>
    </row>
    <row r="389" s="447" customFormat="1" ht="12.75">
      <c r="F389" s="458"/>
    </row>
    <row r="390" s="447" customFormat="1" ht="12.75">
      <c r="F390" s="458"/>
    </row>
    <row r="391" s="447" customFormat="1" ht="12.75">
      <c r="F391" s="458"/>
    </row>
    <row r="392" s="447" customFormat="1" ht="12.75">
      <c r="F392" s="458"/>
    </row>
    <row r="393" s="447" customFormat="1" ht="12.75">
      <c r="F393" s="458"/>
    </row>
    <row r="394" s="447" customFormat="1" ht="12.75">
      <c r="F394" s="458"/>
    </row>
    <row r="395" s="447" customFormat="1" ht="12.75">
      <c r="F395" s="458"/>
    </row>
    <row r="396" s="447" customFormat="1" ht="12.75">
      <c r="F396" s="458"/>
    </row>
    <row r="397" s="447" customFormat="1" ht="12.75">
      <c r="F397" s="458"/>
    </row>
    <row r="398" s="447" customFormat="1" ht="12.75">
      <c r="F398" s="458"/>
    </row>
    <row r="399" s="447" customFormat="1" ht="12.75">
      <c r="F399" s="458"/>
    </row>
    <row r="400" s="447" customFormat="1" ht="12.75">
      <c r="F400" s="458"/>
    </row>
    <row r="401" s="447" customFormat="1" ht="12.75">
      <c r="F401" s="458"/>
    </row>
    <row r="402" s="447" customFormat="1" ht="12.75">
      <c r="F402" s="458"/>
    </row>
    <row r="403" s="447" customFormat="1" ht="12.75">
      <c r="F403" s="458"/>
    </row>
    <row r="404" s="447" customFormat="1" ht="12.75">
      <c r="F404" s="458"/>
    </row>
    <row r="405" s="447" customFormat="1" ht="12.75">
      <c r="F405" s="458"/>
    </row>
    <row r="406" s="447" customFormat="1" ht="12.75">
      <c r="F406" s="458"/>
    </row>
    <row r="407" s="447" customFormat="1" ht="12.75">
      <c r="F407" s="458"/>
    </row>
    <row r="408" s="447" customFormat="1" ht="12.75">
      <c r="F408" s="458"/>
    </row>
    <row r="409" s="447" customFormat="1" ht="12.75">
      <c r="F409" s="458"/>
    </row>
    <row r="410" s="447" customFormat="1" ht="12.75">
      <c r="F410" s="458"/>
    </row>
    <row r="411" s="447" customFormat="1" ht="12.75">
      <c r="F411" s="458"/>
    </row>
    <row r="412" s="447" customFormat="1" ht="12.75">
      <c r="F412" s="458"/>
    </row>
    <row r="413" s="447" customFormat="1" ht="12.75">
      <c r="F413" s="458"/>
    </row>
    <row r="414" s="447" customFormat="1" ht="12.75">
      <c r="F414" s="458"/>
    </row>
    <row r="415" s="447" customFormat="1" ht="12.75">
      <c r="F415" s="458"/>
    </row>
    <row r="416" s="447" customFormat="1" ht="12.75">
      <c r="F416" s="458"/>
    </row>
    <row r="417" s="447" customFormat="1" ht="12.75">
      <c r="F417" s="458"/>
    </row>
    <row r="418" s="447" customFormat="1" ht="12.75">
      <c r="F418" s="458"/>
    </row>
    <row r="419" s="447" customFormat="1" ht="12.75">
      <c r="F419" s="458"/>
    </row>
    <row r="420" s="447" customFormat="1" ht="12.75">
      <c r="F420" s="458"/>
    </row>
    <row r="421" s="447" customFormat="1" ht="12.75">
      <c r="F421" s="458"/>
    </row>
    <row r="422" s="447" customFormat="1" ht="12.75">
      <c r="F422" s="458"/>
    </row>
    <row r="423" s="447" customFormat="1" ht="12.75">
      <c r="F423" s="458"/>
    </row>
    <row r="424" s="447" customFormat="1" ht="12.75">
      <c r="F424" s="458"/>
    </row>
    <row r="425" s="447" customFormat="1" ht="12.75">
      <c r="F425" s="458"/>
    </row>
    <row r="426" s="447" customFormat="1" ht="12.75">
      <c r="F426" s="458"/>
    </row>
    <row r="427" s="447" customFormat="1" ht="12.75">
      <c r="F427" s="458"/>
    </row>
    <row r="428" s="447" customFormat="1" ht="12.75">
      <c r="F428" s="458"/>
    </row>
    <row r="429" s="447" customFormat="1" ht="12.75">
      <c r="F429" s="458"/>
    </row>
    <row r="430" s="447" customFormat="1" ht="12.75">
      <c r="F430" s="458"/>
    </row>
    <row r="431" s="447" customFormat="1" ht="12.75">
      <c r="F431" s="458"/>
    </row>
    <row r="432" s="447" customFormat="1" ht="12.75">
      <c r="F432" s="458"/>
    </row>
    <row r="433" s="447" customFormat="1" ht="12.75">
      <c r="F433" s="458"/>
    </row>
    <row r="434" s="447" customFormat="1" ht="12.75">
      <c r="F434" s="458"/>
    </row>
    <row r="435" s="447" customFormat="1" ht="12.75">
      <c r="F435" s="458"/>
    </row>
    <row r="436" s="447" customFormat="1" ht="12.75">
      <c r="F436" s="458"/>
    </row>
    <row r="437" s="447" customFormat="1" ht="12.75">
      <c r="F437" s="458"/>
    </row>
    <row r="438" s="447" customFormat="1" ht="12.75">
      <c r="F438" s="458"/>
    </row>
    <row r="439" s="447" customFormat="1" ht="12.75">
      <c r="F439" s="458"/>
    </row>
    <row r="440" s="447" customFormat="1" ht="12.75">
      <c r="F440" s="458"/>
    </row>
    <row r="441" s="447" customFormat="1" ht="12.75">
      <c r="F441" s="458"/>
    </row>
    <row r="442" s="447" customFormat="1" ht="12.75">
      <c r="F442" s="458"/>
    </row>
    <row r="443" s="447" customFormat="1" ht="12.75">
      <c r="F443" s="458"/>
    </row>
    <row r="444" s="447" customFormat="1" ht="12.75">
      <c r="F444" s="458"/>
    </row>
    <row r="445" s="447" customFormat="1" ht="12.75">
      <c r="F445" s="458"/>
    </row>
    <row r="446" s="447" customFormat="1" ht="12.75">
      <c r="F446" s="458"/>
    </row>
    <row r="447" s="447" customFormat="1" ht="12.75">
      <c r="F447" s="458"/>
    </row>
    <row r="448" s="447" customFormat="1" ht="12.75">
      <c r="F448" s="458"/>
    </row>
    <row r="449" s="447" customFormat="1" ht="12.75">
      <c r="F449" s="458"/>
    </row>
    <row r="450" s="447" customFormat="1" ht="12.75">
      <c r="F450" s="458"/>
    </row>
    <row r="451" s="447" customFormat="1" ht="12.75">
      <c r="F451" s="458"/>
    </row>
    <row r="452" s="447" customFormat="1" ht="12.75">
      <c r="F452" s="458"/>
    </row>
    <row r="453" s="447" customFormat="1" ht="12.75">
      <c r="F453" s="458"/>
    </row>
    <row r="454" s="447" customFormat="1" ht="12.75">
      <c r="F454" s="458"/>
    </row>
    <row r="455" s="447" customFormat="1" ht="12.75">
      <c r="F455" s="458"/>
    </row>
    <row r="456" s="447" customFormat="1" ht="12.75">
      <c r="F456" s="458"/>
    </row>
    <row r="457" s="447" customFormat="1" ht="12.75">
      <c r="F457" s="458"/>
    </row>
    <row r="458" s="447" customFormat="1" ht="12.75">
      <c r="F458" s="458"/>
    </row>
    <row r="459" s="447" customFormat="1" ht="12.75">
      <c r="F459" s="458"/>
    </row>
    <row r="460" s="447" customFormat="1" ht="12.75">
      <c r="F460" s="458"/>
    </row>
    <row r="461" s="447" customFormat="1" ht="12.75">
      <c r="F461" s="458"/>
    </row>
    <row r="462" s="447" customFormat="1" ht="12.75">
      <c r="F462" s="458"/>
    </row>
    <row r="463" s="447" customFormat="1" ht="12.75">
      <c r="F463" s="458"/>
    </row>
    <row r="464" s="447" customFormat="1" ht="12.75">
      <c r="F464" s="458"/>
    </row>
    <row r="465" s="447" customFormat="1" ht="12.75">
      <c r="F465" s="458"/>
    </row>
    <row r="466" s="447" customFormat="1" ht="12.75">
      <c r="F466" s="458"/>
    </row>
    <row r="467" s="447" customFormat="1" ht="12.75">
      <c r="F467" s="458"/>
    </row>
    <row r="468" s="447" customFormat="1" ht="12.75">
      <c r="F468" s="458"/>
    </row>
    <row r="469" s="447" customFormat="1" ht="12.75">
      <c r="F469" s="458"/>
    </row>
    <row r="470" s="447" customFormat="1" ht="12.75">
      <c r="F470" s="458"/>
    </row>
    <row r="471" s="447" customFormat="1" ht="12.75">
      <c r="F471" s="458"/>
    </row>
    <row r="472" s="447" customFormat="1" ht="12.75">
      <c r="F472" s="458"/>
    </row>
    <row r="473" s="447" customFormat="1" ht="12.75">
      <c r="F473" s="458"/>
    </row>
    <row r="474" s="447" customFormat="1" ht="12.75">
      <c r="F474" s="458"/>
    </row>
    <row r="475" s="447" customFormat="1" ht="12.75">
      <c r="F475" s="458"/>
    </row>
    <row r="476" s="447" customFormat="1" ht="12.75">
      <c r="F476" s="458"/>
    </row>
    <row r="477" s="447" customFormat="1" ht="12.75">
      <c r="F477" s="458"/>
    </row>
    <row r="478" s="447" customFormat="1" ht="12.75">
      <c r="F478" s="458"/>
    </row>
    <row r="479" s="447" customFormat="1" ht="12.75">
      <c r="F479" s="458"/>
    </row>
    <row r="480" s="447" customFormat="1" ht="12.75">
      <c r="F480" s="458"/>
    </row>
    <row r="481" s="447" customFormat="1" ht="12.75">
      <c r="F481" s="458"/>
    </row>
    <row r="482" s="447" customFormat="1" ht="12.75">
      <c r="F482" s="458"/>
    </row>
    <row r="483" s="447" customFormat="1" ht="12.75">
      <c r="F483" s="458"/>
    </row>
    <row r="484" s="447" customFormat="1" ht="12.75">
      <c r="F484" s="458"/>
    </row>
    <row r="485" s="447" customFormat="1" ht="12.75">
      <c r="F485" s="458"/>
    </row>
    <row r="486" s="447" customFormat="1" ht="12.75">
      <c r="F486" s="458"/>
    </row>
    <row r="487" s="447" customFormat="1" ht="12.75">
      <c r="F487" s="458"/>
    </row>
    <row r="488" s="447" customFormat="1" ht="12.75">
      <c r="F488" s="458"/>
    </row>
    <row r="489" s="447" customFormat="1" ht="12.75">
      <c r="F489" s="458"/>
    </row>
    <row r="490" s="447" customFormat="1" ht="12.75">
      <c r="F490" s="458"/>
    </row>
    <row r="491" s="447" customFormat="1" ht="12.75">
      <c r="F491" s="458"/>
    </row>
    <row r="492" s="447" customFormat="1" ht="12.75">
      <c r="F492" s="458"/>
    </row>
    <row r="493" s="447" customFormat="1" ht="12.75">
      <c r="F493" s="458"/>
    </row>
    <row r="494" s="447" customFormat="1" ht="12.75">
      <c r="F494" s="458"/>
    </row>
    <row r="495" s="447" customFormat="1" ht="12.75">
      <c r="F495" s="458"/>
    </row>
    <row r="496" s="447" customFormat="1" ht="12.75">
      <c r="F496" s="458"/>
    </row>
    <row r="497" s="447" customFormat="1" ht="12.75">
      <c r="F497" s="458"/>
    </row>
    <row r="498" s="447" customFormat="1" ht="12.75">
      <c r="F498" s="458"/>
    </row>
    <row r="499" s="447" customFormat="1" ht="12.75">
      <c r="F499" s="458"/>
    </row>
    <row r="500" s="447" customFormat="1" ht="12.75">
      <c r="F500" s="458"/>
    </row>
    <row r="501" s="447" customFormat="1" ht="12.75">
      <c r="F501" s="458"/>
    </row>
    <row r="502" s="447" customFormat="1" ht="12.75">
      <c r="F502" s="458"/>
    </row>
    <row r="503" s="447" customFormat="1" ht="12.75">
      <c r="F503" s="458"/>
    </row>
    <row r="504" s="447" customFormat="1" ht="12.75">
      <c r="F504" s="458"/>
    </row>
    <row r="505" s="447" customFormat="1" ht="12.75">
      <c r="F505" s="458"/>
    </row>
    <row r="506" s="447" customFormat="1" ht="12.75">
      <c r="F506" s="458"/>
    </row>
    <row r="507" s="447" customFormat="1" ht="12.75">
      <c r="F507" s="458"/>
    </row>
    <row r="508" s="447" customFormat="1" ht="12.75">
      <c r="F508" s="458"/>
    </row>
    <row r="509" s="447" customFormat="1" ht="12.75">
      <c r="F509" s="458"/>
    </row>
    <row r="510" s="447" customFormat="1" ht="12.75">
      <c r="F510" s="458"/>
    </row>
    <row r="511" s="447" customFormat="1" ht="12.75">
      <c r="F511" s="458"/>
    </row>
    <row r="512" s="447" customFormat="1" ht="12.75">
      <c r="F512" s="458"/>
    </row>
    <row r="513" s="447" customFormat="1" ht="12.75">
      <c r="F513" s="458"/>
    </row>
    <row r="514" s="447" customFormat="1" ht="12.75">
      <c r="F514" s="458"/>
    </row>
    <row r="515" s="447" customFormat="1" ht="12.75">
      <c r="F515" s="458"/>
    </row>
    <row r="516" s="447" customFormat="1" ht="12.75">
      <c r="F516" s="458"/>
    </row>
    <row r="517" s="447" customFormat="1" ht="12.75">
      <c r="F517" s="458"/>
    </row>
    <row r="518" s="447" customFormat="1" ht="12.75">
      <c r="F518" s="458"/>
    </row>
    <row r="519" s="447" customFormat="1" ht="12.75">
      <c r="F519" s="458"/>
    </row>
    <row r="520" s="447" customFormat="1" ht="12.75">
      <c r="F520" s="458"/>
    </row>
    <row r="521" s="447" customFormat="1" ht="12.75">
      <c r="F521" s="458"/>
    </row>
    <row r="522" s="447" customFormat="1" ht="12.75">
      <c r="F522" s="458"/>
    </row>
    <row r="523" s="447" customFormat="1" ht="12.75">
      <c r="F523" s="458"/>
    </row>
    <row r="524" s="447" customFormat="1" ht="12.75">
      <c r="F524" s="458"/>
    </row>
    <row r="525" s="447" customFormat="1" ht="12.75">
      <c r="F525" s="458"/>
    </row>
    <row r="526" s="447" customFormat="1" ht="12.75">
      <c r="F526" s="458"/>
    </row>
    <row r="527" s="447" customFormat="1" ht="12.75">
      <c r="F527" s="458"/>
    </row>
    <row r="528" s="447" customFormat="1" ht="12.75">
      <c r="F528" s="458"/>
    </row>
    <row r="529" s="447" customFormat="1" ht="12.75">
      <c r="F529" s="458"/>
    </row>
    <row r="530" s="447" customFormat="1" ht="12.75">
      <c r="F530" s="458"/>
    </row>
    <row r="531" s="447" customFormat="1" ht="12.75">
      <c r="F531" s="458"/>
    </row>
    <row r="532" s="447" customFormat="1" ht="12.75">
      <c r="F532" s="458"/>
    </row>
    <row r="533" s="447" customFormat="1" ht="12.75">
      <c r="F533" s="458"/>
    </row>
    <row r="534" s="447" customFormat="1" ht="12.75">
      <c r="F534" s="458"/>
    </row>
    <row r="535" s="447" customFormat="1" ht="12.75">
      <c r="F535" s="458"/>
    </row>
    <row r="536" s="447" customFormat="1" ht="12.75">
      <c r="F536" s="458"/>
    </row>
    <row r="537" s="447" customFormat="1" ht="12.75">
      <c r="F537" s="458"/>
    </row>
    <row r="538" s="447" customFormat="1" ht="12.75">
      <c r="F538" s="458"/>
    </row>
    <row r="539" s="447" customFormat="1" ht="12.75">
      <c r="F539" s="458"/>
    </row>
    <row r="540" s="447" customFormat="1" ht="12.75">
      <c r="F540" s="458"/>
    </row>
    <row r="541" s="447" customFormat="1" ht="12.75">
      <c r="F541" s="458"/>
    </row>
    <row r="542" s="447" customFormat="1" ht="12.75">
      <c r="F542" s="458"/>
    </row>
    <row r="543" s="447" customFormat="1" ht="12.75">
      <c r="F543" s="458"/>
    </row>
    <row r="544" s="447" customFormat="1" ht="12.75">
      <c r="F544" s="458"/>
    </row>
    <row r="545" s="447" customFormat="1" ht="12.75">
      <c r="F545" s="458"/>
    </row>
    <row r="546" s="447" customFormat="1" ht="12.75">
      <c r="F546" s="458"/>
    </row>
    <row r="547" s="447" customFormat="1" ht="12.75">
      <c r="F547" s="458"/>
    </row>
    <row r="548" s="447" customFormat="1" ht="12.75">
      <c r="F548" s="458"/>
    </row>
    <row r="549" s="447" customFormat="1" ht="12.75">
      <c r="F549" s="458"/>
    </row>
    <row r="550" s="447" customFormat="1" ht="12.75">
      <c r="F550" s="458"/>
    </row>
    <row r="551" s="447" customFormat="1" ht="12.75">
      <c r="F551" s="458"/>
    </row>
    <row r="552" s="447" customFormat="1" ht="12.75">
      <c r="F552" s="458"/>
    </row>
    <row r="553" s="447" customFormat="1" ht="12.75">
      <c r="F553" s="458"/>
    </row>
    <row r="554" s="447" customFormat="1" ht="12.75">
      <c r="F554" s="458"/>
    </row>
    <row r="555" s="447" customFormat="1" ht="12.75">
      <c r="F555" s="458"/>
    </row>
    <row r="556" s="447" customFormat="1" ht="12.75">
      <c r="F556" s="458"/>
    </row>
    <row r="557" s="447" customFormat="1" ht="12.75">
      <c r="F557" s="458"/>
    </row>
    <row r="558" s="447" customFormat="1" ht="12.75">
      <c r="F558" s="458"/>
    </row>
    <row r="559" s="447" customFormat="1" ht="12.75">
      <c r="F559" s="458"/>
    </row>
    <row r="560" s="447" customFormat="1" ht="12.75">
      <c r="F560" s="458"/>
    </row>
    <row r="561" s="447" customFormat="1" ht="12.75">
      <c r="F561" s="458"/>
    </row>
    <row r="562" s="447" customFormat="1" ht="12.75">
      <c r="F562" s="458"/>
    </row>
    <row r="563" s="447" customFormat="1" ht="12.75">
      <c r="F563" s="458"/>
    </row>
    <row r="564" spans="2:6" ht="12.75">
      <c r="B564" s="447"/>
      <c r="C564" s="447"/>
      <c r="D564" s="447"/>
      <c r="E564" s="447"/>
      <c r="F564" s="458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7" footer="0.5118110236220472"/>
  <pageSetup horizontalDpi="300" verticalDpi="300" orientation="portrait" paperSize="9" scale="60" r:id="rId1"/>
  <headerFooter alignWithMargins="0">
    <oddHeader>&amp;L                     &amp;R      
</oddHeader>
  </headerFooter>
  <ignoredErrors>
    <ignoredError sqref="C20:E20 E27" unlockedFormula="1"/>
    <ignoredError sqref="C23:E23 C12:E12 C8:E8 C49:E49 C55:E5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98"/>
  <sheetViews>
    <sheetView showGridLines="0" zoomScalePageLayoutView="0" workbookViewId="0" topLeftCell="A1">
      <selection activeCell="H19" sqref="H19"/>
    </sheetView>
  </sheetViews>
  <sheetFormatPr defaultColWidth="11.57421875" defaultRowHeight="12.75"/>
  <cols>
    <col min="1" max="1" width="4.57421875" style="343" customWidth="1"/>
    <col min="2" max="2" width="66.00390625" style="343" customWidth="1"/>
    <col min="3" max="3" width="0.42578125" style="343" hidden="1" customWidth="1"/>
    <col min="4" max="4" width="15.8515625" style="343" customWidth="1"/>
    <col min="5" max="5" width="20.7109375" style="343" customWidth="1"/>
    <col min="6" max="6" width="8.8515625" style="343" customWidth="1"/>
    <col min="7" max="7" width="11.57421875" style="345" customWidth="1"/>
    <col min="8" max="16384" width="11.57421875" style="343" customWidth="1"/>
  </cols>
  <sheetData>
    <row r="1" spans="2:5" ht="12.75">
      <c r="B1" s="344"/>
      <c r="C1" s="344"/>
      <c r="D1" s="344"/>
      <c r="E1" s="344"/>
    </row>
    <row r="2" spans="2:5" ht="12.75">
      <c r="B2" s="344"/>
      <c r="C2" s="344"/>
      <c r="D2" s="344"/>
      <c r="E2" s="344"/>
    </row>
    <row r="3" spans="2:5" ht="13.5" thickBot="1">
      <c r="B3" s="344"/>
      <c r="C3" s="344"/>
      <c r="D3" s="344"/>
      <c r="E3" s="344"/>
    </row>
    <row r="4" spans="1:7" s="347" customFormat="1" ht="35.25" customHeight="1">
      <c r="A4" s="343"/>
      <c r="B4" s="1068" t="s">
        <v>131</v>
      </c>
      <c r="C4" s="1069"/>
      <c r="D4" s="1070"/>
      <c r="E4" s="346">
        <v>2017</v>
      </c>
      <c r="G4" s="348"/>
    </row>
    <row r="5" spans="2:5" ht="25.5" customHeight="1" thickBot="1">
      <c r="B5" s="1071" t="str">
        <f>CPYG!B3</f>
        <v>ENTIDAD: INSTITUTO TECNOLOGICO Y DE ENERGIAS RENOVABLES S.A.</v>
      </c>
      <c r="C5" s="1072"/>
      <c r="D5" s="1072"/>
      <c r="E5" s="349" t="s">
        <v>243</v>
      </c>
    </row>
    <row r="6" spans="2:5" ht="30" customHeight="1">
      <c r="B6" s="1073" t="s">
        <v>447</v>
      </c>
      <c r="C6" s="1074"/>
      <c r="D6" s="1074"/>
      <c r="E6" s="1075"/>
    </row>
    <row r="7" spans="2:5" ht="36" customHeight="1" thickBot="1">
      <c r="B7" s="350"/>
      <c r="C7" s="351"/>
      <c r="D7" s="352" t="s">
        <v>499</v>
      </c>
      <c r="E7" s="353" t="s">
        <v>500</v>
      </c>
    </row>
    <row r="8" spans="2:5" ht="17.25" customHeight="1" thickBot="1">
      <c r="B8" s="354" t="s">
        <v>244</v>
      </c>
      <c r="C8" s="355"/>
      <c r="D8" s="356"/>
      <c r="E8" s="357"/>
    </row>
    <row r="9" spans="2:5" ht="12.75">
      <c r="B9" s="358" t="s">
        <v>245</v>
      </c>
      <c r="C9" s="359"/>
      <c r="D9" s="580">
        <v>355830.49</v>
      </c>
      <c r="E9" s="581">
        <f>+CPYG!D89</f>
        <v>1292377.449999998</v>
      </c>
    </row>
    <row r="10" spans="2:5" ht="12.75">
      <c r="B10" s="360" t="s">
        <v>246</v>
      </c>
      <c r="C10" s="361"/>
      <c r="D10" s="590">
        <f>SUM(D11:D21)</f>
        <v>824329.1599999997</v>
      </c>
      <c r="E10" s="725">
        <f>SUM(E11:E21)</f>
        <v>872206.6300000001</v>
      </c>
    </row>
    <row r="11" spans="2:5" ht="12.75">
      <c r="B11" s="362" t="s">
        <v>247</v>
      </c>
      <c r="C11" s="361"/>
      <c r="D11" s="971">
        <v>3504770.75</v>
      </c>
      <c r="E11" s="968">
        <v>3186556.73</v>
      </c>
    </row>
    <row r="12" spans="2:5" ht="12.75">
      <c r="B12" s="362" t="s">
        <v>248</v>
      </c>
      <c r="C12" s="361"/>
      <c r="D12" s="582"/>
      <c r="E12" s="969"/>
    </row>
    <row r="13" spans="2:5" ht="12.75">
      <c r="B13" s="362" t="s">
        <v>249</v>
      </c>
      <c r="C13" s="361"/>
      <c r="D13" s="582"/>
      <c r="E13" s="969"/>
    </row>
    <row r="14" spans="2:5" ht="12.75">
      <c r="B14" s="362" t="s">
        <v>250</v>
      </c>
      <c r="C14" s="361"/>
      <c r="D14" s="971">
        <v>-657375.7</v>
      </c>
      <c r="E14" s="968">
        <v>-413843.05</v>
      </c>
    </row>
    <row r="15" spans="2:5" ht="12.75">
      <c r="B15" s="362" t="s">
        <v>251</v>
      </c>
      <c r="C15" s="361"/>
      <c r="D15" s="582"/>
      <c r="E15" s="969"/>
    </row>
    <row r="16" spans="2:5" ht="12.75">
      <c r="B16" s="362" t="s">
        <v>252</v>
      </c>
      <c r="C16" s="361"/>
      <c r="D16" s="582"/>
      <c r="E16" s="969"/>
    </row>
    <row r="17" spans="2:5" ht="12.75">
      <c r="B17" s="362" t="s">
        <v>253</v>
      </c>
      <c r="C17" s="361"/>
      <c r="D17" s="971">
        <v>-1051154.29</v>
      </c>
      <c r="E17" s="968">
        <v>-1910298.25</v>
      </c>
    </row>
    <row r="18" spans="2:5" ht="12.75">
      <c r="B18" s="362" t="s">
        <v>254</v>
      </c>
      <c r="C18" s="361"/>
      <c r="D18" s="971">
        <v>181750.69</v>
      </c>
      <c r="E18" s="968">
        <v>230523.31</v>
      </c>
    </row>
    <row r="19" spans="2:5" ht="12.75">
      <c r="B19" s="362" t="s">
        <v>255</v>
      </c>
      <c r="C19" s="361"/>
      <c r="D19" s="971"/>
      <c r="E19" s="968">
        <v>56.69</v>
      </c>
    </row>
    <row r="20" spans="2:5" ht="12.75">
      <c r="B20" s="363" t="s">
        <v>256</v>
      </c>
      <c r="C20" s="361"/>
      <c r="D20" s="582"/>
      <c r="E20" s="969"/>
    </row>
    <row r="21" spans="2:5" ht="12.75">
      <c r="B21" s="363" t="s">
        <v>257</v>
      </c>
      <c r="C21" s="361"/>
      <c r="D21" s="971">
        <v>-1153662.29</v>
      </c>
      <c r="E21" s="968">
        <v>-220788.8</v>
      </c>
    </row>
    <row r="22" spans="2:6" ht="12.75">
      <c r="B22" s="360" t="s">
        <v>258</v>
      </c>
      <c r="C22" s="361"/>
      <c r="D22" s="590">
        <f>SUM(D23:D28)</f>
        <v>-2396678.97</v>
      </c>
      <c r="E22" s="970">
        <f>SUM(E23:E28)</f>
        <v>-2680373.3</v>
      </c>
      <c r="F22" s="364"/>
    </row>
    <row r="23" spans="2:6" ht="12.75" customHeight="1">
      <c r="B23" s="362" t="s">
        <v>259</v>
      </c>
      <c r="C23" s="361"/>
      <c r="D23" s="971">
        <v>66900</v>
      </c>
      <c r="E23" s="968">
        <v>7350</v>
      </c>
      <c r="F23" s="364"/>
    </row>
    <row r="24" spans="2:6" ht="12.75" customHeight="1">
      <c r="B24" s="362" t="s">
        <v>260</v>
      </c>
      <c r="C24" s="361"/>
      <c r="D24" s="971">
        <v>1916652.75</v>
      </c>
      <c r="E24" s="968">
        <v>3132471.39</v>
      </c>
      <c r="F24" s="364"/>
    </row>
    <row r="25" spans="2:6" ht="12.75" customHeight="1">
      <c r="B25" s="362" t="s">
        <v>261</v>
      </c>
      <c r="C25" s="361"/>
      <c r="D25" s="971">
        <v>1820560.85</v>
      </c>
      <c r="E25" s="968">
        <v>941748.54</v>
      </c>
      <c r="F25" s="364"/>
    </row>
    <row r="26" spans="2:6" ht="12.75" customHeight="1">
      <c r="B26" s="362" t="s">
        <v>262</v>
      </c>
      <c r="C26" s="361"/>
      <c r="D26" s="971">
        <v>-1293750</v>
      </c>
      <c r="E26" s="968">
        <v>755850.52</v>
      </c>
      <c r="F26" s="364"/>
    </row>
    <row r="27" spans="2:6" ht="12.75" customHeight="1">
      <c r="B27" s="362" t="s">
        <v>263</v>
      </c>
      <c r="C27" s="361"/>
      <c r="D27" s="971">
        <v>-4907042.57</v>
      </c>
      <c r="E27" s="968">
        <v>-7517793.75</v>
      </c>
      <c r="F27" s="364"/>
    </row>
    <row r="28" spans="2:6" ht="12.75" customHeight="1">
      <c r="B28" s="362" t="s">
        <v>264</v>
      </c>
      <c r="C28" s="361"/>
      <c r="D28" s="971"/>
      <c r="E28" s="968"/>
      <c r="F28" s="364"/>
    </row>
    <row r="29" spans="2:6" ht="12.75">
      <c r="B29" s="360" t="s">
        <v>267</v>
      </c>
      <c r="C29" s="361"/>
      <c r="D29" s="590">
        <f>SUM(D30:D34)</f>
        <v>322719.5</v>
      </c>
      <c r="E29" s="970">
        <f>SUM(E30:E34)</f>
        <v>1054771.2499999998</v>
      </c>
      <c r="F29" s="364"/>
    </row>
    <row r="30" spans="2:6" ht="12.75" customHeight="1">
      <c r="B30" s="362" t="s">
        <v>268</v>
      </c>
      <c r="C30" s="361"/>
      <c r="D30" s="971">
        <v>-170550.69</v>
      </c>
      <c r="E30" s="968">
        <v>-219323.31</v>
      </c>
      <c r="F30" s="364"/>
    </row>
    <row r="31" spans="2:6" ht="12.75" customHeight="1">
      <c r="B31" s="362" t="s">
        <v>269</v>
      </c>
      <c r="C31" s="361"/>
      <c r="D31" s="971">
        <v>493270.19</v>
      </c>
      <c r="E31" s="968">
        <v>1212141.15</v>
      </c>
      <c r="F31" s="364"/>
    </row>
    <row r="32" spans="2:5" ht="12.75" customHeight="1">
      <c r="B32" s="362" t="s">
        <v>270</v>
      </c>
      <c r="C32" s="361"/>
      <c r="D32" s="971"/>
      <c r="E32" s="968">
        <v>61953.41</v>
      </c>
    </row>
    <row r="33" spans="2:5" ht="12.75" customHeight="1">
      <c r="B33" s="362" t="s">
        <v>271</v>
      </c>
      <c r="C33" s="361"/>
      <c r="D33" s="971"/>
      <c r="E33" s="968"/>
    </row>
    <row r="34" spans="2:5" ht="13.5" thickBot="1">
      <c r="B34" s="362" t="s">
        <v>272</v>
      </c>
      <c r="C34" s="365"/>
      <c r="D34" s="971"/>
      <c r="E34" s="968"/>
    </row>
    <row r="35" spans="2:5" ht="15" customHeight="1" thickBot="1" thickTop="1">
      <c r="B35" s="1076" t="s">
        <v>273</v>
      </c>
      <c r="C35" s="1077"/>
      <c r="D35" s="591">
        <f>D9+D10+D22+D29</f>
        <v>-893799.8200000005</v>
      </c>
      <c r="E35" s="592">
        <f>E9+E10+E22+E29</f>
        <v>538982.0299999982</v>
      </c>
    </row>
    <row r="36" spans="2:5" ht="17.25" customHeight="1" thickBot="1">
      <c r="B36" s="354" t="s">
        <v>281</v>
      </c>
      <c r="C36" s="355"/>
      <c r="D36" s="593"/>
      <c r="E36" s="594"/>
    </row>
    <row r="37" spans="2:5" ht="12.75">
      <c r="B37" s="358" t="s">
        <v>282</v>
      </c>
      <c r="C37" s="366"/>
      <c r="D37" s="595">
        <f>SUM(D38:D45)</f>
        <v>-6578170.67</v>
      </c>
      <c r="E37" s="972">
        <f>SUM(E38:E45)</f>
        <v>-4853356.5</v>
      </c>
    </row>
    <row r="38" spans="2:5" ht="12.75">
      <c r="B38" s="362" t="s">
        <v>283</v>
      </c>
      <c r="C38" s="367"/>
      <c r="D38" s="971"/>
      <c r="E38" s="968"/>
    </row>
    <row r="39" spans="2:5" ht="12.75">
      <c r="B39" s="362" t="s">
        <v>284</v>
      </c>
      <c r="C39" s="367"/>
      <c r="D39" s="971">
        <v>-6578170.67</v>
      </c>
      <c r="E39" s="968">
        <v>-2943.29</v>
      </c>
    </row>
    <row r="40" spans="2:5" ht="12.75">
      <c r="B40" s="362" t="s">
        <v>285</v>
      </c>
      <c r="C40" s="367"/>
      <c r="D40" s="971"/>
      <c r="E40" s="968">
        <v>-4838063.21</v>
      </c>
    </row>
    <row r="41" spans="2:5" ht="12.75">
      <c r="B41" s="362" t="s">
        <v>286</v>
      </c>
      <c r="C41" s="367"/>
      <c r="D41" s="971"/>
      <c r="E41" s="968"/>
    </row>
    <row r="42" spans="2:5" ht="12.75">
      <c r="B42" s="362" t="s">
        <v>287</v>
      </c>
      <c r="C42" s="367"/>
      <c r="D42" s="971"/>
      <c r="E42" s="968">
        <v>-12350</v>
      </c>
    </row>
    <row r="43" spans="2:5" ht="12.75">
      <c r="B43" s="362" t="s">
        <v>288</v>
      </c>
      <c r="C43" s="367"/>
      <c r="D43" s="971"/>
      <c r="E43" s="968"/>
    </row>
    <row r="44" spans="2:5" ht="12.75">
      <c r="B44" s="362" t="s">
        <v>289</v>
      </c>
      <c r="C44" s="367"/>
      <c r="D44" s="971"/>
      <c r="E44" s="968"/>
    </row>
    <row r="45" spans="2:5" ht="12.75">
      <c r="B45" s="362" t="s">
        <v>290</v>
      </c>
      <c r="C45" s="367"/>
      <c r="D45" s="971"/>
      <c r="E45" s="968"/>
    </row>
    <row r="46" spans="2:5" ht="12.75">
      <c r="B46" s="360" t="s">
        <v>291</v>
      </c>
      <c r="C46" s="367"/>
      <c r="D46" s="590">
        <f>SUM(D47:D54)</f>
        <v>965100</v>
      </c>
      <c r="E46" s="970">
        <f>SUM(E47:E54)</f>
        <v>964450</v>
      </c>
    </row>
    <row r="47" spans="2:5" ht="12.75">
      <c r="B47" s="362" t="s">
        <v>292</v>
      </c>
      <c r="C47" s="367"/>
      <c r="D47" s="971"/>
      <c r="E47" s="968"/>
    </row>
    <row r="48" spans="2:5" ht="12.75">
      <c r="B48" s="362" t="s">
        <v>284</v>
      </c>
      <c r="C48" s="367"/>
      <c r="D48" s="971"/>
      <c r="E48" s="968"/>
    </row>
    <row r="49" spans="2:5" ht="12.75">
      <c r="B49" s="362" t="s">
        <v>285</v>
      </c>
      <c r="C49" s="367"/>
      <c r="D49" s="971"/>
      <c r="E49" s="968"/>
    </row>
    <row r="50" spans="2:5" ht="12.75">
      <c r="B50" s="362" t="s">
        <v>286</v>
      </c>
      <c r="C50" s="367"/>
      <c r="D50" s="971"/>
      <c r="E50" s="968"/>
    </row>
    <row r="51" spans="2:5" ht="12.75">
      <c r="B51" s="362" t="s">
        <v>287</v>
      </c>
      <c r="C51" s="367"/>
      <c r="D51" s="971">
        <v>965100</v>
      </c>
      <c r="E51" s="968">
        <v>964450</v>
      </c>
    </row>
    <row r="52" spans="2:5" ht="12.75">
      <c r="B52" s="362" t="s">
        <v>288</v>
      </c>
      <c r="C52" s="367"/>
      <c r="D52" s="971"/>
      <c r="E52" s="968"/>
    </row>
    <row r="53" spans="2:5" ht="12.75">
      <c r="B53" s="362" t="s">
        <v>289</v>
      </c>
      <c r="C53" s="367"/>
      <c r="D53" s="971"/>
      <c r="E53" s="968"/>
    </row>
    <row r="54" spans="2:5" ht="12.75">
      <c r="B54" s="362" t="s">
        <v>290</v>
      </c>
      <c r="C54" s="367"/>
      <c r="D54" s="971"/>
      <c r="E54" s="968"/>
    </row>
    <row r="55" spans="2:5" ht="13.5" thickBot="1">
      <c r="B55" s="368" t="s">
        <v>293</v>
      </c>
      <c r="C55" s="369"/>
      <c r="D55" s="591">
        <f>D37+D46</f>
        <v>-5613070.67</v>
      </c>
      <c r="E55" s="592">
        <f>E37+E46</f>
        <v>-3888906.5</v>
      </c>
    </row>
    <row r="56" spans="2:5" ht="17.25" customHeight="1" thickBot="1">
      <c r="B56" s="354" t="s">
        <v>294</v>
      </c>
      <c r="C56" s="355"/>
      <c r="D56" s="593"/>
      <c r="E56" s="594"/>
    </row>
    <row r="57" spans="2:5" ht="12.75">
      <c r="B57" s="370" t="s">
        <v>295</v>
      </c>
      <c r="C57" s="371"/>
      <c r="D57" s="596">
        <f>SUM(D58:D62)</f>
        <v>719000</v>
      </c>
      <c r="E57" s="726">
        <f>SUM(E58:E62)</f>
        <v>10132106.6</v>
      </c>
    </row>
    <row r="58" spans="2:5" ht="12.75">
      <c r="B58" s="362" t="s">
        <v>296</v>
      </c>
      <c r="C58" s="367"/>
      <c r="D58" s="582"/>
      <c r="E58" s="912"/>
    </row>
    <row r="59" spans="2:5" ht="12.75">
      <c r="B59" s="362" t="s">
        <v>297</v>
      </c>
      <c r="C59" s="367"/>
      <c r="D59" s="582"/>
      <c r="E59" s="912"/>
    </row>
    <row r="60" spans="2:5" ht="12.75">
      <c r="B60" s="362" t="s">
        <v>298</v>
      </c>
      <c r="C60" s="367"/>
      <c r="D60" s="582"/>
      <c r="E60" s="912"/>
    </row>
    <row r="61" spans="2:5" ht="12.75">
      <c r="B61" s="362" t="s">
        <v>299</v>
      </c>
      <c r="C61" s="367"/>
      <c r="D61" s="582"/>
      <c r="E61" s="912"/>
    </row>
    <row r="62" spans="2:5" ht="12.75" customHeight="1">
      <c r="B62" s="362" t="s">
        <v>300</v>
      </c>
      <c r="C62" s="367"/>
      <c r="D62" s="971">
        <v>719000</v>
      </c>
      <c r="E62" s="912">
        <v>10132106.6</v>
      </c>
    </row>
    <row r="63" spans="2:5" ht="12.75">
      <c r="B63" s="360" t="s">
        <v>301</v>
      </c>
      <c r="C63" s="367"/>
      <c r="D63" s="590">
        <f>D64+D70</f>
        <v>0</v>
      </c>
      <c r="E63" s="725">
        <f>E64+E70</f>
        <v>-1206101.57</v>
      </c>
    </row>
    <row r="64" spans="2:5" ht="12.75">
      <c r="B64" s="362" t="s">
        <v>302</v>
      </c>
      <c r="C64" s="367"/>
      <c r="D64" s="590">
        <f>SUM(D65:D69)</f>
        <v>0</v>
      </c>
      <c r="E64" s="912">
        <f>SUM(E65:E69)</f>
        <v>0</v>
      </c>
    </row>
    <row r="65" spans="2:5" ht="12.75" customHeight="1">
      <c r="B65" s="362" t="s">
        <v>303</v>
      </c>
      <c r="C65" s="367"/>
      <c r="D65" s="582"/>
      <c r="E65" s="912"/>
    </row>
    <row r="66" spans="2:5" ht="12.75" customHeight="1">
      <c r="B66" s="362" t="s">
        <v>304</v>
      </c>
      <c r="C66" s="367"/>
      <c r="D66" s="582"/>
      <c r="E66" s="912"/>
    </row>
    <row r="67" spans="2:5" ht="12.75" customHeight="1">
      <c r="B67" s="362" t="s">
        <v>305</v>
      </c>
      <c r="C67" s="367"/>
      <c r="D67" s="582"/>
      <c r="E67" s="912"/>
    </row>
    <row r="68" spans="2:5" ht="12.75" customHeight="1">
      <c r="B68" s="362" t="s">
        <v>306</v>
      </c>
      <c r="C68" s="367"/>
      <c r="D68" s="582"/>
      <c r="E68" s="912"/>
    </row>
    <row r="69" spans="2:5" ht="12.75" customHeight="1">
      <c r="B69" s="362" t="s">
        <v>307</v>
      </c>
      <c r="C69" s="367"/>
      <c r="D69" s="582"/>
      <c r="E69" s="912"/>
    </row>
    <row r="70" spans="2:5" ht="12.75">
      <c r="B70" s="362" t="s">
        <v>308</v>
      </c>
      <c r="C70" s="367"/>
      <c r="D70" s="590">
        <f>SUM(D71:D75)</f>
        <v>0</v>
      </c>
      <c r="E70" s="912">
        <f>SUM(E71:E75)</f>
        <v>-1206101.57</v>
      </c>
    </row>
    <row r="71" spans="2:5" ht="12.75" customHeight="1">
      <c r="B71" s="362" t="s">
        <v>309</v>
      </c>
      <c r="C71" s="367"/>
      <c r="D71" s="582"/>
      <c r="E71" s="912"/>
    </row>
    <row r="72" spans="2:5" ht="12.75" customHeight="1">
      <c r="B72" s="362" t="s">
        <v>310</v>
      </c>
      <c r="C72" s="367"/>
      <c r="D72" s="582"/>
      <c r="E72" s="912">
        <v>-1206101.57</v>
      </c>
    </row>
    <row r="73" spans="2:5" ht="12.75" customHeight="1">
      <c r="B73" s="362" t="s">
        <v>311</v>
      </c>
      <c r="C73" s="367"/>
      <c r="D73" s="582"/>
      <c r="E73" s="912"/>
    </row>
    <row r="74" spans="2:5" ht="12.75" customHeight="1">
      <c r="B74" s="362" t="s">
        <v>312</v>
      </c>
      <c r="C74" s="367"/>
      <c r="D74" s="582"/>
      <c r="E74" s="912"/>
    </row>
    <row r="75" spans="2:5" ht="12.75" customHeight="1">
      <c r="B75" s="362" t="s">
        <v>313</v>
      </c>
      <c r="C75" s="367"/>
      <c r="D75" s="582"/>
      <c r="E75" s="912"/>
    </row>
    <row r="76" spans="2:5" ht="25.5">
      <c r="B76" s="360" t="s">
        <v>314</v>
      </c>
      <c r="C76" s="367"/>
      <c r="D76" s="590">
        <f>SUM(D77:D78)</f>
        <v>0</v>
      </c>
      <c r="E76" s="725">
        <f>SUM(E77:E78)</f>
        <v>0</v>
      </c>
    </row>
    <row r="77" spans="2:5" ht="15" customHeight="1">
      <c r="B77" s="362" t="s">
        <v>315</v>
      </c>
      <c r="C77" s="372" t="s">
        <v>296</v>
      </c>
      <c r="D77" s="582"/>
      <c r="E77" s="583"/>
    </row>
    <row r="78" spans="2:5" ht="12.75">
      <c r="B78" s="362" t="s">
        <v>316</v>
      </c>
      <c r="C78" s="372" t="s">
        <v>297</v>
      </c>
      <c r="D78" s="582"/>
      <c r="E78" s="583"/>
    </row>
    <row r="79" spans="2:5" ht="23.25" customHeight="1" thickBot="1">
      <c r="B79" s="1066" t="s">
        <v>317</v>
      </c>
      <c r="C79" s="1067"/>
      <c r="D79" s="597">
        <f>D57+D63+D76</f>
        <v>719000</v>
      </c>
      <c r="E79" s="598">
        <f>E57+E63+E76</f>
        <v>8926005.03</v>
      </c>
    </row>
    <row r="80" spans="2:5" ht="17.25" customHeight="1" thickBot="1">
      <c r="B80" s="373" t="s">
        <v>318</v>
      </c>
      <c r="C80" s="374"/>
      <c r="D80" s="584"/>
      <c r="E80" s="585"/>
    </row>
    <row r="81" spans="2:5" ht="25.5" customHeight="1" thickBot="1">
      <c r="B81" s="375" t="s">
        <v>319</v>
      </c>
      <c r="C81" s="376"/>
      <c r="D81" s="599">
        <f>D35+D55+D79+D80</f>
        <v>-5787870.49</v>
      </c>
      <c r="E81" s="600">
        <f>E35+E55+E79+E80</f>
        <v>5576080.559999998</v>
      </c>
    </row>
    <row r="82" spans="2:5" ht="12.75">
      <c r="B82" s="377" t="s">
        <v>320</v>
      </c>
      <c r="C82" s="378"/>
      <c r="D82" s="586">
        <v>6084081.76</v>
      </c>
      <c r="E82" s="587">
        <v>508001.2</v>
      </c>
    </row>
    <row r="83" spans="2:5" ht="13.5" customHeight="1" thickBot="1">
      <c r="B83" s="379" t="s">
        <v>321</v>
      </c>
      <c r="C83" s="380"/>
      <c r="D83" s="588">
        <v>296211.27</v>
      </c>
      <c r="E83" s="589">
        <v>6084081.76</v>
      </c>
    </row>
    <row r="84" spans="4:5" ht="12.75">
      <c r="D84" s="381"/>
      <c r="E84" s="382"/>
    </row>
    <row r="85" spans="4:5" ht="12.75">
      <c r="D85" s="382"/>
      <c r="E85" s="382"/>
    </row>
    <row r="86" spans="4:5" ht="12.75">
      <c r="D86" s="382"/>
      <c r="E86" s="382"/>
    </row>
    <row r="87" spans="4:5" ht="12.75">
      <c r="D87" s="382"/>
      <c r="E87" s="382"/>
    </row>
    <row r="88" spans="4:5" ht="12.75">
      <c r="D88" s="382"/>
      <c r="E88" s="382"/>
    </row>
    <row r="89" spans="4:5" ht="12.75">
      <c r="D89" s="382"/>
      <c r="E89" s="382"/>
    </row>
    <row r="90" spans="4:5" ht="12.75">
      <c r="D90" s="382"/>
      <c r="E90" s="382"/>
    </row>
    <row r="91" spans="4:5" ht="12.75">
      <c r="D91" s="382"/>
      <c r="E91" s="382"/>
    </row>
    <row r="92" spans="4:5" ht="12.75">
      <c r="D92" s="382"/>
      <c r="E92" s="382"/>
    </row>
    <row r="93" spans="4:5" ht="12.75">
      <c r="D93" s="382"/>
      <c r="E93" s="382"/>
    </row>
    <row r="94" spans="4:5" ht="12.75">
      <c r="D94" s="382"/>
      <c r="E94" s="382"/>
    </row>
    <row r="95" spans="4:5" ht="12.75">
      <c r="D95" s="382"/>
      <c r="E95" s="382"/>
    </row>
    <row r="96" spans="4:5" ht="12.75">
      <c r="D96" s="382"/>
      <c r="E96" s="382"/>
    </row>
    <row r="97" spans="4:5" ht="12.75">
      <c r="D97" s="382"/>
      <c r="E97" s="382"/>
    </row>
    <row r="98" spans="4:5" ht="12.75">
      <c r="D98" s="382"/>
      <c r="E98" s="382"/>
    </row>
  </sheetData>
  <sheetProtection/>
  <mergeCells count="5">
    <mergeCell ref="B79:C79"/>
    <mergeCell ref="B4:D4"/>
    <mergeCell ref="B5:D5"/>
    <mergeCell ref="B6:E6"/>
    <mergeCell ref="B35:C35"/>
  </mergeCells>
  <printOptions horizontalCentered="1" verticalCentered="1"/>
  <pageMargins left="0.35433070866141736" right="0.4330708661417323" top="0.5905511811023623" bottom="0.31496062992125984" header="0.5118110236220472" footer="0.2755905511811024"/>
  <pageSetup orientation="portrait" paperSize="9" scale="65" r:id="rId1"/>
  <colBreaks count="1" manualBreakCount="1">
    <brk id="6" max="65535" man="1"/>
  </colBreaks>
  <ignoredErrors>
    <ignoredError sqref="E9 E70 E6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R61"/>
  <sheetViews>
    <sheetView zoomScale="79" zoomScaleNormal="79" zoomScalePageLayoutView="0" workbookViewId="0" topLeftCell="A1">
      <selection activeCell="A33" sqref="A33"/>
    </sheetView>
  </sheetViews>
  <sheetFormatPr defaultColWidth="11.421875" defaultRowHeight="12.75"/>
  <cols>
    <col min="1" max="1" width="11.421875" style="779" customWidth="1"/>
    <col min="2" max="2" width="2.7109375" style="779" customWidth="1"/>
    <col min="3" max="3" width="23.57421875" style="779" customWidth="1"/>
    <col min="4" max="4" width="29.28125" style="779" customWidth="1"/>
    <col min="5" max="5" width="20.28125" style="779" customWidth="1"/>
    <col min="6" max="6" width="20.7109375" style="779" customWidth="1"/>
    <col min="7" max="7" width="19.421875" style="779" customWidth="1"/>
    <col min="8" max="8" width="15.8515625" style="779" customWidth="1"/>
    <col min="9" max="9" width="15.28125" style="779" customWidth="1"/>
    <col min="10" max="10" width="16.421875" style="779" customWidth="1"/>
    <col min="11" max="11" width="15.7109375" style="779" customWidth="1"/>
    <col min="12" max="12" width="15.28125" style="779" customWidth="1"/>
    <col min="13" max="13" width="19.00390625" style="779" customWidth="1"/>
    <col min="14" max="14" width="11.421875" style="779" customWidth="1"/>
    <col min="15" max="16" width="5.00390625" style="779" hidden="1" customWidth="1"/>
    <col min="17" max="17" width="11.421875" style="779" hidden="1" customWidth="1"/>
    <col min="18" max="18" width="14.00390625" style="779" bestFit="1" customWidth="1"/>
    <col min="19" max="16384" width="11.421875" style="779" customWidth="1"/>
  </cols>
  <sheetData>
    <row r="1" ht="25.5" customHeight="1" thickBot="1"/>
    <row r="2" spans="2:13" ht="44.25" customHeight="1">
      <c r="B2" s="1102" t="s">
        <v>215</v>
      </c>
      <c r="C2" s="1103"/>
      <c r="D2" s="1103"/>
      <c r="E2" s="1103"/>
      <c r="F2" s="1103"/>
      <c r="G2" s="1103"/>
      <c r="H2" s="1103"/>
      <c r="I2" s="1103"/>
      <c r="J2" s="1103"/>
      <c r="K2" s="1103"/>
      <c r="L2" s="1104"/>
      <c r="M2" s="780">
        <f>CPYG!E2</f>
        <v>2017</v>
      </c>
    </row>
    <row r="3" spans="2:13" ht="24" customHeight="1">
      <c r="B3" s="1109" t="str">
        <f>'ORGANOS DE GOBIERNO'!B4:I4</f>
        <v>ENTIDAD: INSTITUTO TECNOLOGICO Y DE ENERGIAS RENOVABLES S.A.</v>
      </c>
      <c r="C3" s="1110"/>
      <c r="D3" s="1110"/>
      <c r="E3" s="1110"/>
      <c r="F3" s="1110"/>
      <c r="G3" s="1110"/>
      <c r="H3" s="1110"/>
      <c r="I3" s="1110"/>
      <c r="J3" s="1110"/>
      <c r="K3" s="1110"/>
      <c r="L3" s="1111"/>
      <c r="M3" s="237" t="s">
        <v>203</v>
      </c>
    </row>
    <row r="4" spans="2:13" ht="23.25" customHeight="1" thickBot="1">
      <c r="B4" s="1105" t="s">
        <v>462</v>
      </c>
      <c r="C4" s="1106"/>
      <c r="D4" s="1106"/>
      <c r="E4" s="1106"/>
      <c r="F4" s="1106"/>
      <c r="G4" s="1106"/>
      <c r="H4" s="1107"/>
      <c r="I4" s="1107"/>
      <c r="J4" s="1107"/>
      <c r="K4" s="1107"/>
      <c r="L4" s="1107"/>
      <c r="M4" s="1108"/>
    </row>
    <row r="5" spans="2:13" ht="28.5" customHeight="1">
      <c r="B5" s="1112" t="s">
        <v>490</v>
      </c>
      <c r="C5" s="1113"/>
      <c r="D5" s="1113"/>
      <c r="E5" s="1113" t="s">
        <v>498</v>
      </c>
      <c r="F5" s="1113"/>
      <c r="G5" s="1116"/>
      <c r="H5" s="1113" t="s">
        <v>463</v>
      </c>
      <c r="I5" s="1113"/>
      <c r="J5" s="1116"/>
      <c r="K5" s="1112" t="s">
        <v>464</v>
      </c>
      <c r="L5" s="1113"/>
      <c r="M5" s="1116"/>
    </row>
    <row r="6" spans="2:13" ht="28.5" customHeight="1" thickBot="1">
      <c r="B6" s="1114"/>
      <c r="C6" s="1115"/>
      <c r="D6" s="1115"/>
      <c r="E6" s="782" t="s">
        <v>465</v>
      </c>
      <c r="F6" s="782" t="s">
        <v>466</v>
      </c>
      <c r="G6" s="783" t="s">
        <v>588</v>
      </c>
      <c r="H6" s="782" t="s">
        <v>465</v>
      </c>
      <c r="I6" s="782" t="s">
        <v>466</v>
      </c>
      <c r="J6" s="783" t="s">
        <v>588</v>
      </c>
      <c r="K6" s="781" t="s">
        <v>465</v>
      </c>
      <c r="L6" s="782" t="s">
        <v>466</v>
      </c>
      <c r="M6" s="783" t="s">
        <v>588</v>
      </c>
    </row>
    <row r="7" spans="2:13" ht="28.5" customHeight="1">
      <c r="B7" s="784" t="s">
        <v>467</v>
      </c>
      <c r="C7" s="785"/>
      <c r="D7" s="786"/>
      <c r="E7" s="906">
        <f>+E8+E9</f>
        <v>880866.7100000007</v>
      </c>
      <c r="F7" s="906">
        <f>+F8+F9</f>
        <v>61660.66970000005</v>
      </c>
      <c r="G7" s="787"/>
      <c r="H7" s="906">
        <f>+H8+H9</f>
        <v>879609.96</v>
      </c>
      <c r="I7" s="906">
        <f>+I8+I9</f>
        <v>61572.6972</v>
      </c>
      <c r="J7" s="787"/>
      <c r="K7" s="906">
        <f>+K8+K9</f>
        <v>879609.96</v>
      </c>
      <c r="L7" s="906">
        <f>+L8+L9</f>
        <v>61572.6972</v>
      </c>
      <c r="M7" s="787"/>
    </row>
    <row r="8" spans="2:13" ht="18" customHeight="1">
      <c r="B8" s="788"/>
      <c r="C8" s="789"/>
      <c r="D8" s="790" t="s">
        <v>468</v>
      </c>
      <c r="E8" s="907"/>
      <c r="F8" s="907"/>
      <c r="G8" s="787"/>
      <c r="H8" s="907"/>
      <c r="I8" s="907"/>
      <c r="J8" s="787"/>
      <c r="K8" s="907"/>
      <c r="L8" s="907"/>
      <c r="M8" s="787"/>
    </row>
    <row r="9" spans="2:13" ht="25.5" customHeight="1">
      <c r="B9" s="788"/>
      <c r="C9" s="789"/>
      <c r="D9" s="790" t="s">
        <v>469</v>
      </c>
      <c r="E9" s="910">
        <v>880866.7100000007</v>
      </c>
      <c r="F9" s="911">
        <f>E9*0.07</f>
        <v>61660.66970000005</v>
      </c>
      <c r="G9" s="787"/>
      <c r="H9" s="910">
        <v>879609.96</v>
      </c>
      <c r="I9" s="911">
        <f>H9*0.07</f>
        <v>61572.6972</v>
      </c>
      <c r="J9" s="787"/>
      <c r="K9" s="910">
        <v>879609.96</v>
      </c>
      <c r="L9" s="911">
        <f>K9*0.07</f>
        <v>61572.6972</v>
      </c>
      <c r="M9" s="787"/>
    </row>
    <row r="10" spans="2:13" ht="28.5" customHeight="1">
      <c r="B10" s="784" t="s">
        <v>470</v>
      </c>
      <c r="C10" s="789"/>
      <c r="D10" s="791"/>
      <c r="E10" s="906">
        <f>+E11+E15</f>
        <v>1656437.0899999996</v>
      </c>
      <c r="F10" s="906">
        <f>+F11+F15</f>
        <v>115575.45229999998</v>
      </c>
      <c r="G10" s="787"/>
      <c r="H10" s="906">
        <f>+H11+H15</f>
        <v>1374741.95</v>
      </c>
      <c r="I10" s="906">
        <f>+I11+I15</f>
        <v>95919.73930000002</v>
      </c>
      <c r="J10" s="787"/>
      <c r="K10" s="906">
        <f>+K11+K15</f>
        <v>1165937.74</v>
      </c>
      <c r="L10" s="906">
        <f>+L11+L15</f>
        <v>81241.0025</v>
      </c>
      <c r="M10" s="787"/>
    </row>
    <row r="11" spans="2:13" ht="30" customHeight="1">
      <c r="B11" s="788"/>
      <c r="C11" s="792" t="s">
        <v>471</v>
      </c>
      <c r="D11" s="790" t="s">
        <v>472</v>
      </c>
      <c r="E11" s="908">
        <f>+E12+E13+E14</f>
        <v>5359.2</v>
      </c>
      <c r="F11" s="908">
        <f>+F12+F13+F14</f>
        <v>0</v>
      </c>
      <c r="G11" s="787"/>
      <c r="H11" s="908">
        <f>+H12+H13+H14</f>
        <v>4459.96</v>
      </c>
      <c r="I11" s="908">
        <f>+I12+I13+I14</f>
        <v>0</v>
      </c>
      <c r="J11" s="787"/>
      <c r="K11" s="908">
        <f>+K12+K13+K14</f>
        <v>5351.99</v>
      </c>
      <c r="L11" s="908">
        <f>+L12+L13+L14</f>
        <v>0</v>
      </c>
      <c r="M11" s="787"/>
    </row>
    <row r="12" spans="2:13" ht="18" customHeight="1">
      <c r="B12" s="788"/>
      <c r="C12" s="793" t="s">
        <v>864</v>
      </c>
      <c r="D12" s="790"/>
      <c r="E12" s="908">
        <v>5359.2</v>
      </c>
      <c r="F12" s="908">
        <v>0</v>
      </c>
      <c r="G12" s="787"/>
      <c r="H12" s="908">
        <v>4459.96</v>
      </c>
      <c r="I12" s="908">
        <v>0</v>
      </c>
      <c r="J12" s="787"/>
      <c r="K12" s="908">
        <v>5351.99</v>
      </c>
      <c r="L12" s="908">
        <v>0</v>
      </c>
      <c r="M12" s="787"/>
    </row>
    <row r="13" spans="2:13" ht="18" customHeight="1">
      <c r="B13" s="788"/>
      <c r="C13" s="793"/>
      <c r="D13" s="790"/>
      <c r="E13" s="907"/>
      <c r="F13" s="907"/>
      <c r="G13" s="787"/>
      <c r="H13" s="907"/>
      <c r="I13" s="907"/>
      <c r="J13" s="787"/>
      <c r="K13" s="907"/>
      <c r="L13" s="907"/>
      <c r="M13" s="787"/>
    </row>
    <row r="14" spans="2:13" ht="18" customHeight="1">
      <c r="B14" s="788"/>
      <c r="C14" s="793"/>
      <c r="D14" s="790"/>
      <c r="E14" s="907"/>
      <c r="F14" s="907"/>
      <c r="G14" s="787"/>
      <c r="H14" s="907"/>
      <c r="I14" s="907"/>
      <c r="J14" s="787"/>
      <c r="K14" s="907"/>
      <c r="L14" s="907"/>
      <c r="M14" s="787"/>
    </row>
    <row r="15" spans="2:13" ht="26.25" customHeight="1">
      <c r="B15" s="788"/>
      <c r="C15" s="792" t="s">
        <v>471</v>
      </c>
      <c r="D15" s="790" t="s">
        <v>473</v>
      </c>
      <c r="E15" s="908">
        <f>SUM(E16:E22)</f>
        <v>1651077.8899999997</v>
      </c>
      <c r="F15" s="908">
        <f>SUM(F16:F22)</f>
        <v>115575.45229999998</v>
      </c>
      <c r="G15" s="787"/>
      <c r="H15" s="908">
        <f>+H16+H17+H20</f>
        <v>1370281.99</v>
      </c>
      <c r="I15" s="908">
        <f>+I16+I17+I20</f>
        <v>95919.73930000002</v>
      </c>
      <c r="J15" s="787"/>
      <c r="K15" s="908">
        <f>+K16+K17+K20</f>
        <v>1160585.75</v>
      </c>
      <c r="L15" s="908">
        <f>+L16+L17+L20</f>
        <v>81241.0025</v>
      </c>
      <c r="M15" s="787"/>
    </row>
    <row r="16" spans="2:13" ht="18" customHeight="1">
      <c r="B16" s="788"/>
      <c r="C16" s="793" t="s">
        <v>865</v>
      </c>
      <c r="D16" s="790"/>
      <c r="E16" s="908">
        <v>1362445.6499999997</v>
      </c>
      <c r="F16" s="911">
        <f aca="true" t="shared" si="0" ref="F16:F22">E16*0.07</f>
        <v>95371.19549999999</v>
      </c>
      <c r="G16" s="787"/>
      <c r="H16" s="908">
        <f>1335035.78-427.67</f>
        <v>1334608.11</v>
      </c>
      <c r="I16" s="911">
        <f>H16*0.07</f>
        <v>93422.56770000001</v>
      </c>
      <c r="J16" s="787"/>
      <c r="K16" s="908">
        <v>1117811.25</v>
      </c>
      <c r="L16" s="911">
        <f>K16*0.07</f>
        <v>78246.7875</v>
      </c>
      <c r="M16" s="787"/>
    </row>
    <row r="17" spans="2:13" ht="18" customHeight="1">
      <c r="B17" s="788"/>
      <c r="C17" s="793" t="s">
        <v>866</v>
      </c>
      <c r="D17" s="790"/>
      <c r="E17" s="910">
        <v>15953.57</v>
      </c>
      <c r="F17" s="911">
        <f t="shared" si="0"/>
        <v>1116.7499</v>
      </c>
      <c r="G17" s="787"/>
      <c r="H17" s="910">
        <v>12433.88</v>
      </c>
      <c r="I17" s="911">
        <f aca="true" t="shared" si="1" ref="I17:I22">H17*0.07</f>
        <v>870.3716000000001</v>
      </c>
      <c r="J17" s="787"/>
      <c r="K17" s="910">
        <v>15725</v>
      </c>
      <c r="L17" s="911">
        <f aca="true" t="shared" si="2" ref="L17:L22">K17*0.07</f>
        <v>1100.75</v>
      </c>
      <c r="M17" s="787"/>
    </row>
    <row r="18" spans="2:13" ht="18" customHeight="1">
      <c r="B18" s="788"/>
      <c r="C18" s="793" t="s">
        <v>867</v>
      </c>
      <c r="D18" s="790"/>
      <c r="E18" s="910">
        <v>12147</v>
      </c>
      <c r="F18" s="911">
        <f t="shared" si="0"/>
        <v>850.2900000000001</v>
      </c>
      <c r="G18" s="787"/>
      <c r="H18" s="910">
        <v>15000</v>
      </c>
      <c r="I18" s="911">
        <f t="shared" si="1"/>
        <v>1050</v>
      </c>
      <c r="J18" s="787"/>
      <c r="K18" s="910">
        <v>15000</v>
      </c>
      <c r="L18" s="911">
        <f t="shared" si="2"/>
        <v>1050</v>
      </c>
      <c r="M18" s="787"/>
    </row>
    <row r="19" spans="2:13" ht="18" customHeight="1">
      <c r="B19" s="788"/>
      <c r="C19" s="793" t="s">
        <v>868</v>
      </c>
      <c r="D19" s="790"/>
      <c r="E19" s="910">
        <v>87101.3</v>
      </c>
      <c r="F19" s="911">
        <f t="shared" si="0"/>
        <v>6097.091</v>
      </c>
      <c r="G19" s="787"/>
      <c r="H19" s="910">
        <v>86502.66</v>
      </c>
      <c r="I19" s="911">
        <f t="shared" si="1"/>
        <v>6055.186200000001</v>
      </c>
      <c r="J19" s="787"/>
      <c r="K19" s="910">
        <v>141704</v>
      </c>
      <c r="L19" s="911">
        <f t="shared" si="2"/>
        <v>9919.28</v>
      </c>
      <c r="M19" s="787"/>
    </row>
    <row r="20" spans="2:13" ht="18" customHeight="1">
      <c r="B20" s="788"/>
      <c r="C20" s="793" t="s">
        <v>869</v>
      </c>
      <c r="D20" s="791"/>
      <c r="E20" s="910">
        <v>23019</v>
      </c>
      <c r="F20" s="911">
        <f t="shared" si="0"/>
        <v>1611.3300000000002</v>
      </c>
      <c r="G20" s="787"/>
      <c r="H20" s="910">
        <v>23240</v>
      </c>
      <c r="I20" s="911">
        <f t="shared" si="1"/>
        <v>1626.8000000000002</v>
      </c>
      <c r="J20" s="787"/>
      <c r="K20" s="910">
        <v>27049.5</v>
      </c>
      <c r="L20" s="911">
        <f t="shared" si="2"/>
        <v>1893.4650000000001</v>
      </c>
      <c r="M20" s="787"/>
    </row>
    <row r="21" spans="2:13" ht="18" customHeight="1">
      <c r="B21" s="788"/>
      <c r="C21" s="793" t="s">
        <v>870</v>
      </c>
      <c r="D21" s="791"/>
      <c r="E21" s="910">
        <v>11975.91</v>
      </c>
      <c r="F21" s="911">
        <f t="shared" si="0"/>
        <v>838.3137</v>
      </c>
      <c r="G21" s="787"/>
      <c r="H21" s="910">
        <f>9303.12+930.31+930.31</f>
        <v>11163.74</v>
      </c>
      <c r="I21" s="911">
        <f t="shared" si="1"/>
        <v>781.4618</v>
      </c>
      <c r="J21" s="787"/>
      <c r="K21" s="910">
        <v>11200</v>
      </c>
      <c r="L21" s="911">
        <f t="shared" si="2"/>
        <v>784.0000000000001</v>
      </c>
      <c r="M21" s="787"/>
    </row>
    <row r="22" spans="2:13" ht="18" customHeight="1">
      <c r="B22" s="788"/>
      <c r="C22" s="793" t="s">
        <v>871</v>
      </c>
      <c r="D22" s="791"/>
      <c r="E22" s="910">
        <v>138435.46</v>
      </c>
      <c r="F22" s="911">
        <f t="shared" si="0"/>
        <v>9690.4822</v>
      </c>
      <c r="G22" s="787"/>
      <c r="H22" s="910">
        <v>111569.42</v>
      </c>
      <c r="I22" s="911">
        <f t="shared" si="1"/>
        <v>7809.8594</v>
      </c>
      <c r="J22" s="787"/>
      <c r="K22" s="910">
        <v>146966.8785046729</v>
      </c>
      <c r="L22" s="911">
        <f t="shared" si="2"/>
        <v>10287.681495327104</v>
      </c>
      <c r="M22" s="787"/>
    </row>
    <row r="23" spans="2:13" ht="18" customHeight="1">
      <c r="B23" s="788"/>
      <c r="C23" s="793"/>
      <c r="D23" s="791"/>
      <c r="E23" s="910"/>
      <c r="F23" s="911"/>
      <c r="G23" s="787"/>
      <c r="H23" s="910"/>
      <c r="I23" s="911"/>
      <c r="J23" s="787"/>
      <c r="K23" s="910"/>
      <c r="L23" s="911"/>
      <c r="M23" s="787"/>
    </row>
    <row r="24" spans="2:13" ht="18" customHeight="1">
      <c r="B24" s="784" t="s">
        <v>474</v>
      </c>
      <c r="C24" s="789"/>
      <c r="D24" s="791"/>
      <c r="E24" s="906">
        <f>+E25+E29+E33+E34</f>
        <v>6836322.08</v>
      </c>
      <c r="F24" s="906">
        <f>+F25+F29+F33+F34</f>
        <v>448145.50690000004</v>
      </c>
      <c r="G24" s="787"/>
      <c r="H24" s="906">
        <f>+H25+H29+H33+H34</f>
        <v>6296277.69</v>
      </c>
      <c r="I24" s="906">
        <f>+I25+I29+I33+I34</f>
        <v>414158.57190000004</v>
      </c>
      <c r="J24" s="787"/>
      <c r="K24" s="906">
        <f>+K25+K29+K33+K34</f>
        <v>6098036.109999999</v>
      </c>
      <c r="L24" s="906">
        <f>+L25+L29+L33+L34</f>
        <v>388336.8221</v>
      </c>
      <c r="M24" s="787"/>
    </row>
    <row r="25" spans="2:13" ht="20.25" customHeight="1">
      <c r="B25" s="784"/>
      <c r="C25" s="793" t="s">
        <v>475</v>
      </c>
      <c r="D25" s="790" t="s">
        <v>476</v>
      </c>
      <c r="E25" s="908">
        <f>+E26+E27+E28</f>
        <v>0</v>
      </c>
      <c r="F25" s="908">
        <f>+F26+F27+F28</f>
        <v>0</v>
      </c>
      <c r="G25" s="787"/>
      <c r="H25" s="908">
        <f>+H26+H27+H28</f>
        <v>0</v>
      </c>
      <c r="I25" s="908">
        <f>+I26+I27+I28</f>
        <v>0</v>
      </c>
      <c r="J25" s="787"/>
      <c r="K25" s="908">
        <f>+K26+K27+K28</f>
        <v>0</v>
      </c>
      <c r="L25" s="908">
        <f>+L26+L27+L28</f>
        <v>0</v>
      </c>
      <c r="M25" s="787"/>
    </row>
    <row r="26" spans="2:13" ht="18" customHeight="1">
      <c r="B26" s="784"/>
      <c r="C26" s="789"/>
      <c r="D26" s="791"/>
      <c r="E26" s="907"/>
      <c r="F26" s="907"/>
      <c r="G26" s="787"/>
      <c r="H26" s="907"/>
      <c r="I26" s="907"/>
      <c r="J26" s="787"/>
      <c r="K26" s="907"/>
      <c r="L26" s="907"/>
      <c r="M26" s="787"/>
    </row>
    <row r="27" spans="2:13" ht="18" customHeight="1">
      <c r="B27" s="784"/>
      <c r="C27" s="789"/>
      <c r="D27" s="791"/>
      <c r="E27" s="907"/>
      <c r="F27" s="907"/>
      <c r="G27" s="787"/>
      <c r="H27" s="907"/>
      <c r="I27" s="907"/>
      <c r="J27" s="787"/>
      <c r="K27" s="907"/>
      <c r="L27" s="907"/>
      <c r="M27" s="787"/>
    </row>
    <row r="28" spans="2:13" ht="18" customHeight="1">
      <c r="B28" s="784"/>
      <c r="C28" s="789"/>
      <c r="D28" s="791"/>
      <c r="E28" s="907"/>
      <c r="F28" s="907"/>
      <c r="G28" s="787"/>
      <c r="H28" s="907"/>
      <c r="I28" s="907"/>
      <c r="J28" s="787"/>
      <c r="K28" s="907"/>
      <c r="L28" s="907"/>
      <c r="M28" s="787"/>
    </row>
    <row r="29" spans="2:13" ht="25.5" customHeight="1">
      <c r="B29" s="784"/>
      <c r="C29" s="793" t="s">
        <v>475</v>
      </c>
      <c r="D29" s="790" t="s">
        <v>477</v>
      </c>
      <c r="E29" s="908">
        <f>+E30+E31+E32</f>
        <v>22409.409999999996</v>
      </c>
      <c r="F29" s="908">
        <f>+F30+F31+F32</f>
        <v>1568.6587</v>
      </c>
      <c r="G29" s="787"/>
      <c r="H29" s="908">
        <f>+H30+H31+H32</f>
        <v>21943.2</v>
      </c>
      <c r="I29" s="908">
        <f>+I30+I31+I32</f>
        <v>1536.0240000000003</v>
      </c>
      <c r="J29" s="787"/>
      <c r="K29" s="908">
        <f>+K30+K31+K32</f>
        <v>19950</v>
      </c>
      <c r="L29" s="908">
        <f>+L30+L31+L32</f>
        <v>1396.5000000000002</v>
      </c>
      <c r="M29" s="787"/>
    </row>
    <row r="30" spans="2:13" ht="18" customHeight="1">
      <c r="B30" s="784"/>
      <c r="C30" s="793" t="s">
        <v>872</v>
      </c>
      <c r="D30" s="790"/>
      <c r="E30" s="910">
        <v>10257.789999999999</v>
      </c>
      <c r="F30" s="911">
        <f>E30*0.07</f>
        <v>718.0453</v>
      </c>
      <c r="G30" s="787"/>
      <c r="H30" s="910">
        <v>11163.12</v>
      </c>
      <c r="I30" s="911">
        <f>H30*0.07</f>
        <v>781.4184000000001</v>
      </c>
      <c r="J30" s="787"/>
      <c r="K30" s="910">
        <v>9800</v>
      </c>
      <c r="L30" s="911">
        <f>K30*0.07</f>
        <v>686.0000000000001</v>
      </c>
      <c r="M30" s="787"/>
    </row>
    <row r="31" spans="2:13" ht="18" customHeight="1">
      <c r="B31" s="784"/>
      <c r="C31" s="793" t="s">
        <v>873</v>
      </c>
      <c r="D31" s="790"/>
      <c r="E31" s="910">
        <v>12151.619999999999</v>
      </c>
      <c r="F31" s="911">
        <f>E31*0.07</f>
        <v>850.6134</v>
      </c>
      <c r="G31" s="787"/>
      <c r="H31" s="910">
        <v>10780.08</v>
      </c>
      <c r="I31" s="911">
        <f>H31*0.07</f>
        <v>754.6056000000001</v>
      </c>
      <c r="J31" s="787"/>
      <c r="K31" s="910">
        <v>10150</v>
      </c>
      <c r="L31" s="911">
        <f>K31*0.07</f>
        <v>710.5000000000001</v>
      </c>
      <c r="M31" s="787"/>
    </row>
    <row r="32" spans="2:13" ht="18" customHeight="1">
      <c r="B32" s="784"/>
      <c r="C32" s="789"/>
      <c r="D32" s="791"/>
      <c r="E32" s="907"/>
      <c r="F32" s="907"/>
      <c r="G32" s="787"/>
      <c r="H32" s="907"/>
      <c r="I32" s="907"/>
      <c r="J32" s="787"/>
      <c r="K32" s="907"/>
      <c r="L32" s="907"/>
      <c r="M32" s="787"/>
    </row>
    <row r="33" spans="2:13" ht="18" customHeight="1">
      <c r="B33" s="784"/>
      <c r="C33" s="793" t="s">
        <v>478</v>
      </c>
      <c r="D33" s="790" t="s">
        <v>479</v>
      </c>
      <c r="E33" s="908">
        <v>760888.41</v>
      </c>
      <c r="F33" s="908">
        <v>22865.15</v>
      </c>
      <c r="G33" s="787"/>
      <c r="H33" s="908">
        <f>668981.62-4459.96</f>
        <v>664521.66</v>
      </c>
      <c r="I33" s="908">
        <v>19935.6498</v>
      </c>
      <c r="J33" s="787"/>
      <c r="K33" s="908">
        <v>963142.64</v>
      </c>
      <c r="L33" s="908">
        <v>28894.2792</v>
      </c>
      <c r="M33" s="787"/>
    </row>
    <row r="34" spans="2:13" ht="28.5" customHeight="1">
      <c r="B34" s="784"/>
      <c r="C34" s="793"/>
      <c r="D34" s="790" t="s">
        <v>480</v>
      </c>
      <c r="E34" s="908">
        <v>6053024.26</v>
      </c>
      <c r="F34" s="908">
        <f>E34*0.07</f>
        <v>423711.69820000004</v>
      </c>
      <c r="G34" s="787"/>
      <c r="H34" s="908">
        <v>5609812.83</v>
      </c>
      <c r="I34" s="908">
        <f>H34*0.07</f>
        <v>392686.89810000005</v>
      </c>
      <c r="J34" s="787"/>
      <c r="K34" s="908">
        <v>5114943.47</v>
      </c>
      <c r="L34" s="908">
        <f>K34*0.07</f>
        <v>358046.0429</v>
      </c>
      <c r="M34" s="787"/>
    </row>
    <row r="35" spans="2:18" s="795" customFormat="1" ht="22.5" customHeight="1" thickBot="1">
      <c r="B35" s="1121" t="s">
        <v>481</v>
      </c>
      <c r="C35" s="1122"/>
      <c r="D35" s="1122"/>
      <c r="E35" s="909">
        <f>+E24+E10+E7</f>
        <v>9373625.88</v>
      </c>
      <c r="F35" s="909">
        <f>+F24+F10+F7</f>
        <v>625381.6289000001</v>
      </c>
      <c r="G35" s="794"/>
      <c r="H35" s="909">
        <f>+H24+H10+H7</f>
        <v>8550629.600000001</v>
      </c>
      <c r="I35" s="909">
        <f>+I24+I10+I7</f>
        <v>571651.0084</v>
      </c>
      <c r="J35" s="794"/>
      <c r="K35" s="909">
        <f>+K24+K10+K7</f>
        <v>8143583.81</v>
      </c>
      <c r="L35" s="909">
        <f>+L24+L10+L7</f>
        <v>531150.5218</v>
      </c>
      <c r="M35" s="794"/>
      <c r="O35" s="796">
        <f>+I35-CPYG!D7</f>
        <v>-7978978.5916</v>
      </c>
      <c r="P35" s="796">
        <f>+L35-CPYG!E7</f>
        <v>-7612433.288199999</v>
      </c>
      <c r="R35" s="973"/>
    </row>
    <row r="36" spans="2:12" ht="9" customHeight="1">
      <c r="B36" s="1120"/>
      <c r="C36" s="1120"/>
      <c r="D36" s="1120"/>
      <c r="E36" s="1120"/>
      <c r="F36" s="1120"/>
      <c r="G36" s="1120"/>
      <c r="H36" s="1120"/>
      <c r="I36" s="1120"/>
      <c r="J36" s="1120"/>
      <c r="K36" s="1120"/>
      <c r="L36" s="1120"/>
    </row>
    <row r="37" spans="2:13" ht="33" customHeight="1" thickBot="1">
      <c r="B37" s="1123" t="s">
        <v>482</v>
      </c>
      <c r="C37" s="1124"/>
      <c r="D37" s="1124"/>
      <c r="E37" s="1124"/>
      <c r="F37" s="1125"/>
      <c r="G37" s="783" t="s">
        <v>498</v>
      </c>
      <c r="H37" s="783" t="s">
        <v>463</v>
      </c>
      <c r="I37" s="815" t="s">
        <v>464</v>
      </c>
      <c r="J37" s="1117" t="s">
        <v>588</v>
      </c>
      <c r="K37" s="1118"/>
      <c r="L37" s="1118"/>
      <c r="M37" s="1119"/>
    </row>
    <row r="38" spans="2:13" ht="15" customHeight="1">
      <c r="B38" s="1126" t="s">
        <v>491</v>
      </c>
      <c r="C38" s="1127"/>
      <c r="D38" s="1127"/>
      <c r="E38" s="1127"/>
      <c r="F38" s="1128"/>
      <c r="G38" s="807">
        <f>SUM(G39:G41)</f>
        <v>0</v>
      </c>
      <c r="H38" s="807">
        <f>SUM(H39:H41)</f>
        <v>0</v>
      </c>
      <c r="I38" s="807">
        <f>SUM(I39:I41)</f>
        <v>0</v>
      </c>
      <c r="J38" s="1087"/>
      <c r="K38" s="1088"/>
      <c r="L38" s="1088"/>
      <c r="M38" s="1089"/>
    </row>
    <row r="39" spans="2:13" ht="15" customHeight="1">
      <c r="B39" s="1093"/>
      <c r="C39" s="1094"/>
      <c r="D39" s="1094"/>
      <c r="E39" s="1094"/>
      <c r="F39" s="1095"/>
      <c r="G39" s="816"/>
      <c r="H39" s="808"/>
      <c r="I39" s="808"/>
      <c r="J39" s="1078"/>
      <c r="K39" s="1079"/>
      <c r="L39" s="1079"/>
      <c r="M39" s="1080"/>
    </row>
    <row r="40" spans="2:13" ht="15" customHeight="1">
      <c r="B40" s="1090"/>
      <c r="C40" s="1091"/>
      <c r="D40" s="1091"/>
      <c r="E40" s="1091"/>
      <c r="F40" s="1092"/>
      <c r="G40" s="817"/>
      <c r="H40" s="809"/>
      <c r="I40" s="809"/>
      <c r="J40" s="1081"/>
      <c r="K40" s="1082"/>
      <c r="L40" s="1082"/>
      <c r="M40" s="1083"/>
    </row>
    <row r="41" spans="2:13" ht="15" customHeight="1">
      <c r="B41" s="1096"/>
      <c r="C41" s="1097"/>
      <c r="D41" s="1097"/>
      <c r="E41" s="1097"/>
      <c r="F41" s="1098"/>
      <c r="G41" s="818"/>
      <c r="H41" s="810"/>
      <c r="I41" s="810"/>
      <c r="J41" s="1084"/>
      <c r="K41" s="1085"/>
      <c r="L41" s="1085"/>
      <c r="M41" s="1086"/>
    </row>
    <row r="42" spans="2:13" ht="15" customHeight="1">
      <c r="B42" s="1099" t="s">
        <v>492</v>
      </c>
      <c r="C42" s="1100"/>
      <c r="D42" s="1100"/>
      <c r="E42" s="1100"/>
      <c r="F42" s="1101"/>
      <c r="G42" s="807">
        <f>+G43+G46+G51+G44+G45</f>
        <v>18883.79</v>
      </c>
      <c r="H42" s="807">
        <f>SUM(H43:H51)</f>
        <v>5172.5</v>
      </c>
      <c r="I42" s="814">
        <f>+I43+I46+I51</f>
        <v>0</v>
      </c>
      <c r="J42" s="1087"/>
      <c r="K42" s="1088"/>
      <c r="L42" s="1088"/>
      <c r="M42" s="1089"/>
    </row>
    <row r="43" spans="2:13" ht="15" customHeight="1">
      <c r="B43" s="1093" t="s">
        <v>859</v>
      </c>
      <c r="C43" s="1094"/>
      <c r="D43" s="1094"/>
      <c r="E43" s="1094"/>
      <c r="F43" s="1095"/>
      <c r="G43" s="816">
        <v>110</v>
      </c>
      <c r="H43" s="808"/>
      <c r="I43" s="808"/>
      <c r="J43" s="1078"/>
      <c r="K43" s="1079"/>
      <c r="L43" s="1079"/>
      <c r="M43" s="1080"/>
    </row>
    <row r="44" spans="2:13" ht="15" customHeight="1">
      <c r="B44" s="1090" t="s">
        <v>863</v>
      </c>
      <c r="C44" s="1091"/>
      <c r="D44" s="1091"/>
      <c r="E44" s="1091"/>
      <c r="F44" s="1092"/>
      <c r="G44" s="817">
        <v>247.5</v>
      </c>
      <c r="H44" s="809"/>
      <c r="I44" s="809"/>
      <c r="J44" s="1081"/>
      <c r="K44" s="1082"/>
      <c r="L44" s="1082"/>
      <c r="M44" s="1083"/>
    </row>
    <row r="45" spans="2:13" ht="15" customHeight="1">
      <c r="B45" s="1090" t="s">
        <v>862</v>
      </c>
      <c r="C45" s="1091"/>
      <c r="D45" s="1091"/>
      <c r="E45" s="1091"/>
      <c r="F45" s="1092"/>
      <c r="G45" s="817">
        <v>1.29</v>
      </c>
      <c r="H45" s="809"/>
      <c r="I45" s="809"/>
      <c r="J45" s="1081"/>
      <c r="K45" s="1082"/>
      <c r="L45" s="1082"/>
      <c r="M45" s="1083"/>
    </row>
    <row r="46" spans="2:13" ht="15" customHeight="1">
      <c r="B46" s="1090" t="s">
        <v>860</v>
      </c>
      <c r="C46" s="1091"/>
      <c r="D46" s="1091"/>
      <c r="E46" s="1091"/>
      <c r="F46" s="1092"/>
      <c r="G46" s="817">
        <v>18525</v>
      </c>
      <c r="H46" s="809"/>
      <c r="I46" s="809"/>
      <c r="J46" s="1081"/>
      <c r="K46" s="1082"/>
      <c r="L46" s="1082"/>
      <c r="M46" s="1083"/>
    </row>
    <row r="47" spans="2:13" ht="15" customHeight="1">
      <c r="B47" s="1090" t="s">
        <v>861</v>
      </c>
      <c r="C47" s="1091"/>
      <c r="D47" s="1091"/>
      <c r="E47" s="1091"/>
      <c r="F47" s="1092"/>
      <c r="G47" s="817">
        <v>210</v>
      </c>
      <c r="H47" s="809"/>
      <c r="I47" s="809"/>
      <c r="J47" s="1081"/>
      <c r="K47" s="1082"/>
      <c r="L47" s="1082"/>
      <c r="M47" s="1083"/>
    </row>
    <row r="48" spans="2:13" ht="15" customHeight="1">
      <c r="B48" s="1090" t="s">
        <v>874</v>
      </c>
      <c r="C48" s="1091"/>
      <c r="D48" s="1091"/>
      <c r="E48" s="1091"/>
      <c r="F48" s="1092"/>
      <c r="G48" s="817"/>
      <c r="H48" s="809">
        <v>2000</v>
      </c>
      <c r="I48" s="809"/>
      <c r="J48" s="1081"/>
      <c r="K48" s="1082"/>
      <c r="L48" s="1082"/>
      <c r="M48" s="1083"/>
    </row>
    <row r="49" spans="2:13" ht="15" customHeight="1">
      <c r="B49" s="1090" t="s">
        <v>875</v>
      </c>
      <c r="C49" s="1091"/>
      <c r="D49" s="1091"/>
      <c r="E49" s="1091"/>
      <c r="F49" s="1092"/>
      <c r="G49" s="817"/>
      <c r="H49" s="809">
        <v>82.5</v>
      </c>
      <c r="I49" s="809"/>
      <c r="J49" s="1081"/>
      <c r="K49" s="1082"/>
      <c r="L49" s="1082"/>
      <c r="M49" s="1083"/>
    </row>
    <row r="50" spans="2:13" ht="15" customHeight="1">
      <c r="B50" s="1090" t="s">
        <v>876</v>
      </c>
      <c r="C50" s="1091"/>
      <c r="D50" s="1091"/>
      <c r="E50" s="1091"/>
      <c r="F50" s="1092"/>
      <c r="G50" s="817"/>
      <c r="H50" s="809">
        <v>3000</v>
      </c>
      <c r="I50" s="809"/>
      <c r="J50" s="1081"/>
      <c r="K50" s="1082"/>
      <c r="L50" s="1082"/>
      <c r="M50" s="1083"/>
    </row>
    <row r="51" spans="2:13" ht="15" customHeight="1">
      <c r="B51" s="1096" t="s">
        <v>875</v>
      </c>
      <c r="C51" s="1097"/>
      <c r="D51" s="1097"/>
      <c r="E51" s="1097"/>
      <c r="F51" s="1098"/>
      <c r="G51" s="818"/>
      <c r="H51" s="810">
        <v>90</v>
      </c>
      <c r="I51" s="810"/>
      <c r="J51" s="1084"/>
      <c r="K51" s="1085"/>
      <c r="L51" s="1085"/>
      <c r="M51" s="1086"/>
    </row>
    <row r="52" spans="2:10" ht="6" customHeight="1">
      <c r="B52" s="801"/>
      <c r="C52" s="801"/>
      <c r="D52" s="801"/>
      <c r="E52" s="801"/>
      <c r="F52" s="801"/>
      <c r="G52" s="811"/>
      <c r="H52" s="811"/>
      <c r="I52" s="811"/>
      <c r="J52" s="797"/>
    </row>
    <row r="53" spans="2:13" ht="26.25" customHeight="1" thickBot="1">
      <c r="B53" s="1123" t="s">
        <v>483</v>
      </c>
      <c r="C53" s="1124"/>
      <c r="D53" s="1124"/>
      <c r="E53" s="1124"/>
      <c r="F53" s="1125"/>
      <c r="G53" s="783" t="s">
        <v>498</v>
      </c>
      <c r="H53" s="783" t="s">
        <v>463</v>
      </c>
      <c r="I53" s="815" t="s">
        <v>464</v>
      </c>
      <c r="J53" s="1133" t="s">
        <v>588</v>
      </c>
      <c r="K53" s="1134"/>
      <c r="L53" s="1134"/>
      <c r="M53" s="1135"/>
    </row>
    <row r="54" spans="2:13" ht="15" customHeight="1">
      <c r="B54" s="1130" t="s">
        <v>484</v>
      </c>
      <c r="C54" s="1131"/>
      <c r="D54" s="1131"/>
      <c r="E54" s="1131"/>
      <c r="F54" s="1132"/>
      <c r="G54" s="812"/>
      <c r="H54" s="812"/>
      <c r="I54" s="812"/>
      <c r="J54" s="1136"/>
      <c r="K54" s="1137"/>
      <c r="L54" s="1137"/>
      <c r="M54" s="1138"/>
    </row>
    <row r="55" spans="2:13" ht="15" customHeight="1">
      <c r="B55" s="1142" t="s">
        <v>485</v>
      </c>
      <c r="C55" s="1143"/>
      <c r="D55" s="1143"/>
      <c r="E55" s="1143"/>
      <c r="F55" s="1144"/>
      <c r="G55" s="813"/>
      <c r="H55" s="813"/>
      <c r="I55" s="813"/>
      <c r="J55" s="1139"/>
      <c r="K55" s="1140"/>
      <c r="L55" s="1140"/>
      <c r="M55" s="1141"/>
    </row>
    <row r="59" spans="2:3" ht="12.75">
      <c r="B59" s="798" t="s">
        <v>486</v>
      </c>
      <c r="C59" s="799" t="s">
        <v>487</v>
      </c>
    </row>
    <row r="60" spans="2:13" ht="27.75" customHeight="1">
      <c r="B60" s="798" t="s">
        <v>488</v>
      </c>
      <c r="C60" s="1129" t="s">
        <v>493</v>
      </c>
      <c r="D60" s="1129"/>
      <c r="E60" s="1129"/>
      <c r="F60" s="1129"/>
      <c r="G60" s="1129"/>
      <c r="H60" s="1129"/>
      <c r="I60" s="1129"/>
      <c r="J60" s="1129"/>
      <c r="K60" s="1129"/>
      <c r="L60" s="1129"/>
      <c r="M60" s="1129"/>
    </row>
    <row r="61" spans="2:13" s="800" customFormat="1" ht="24" customHeight="1">
      <c r="B61" s="798" t="s">
        <v>489</v>
      </c>
      <c r="C61" s="1129" t="s">
        <v>494</v>
      </c>
      <c r="D61" s="1129"/>
      <c r="E61" s="1129"/>
      <c r="F61" s="1129"/>
      <c r="G61" s="1129"/>
      <c r="H61" s="1129"/>
      <c r="I61" s="1129"/>
      <c r="J61" s="1129"/>
      <c r="K61" s="1129"/>
      <c r="L61" s="1129"/>
      <c r="M61" s="1129"/>
    </row>
  </sheetData>
  <sheetProtection/>
  <mergeCells count="47">
    <mergeCell ref="B45:F45"/>
    <mergeCell ref="J51:M51"/>
    <mergeCell ref="B46:F46"/>
    <mergeCell ref="B51:F51"/>
    <mergeCell ref="B55:F55"/>
    <mergeCell ref="B48:F48"/>
    <mergeCell ref="J48:M48"/>
    <mergeCell ref="B49:F49"/>
    <mergeCell ref="J49:M49"/>
    <mergeCell ref="B50:F50"/>
    <mergeCell ref="J50:M50"/>
    <mergeCell ref="C61:M61"/>
    <mergeCell ref="C60:M60"/>
    <mergeCell ref="B53:F53"/>
    <mergeCell ref="B54:F54"/>
    <mergeCell ref="J53:M53"/>
    <mergeCell ref="J54:M54"/>
    <mergeCell ref="J55:M55"/>
    <mergeCell ref="J37:M37"/>
    <mergeCell ref="J38:M38"/>
    <mergeCell ref="E5:G5"/>
    <mergeCell ref="B36:L36"/>
    <mergeCell ref="B35:D35"/>
    <mergeCell ref="B37:F37"/>
    <mergeCell ref="B38:F38"/>
    <mergeCell ref="B2:L2"/>
    <mergeCell ref="B4:M4"/>
    <mergeCell ref="B3:L3"/>
    <mergeCell ref="B5:D6"/>
    <mergeCell ref="H5:J5"/>
    <mergeCell ref="K5:M5"/>
    <mergeCell ref="J39:M39"/>
    <mergeCell ref="J40:M40"/>
    <mergeCell ref="J41:M41"/>
    <mergeCell ref="J42:M42"/>
    <mergeCell ref="B47:F47"/>
    <mergeCell ref="J47:M47"/>
    <mergeCell ref="J44:M44"/>
    <mergeCell ref="J45:M45"/>
    <mergeCell ref="B39:F39"/>
    <mergeCell ref="B40:F40"/>
    <mergeCell ref="B41:F41"/>
    <mergeCell ref="B43:F43"/>
    <mergeCell ref="B42:F42"/>
    <mergeCell ref="J43:M43"/>
    <mergeCell ref="J46:M46"/>
    <mergeCell ref="B44:F44"/>
  </mergeCells>
  <printOptions horizontalCentered="1" verticalCentered="1"/>
  <pageMargins left="0.7480314960629921" right="0.7480314960629921" top="0.57" bottom="0.44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Javier Ruiz Pérez</cp:lastModifiedBy>
  <cp:lastPrinted>2016-11-29T13:03:23Z</cp:lastPrinted>
  <dcterms:created xsi:type="dcterms:W3CDTF">2004-09-28T16:33:32Z</dcterms:created>
  <dcterms:modified xsi:type="dcterms:W3CDTF">2017-02-15T13:45:16Z</dcterms:modified>
  <cp:category/>
  <cp:version/>
  <cp:contentType/>
  <cp:contentStatus/>
</cp:coreProperties>
</file>